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750" yWindow="3495" windowWidth="24240" windowHeight="13740" tabRatio="773" activeTab="4"/>
  </bookViews>
  <sheets>
    <sheet name="PL1" sheetId="3" r:id="rId1"/>
    <sheet name="PL2" sheetId="42" r:id="rId2"/>
    <sheet name="PL1DeckList" sheetId="38" r:id="rId3"/>
    <sheet name="PL2DeckList" sheetId="44" r:id="rId4"/>
    <sheet name="Welcome" sheetId="27" r:id="rId5"/>
    <sheet name="Battle" sheetId="22" r:id="rId6"/>
    <sheet name="BattleRef" sheetId="50" r:id="rId7"/>
    <sheet name="Setup" sheetId="26" r:id="rId8"/>
    <sheet name="MapReference" sheetId="47" r:id="rId9"/>
    <sheet name="Drop" sheetId="51" r:id="rId10"/>
    <sheet name="GameLog" sheetId="21" r:id="rId11"/>
    <sheet name="Reference" sheetId="46" r:id="rId12"/>
    <sheet name="Map" sheetId="14" r:id="rId13"/>
    <sheet name="Color" sheetId="35" r:id="rId14"/>
    <sheet name="Defense" sheetId="33" r:id="rId15"/>
    <sheet name="DefenseRef" sheetId="48" r:id="rId16"/>
    <sheet name="Vanguard" sheetId="49" r:id="rId17"/>
    <sheet name="End" sheetId="36" r:id="rId18"/>
    <sheet name="Rules" sheetId="7" r:id="rId19"/>
  </sheets>
  <definedNames>
    <definedName name="BystanderLock">#REF!</definedName>
    <definedName name="CurrentCountry">#REF!</definedName>
    <definedName name="CursorPark">#REF!</definedName>
    <definedName name="DeckLock">#REF!</definedName>
    <definedName name="EmperorLock">#REF!</definedName>
    <definedName name="EmperorOrder">#REF!</definedName>
    <definedName name="GameWinner">#REF!</definedName>
    <definedName name="GuardianDrop">#REF!</definedName>
    <definedName name="LockedVanguard">#REF!</definedName>
    <definedName name="LogList">GameLog!#REF!</definedName>
    <definedName name="MapCopy">#REF!</definedName>
    <definedName name="MapPaste">#REF!</definedName>
    <definedName name="MapStatus">#REF!</definedName>
    <definedName name="MessageBox">#REF!</definedName>
    <definedName name="MinionDrop">#REF!</definedName>
    <definedName name="MoveFrom1">#REF!</definedName>
    <definedName name="MoveFrom2">#REF!</definedName>
    <definedName name="MoveStatus">#REF!</definedName>
    <definedName name="MoveTo">#REF!</definedName>
    <definedName name="NewWorldOrder">#REF!</definedName>
    <definedName name="NextDeck">#REF!</definedName>
    <definedName name="PlayerCopy">#REF!</definedName>
    <definedName name="PlayerPaste">#REF!</definedName>
    <definedName name="PlayersCopy">#REF!</definedName>
    <definedName name="RandBystander">#REF!</definedName>
    <definedName name="RandDeck">#REF!</definedName>
    <definedName name="RandomVanguard">#REF!</definedName>
    <definedName name="SelectDefense">#REF!</definedName>
    <definedName name="SetupLock">#REF!</definedName>
    <definedName name="SetupRoll">#REF!</definedName>
    <definedName name="SetupStatus">#REF!</definedName>
    <definedName name="Step">#REF!</definedName>
  </definedNames>
  <calcPr calcId="145621"/>
</workbook>
</file>

<file path=xl/calcChain.xml><?xml version="1.0" encoding="utf-8"?>
<calcChain xmlns="http://schemas.openxmlformats.org/spreadsheetml/2006/main">
  <c r="DD26" i="14" l="1"/>
  <c r="DD27" i="14"/>
  <c r="DD28" i="14"/>
  <c r="DD29" i="14"/>
  <c r="DD30" i="14"/>
  <c r="DD31" i="14"/>
  <c r="DD25" i="14"/>
  <c r="DD19" i="14"/>
  <c r="DD18" i="14"/>
  <c r="Z32" i="36" l="1"/>
  <c r="Z35" i="36"/>
  <c r="Z41" i="36"/>
  <c r="Z38" i="36"/>
  <c r="BU2" i="36"/>
  <c r="Z29" i="36" s="1"/>
  <c r="BU1" i="36"/>
  <c r="X7" i="36" s="1"/>
  <c r="C21" i="48"/>
  <c r="C20" i="48"/>
  <c r="Z23" i="36" l="1"/>
  <c r="Z17" i="36"/>
  <c r="Z26" i="36"/>
  <c r="Z20" i="36"/>
  <c r="L17" i="47"/>
  <c r="DD16" i="14" l="1"/>
  <c r="AJ16" i="26"/>
  <c r="A60" i="22" l="1"/>
  <c r="AA36" i="26"/>
  <c r="K54" i="47" s="1"/>
  <c r="Y36" i="26"/>
  <c r="H31" i="50" l="1"/>
  <c r="F16" i="50"/>
  <c r="AE29" i="26" l="1"/>
  <c r="AE28" i="26"/>
  <c r="Z11" i="49" l="1"/>
  <c r="AA11" i="49"/>
  <c r="AB11" i="49"/>
  <c r="Y11" i="49"/>
  <c r="V11" i="49"/>
  <c r="W11" i="49"/>
  <c r="X11" i="49"/>
  <c r="U11" i="49"/>
  <c r="D12" i="51"/>
  <c r="F68" i="47" s="1"/>
  <c r="Y48" i="50"/>
  <c r="Y49" i="50"/>
  <c r="Y50" i="50"/>
  <c r="Y51" i="50"/>
  <c r="Y52" i="50"/>
  <c r="Y47" i="50"/>
  <c r="AB30" i="50"/>
  <c r="Z51" i="50" s="1"/>
  <c r="M37" i="50" s="1"/>
  <c r="V30" i="50"/>
  <c r="AA30" i="50"/>
  <c r="Z30" i="50"/>
  <c r="X30" i="50"/>
  <c r="W30" i="50"/>
  <c r="Y33" i="50"/>
  <c r="Y34" i="50"/>
  <c r="Y35" i="50"/>
  <c r="Y36" i="50"/>
  <c r="Y37" i="50"/>
  <c r="Y38" i="50"/>
  <c r="Y39" i="50"/>
  <c r="Y40" i="50"/>
  <c r="Y41" i="50"/>
  <c r="Y42" i="50"/>
  <c r="Y43" i="50"/>
  <c r="Y32" i="50"/>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9" i="47"/>
  <c r="Q31" i="50"/>
  <c r="G31" i="50"/>
  <c r="P31" i="50"/>
  <c r="M31" i="50"/>
  <c r="H30" i="50"/>
  <c r="I30" i="50"/>
  <c r="J30" i="50"/>
  <c r="K30" i="50"/>
  <c r="E4" i="50"/>
  <c r="E3" i="50"/>
  <c r="T4" i="50"/>
  <c r="U4" i="50"/>
  <c r="V4" i="50"/>
  <c r="W4" i="50"/>
  <c r="X4" i="50"/>
  <c r="S4" i="50"/>
  <c r="Z14" i="36" l="1"/>
  <c r="AD3" i="47"/>
  <c r="AD4" i="47"/>
  <c r="W34" i="50"/>
  <c r="Z33" i="50"/>
  <c r="AA32" i="50"/>
  <c r="X39" i="50"/>
  <c r="V37" i="50"/>
  <c r="F34" i="50"/>
  <c r="R34" i="50"/>
  <c r="BL2" i="22"/>
  <c r="B2" i="22"/>
  <c r="P35" i="50"/>
  <c r="W41" i="50"/>
  <c r="W36" i="50"/>
  <c r="K35" i="50"/>
  <c r="X33" i="50"/>
  <c r="X51" i="50"/>
  <c r="H37" i="50" s="1"/>
  <c r="V38" i="50"/>
  <c r="V36" i="50"/>
  <c r="V32" i="50"/>
  <c r="W35" i="50"/>
  <c r="Z39" i="50"/>
  <c r="Z36" i="50"/>
  <c r="Z32" i="50"/>
  <c r="W43" i="50"/>
  <c r="W39" i="50"/>
  <c r="X36" i="50"/>
  <c r="X47" i="50"/>
  <c r="K37" i="50" s="1"/>
  <c r="X49" i="50"/>
  <c r="U49" i="50" s="1"/>
  <c r="V39" i="50"/>
  <c r="V42" i="50"/>
  <c r="V34" i="50"/>
  <c r="X50" i="50"/>
  <c r="U50" i="50" s="1"/>
  <c r="AA43" i="50"/>
  <c r="AA39" i="50"/>
  <c r="AA35" i="50"/>
  <c r="X32" i="50"/>
  <c r="Z40" i="50"/>
  <c r="X41" i="50"/>
  <c r="Z48" i="50"/>
  <c r="AC48" i="50" s="1"/>
  <c r="W32" i="50"/>
  <c r="X38" i="50"/>
  <c r="W33" i="50"/>
  <c r="Z38" i="50"/>
  <c r="AB42" i="50"/>
  <c r="AB38" i="50"/>
  <c r="AB34" i="50"/>
  <c r="X48" i="50"/>
  <c r="U48" i="50" s="1"/>
  <c r="X43" i="50"/>
  <c r="V41" i="50"/>
  <c r="W38" i="50"/>
  <c r="X35" i="50"/>
  <c r="V33" i="50"/>
  <c r="Z37" i="50"/>
  <c r="AA42" i="50"/>
  <c r="AA38" i="50"/>
  <c r="AA34" i="50"/>
  <c r="AB41" i="50"/>
  <c r="AB37" i="50"/>
  <c r="AB33" i="50"/>
  <c r="Z47" i="50"/>
  <c r="P37" i="50" s="1"/>
  <c r="V43" i="50"/>
  <c r="W40" i="50"/>
  <c r="X37" i="50"/>
  <c r="V35" i="50"/>
  <c r="Z43" i="50"/>
  <c r="Z35" i="50"/>
  <c r="AA41" i="50"/>
  <c r="AA37" i="50"/>
  <c r="AA33" i="50"/>
  <c r="Z50" i="50"/>
  <c r="AC50" i="50" s="1"/>
  <c r="AB39" i="50"/>
  <c r="Z49" i="50"/>
  <c r="AC49" i="50" s="1"/>
  <c r="X40" i="50"/>
  <c r="X42" i="50"/>
  <c r="V40" i="50"/>
  <c r="W37" i="50"/>
  <c r="X34" i="50"/>
  <c r="Z42" i="50"/>
  <c r="Z34" i="50"/>
  <c r="AB40" i="50"/>
  <c r="AB36" i="50"/>
  <c r="AB32" i="50"/>
  <c r="AB43" i="50"/>
  <c r="AB35" i="50"/>
  <c r="Z52" i="50"/>
  <c r="X52" i="50"/>
  <c r="J37" i="50" s="1"/>
  <c r="W42" i="50"/>
  <c r="Z41" i="50"/>
  <c r="AA40" i="50"/>
  <c r="AA36" i="50"/>
  <c r="AP20" i="26"/>
  <c r="AB27" i="35" s="1"/>
  <c r="AP21" i="26"/>
  <c r="AB21" i="35" s="1"/>
  <c r="AP22" i="26"/>
  <c r="AB33" i="35" s="1"/>
  <c r="AP23" i="26"/>
  <c r="AB9" i="35" s="1"/>
  <c r="AP24" i="26"/>
  <c r="AB3" i="35" s="1"/>
  <c r="AP19" i="26"/>
  <c r="AB15" i="35" s="1"/>
  <c r="AD5" i="47" l="1"/>
  <c r="BU3" i="36" s="1"/>
  <c r="U39" i="50"/>
  <c r="T39" i="50" s="1"/>
  <c r="D22" i="22" s="1"/>
  <c r="U34" i="50"/>
  <c r="T34" i="50" s="1"/>
  <c r="M20" i="22" s="1"/>
  <c r="AC33" i="50"/>
  <c r="AD33" i="50" s="1"/>
  <c r="BE20" i="22" s="1"/>
  <c r="AC39" i="50"/>
  <c r="AD39" i="50" s="1"/>
  <c r="BE22" i="22" s="1"/>
  <c r="P36" i="50"/>
  <c r="AC35" i="50"/>
  <c r="AD35" i="50" s="1"/>
  <c r="AM20" i="22" s="1"/>
  <c r="N36" i="50"/>
  <c r="AC40" i="50"/>
  <c r="AD40" i="50" s="1"/>
  <c r="AV22" i="22" s="1"/>
  <c r="M36" i="50"/>
  <c r="AC34" i="50"/>
  <c r="AD34" i="50" s="1"/>
  <c r="AV20" i="22" s="1"/>
  <c r="I36" i="50"/>
  <c r="U33" i="50"/>
  <c r="T33" i="50" s="1"/>
  <c r="D20" i="22" s="1"/>
  <c r="H36" i="50"/>
  <c r="U40" i="50"/>
  <c r="T40" i="50" s="1"/>
  <c r="M22" i="22" s="1"/>
  <c r="AC41" i="50"/>
  <c r="AD41" i="50" s="1"/>
  <c r="AM22" i="22" s="1"/>
  <c r="U35" i="50"/>
  <c r="T35" i="50" s="1"/>
  <c r="V20" i="22" s="1"/>
  <c r="U41" i="50"/>
  <c r="T41" i="50" s="1"/>
  <c r="V22" i="22" s="1"/>
  <c r="J36" i="50"/>
  <c r="N37" i="50"/>
  <c r="O37" i="50"/>
  <c r="K36" i="50"/>
  <c r="I37" i="50"/>
  <c r="O36" i="50"/>
  <c r="AM20" i="26"/>
  <c r="AM21" i="26"/>
  <c r="AM22" i="26"/>
  <c r="AM23" i="26"/>
  <c r="AM24" i="26"/>
  <c r="AM19" i="26"/>
  <c r="AA61" i="47"/>
  <c r="AD61" i="47" l="1"/>
  <c r="DE17" i="14"/>
  <c r="W53" i="46"/>
  <c r="V53" i="46"/>
  <c r="AB56" i="47"/>
  <c r="AB57" i="47"/>
  <c r="AB58" i="47"/>
  <c r="AB59" i="47"/>
  <c r="AB60" i="47"/>
  <c r="AB55" i="47"/>
  <c r="R4" i="47"/>
  <c r="AB61" i="46"/>
  <c r="AB62" i="46"/>
  <c r="AB63" i="46"/>
  <c r="AB64" i="46"/>
  <c r="AB65" i="46"/>
  <c r="AB60" i="46"/>
  <c r="E16" i="50"/>
  <c r="R5" i="49"/>
  <c r="S5" i="49"/>
  <c r="S4" i="49"/>
  <c r="R4" i="49"/>
  <c r="N12" i="49"/>
  <c r="P12" i="49" s="1"/>
  <c r="O12" i="49"/>
  <c r="Q12" i="49" s="1"/>
  <c r="N13" i="49"/>
  <c r="O13" i="49"/>
  <c r="N14" i="49"/>
  <c r="P14" i="49" s="1"/>
  <c r="O14" i="49"/>
  <c r="Q14" i="49" s="1"/>
  <c r="N15" i="49"/>
  <c r="O15" i="49"/>
  <c r="Q15" i="49" s="1"/>
  <c r="N16" i="49"/>
  <c r="P16" i="49" s="1"/>
  <c r="O16" i="49"/>
  <c r="N17" i="49"/>
  <c r="O17" i="49"/>
  <c r="Q17" i="49" s="1"/>
  <c r="N18" i="49"/>
  <c r="P18" i="49" s="1"/>
  <c r="O18" i="49"/>
  <c r="Q18" i="49" s="1"/>
  <c r="N19" i="49"/>
  <c r="P19" i="49" s="1"/>
  <c r="O19" i="49"/>
  <c r="Q19" i="49" s="1"/>
  <c r="N20" i="49"/>
  <c r="P20" i="49" s="1"/>
  <c r="O20" i="49"/>
  <c r="N21" i="49"/>
  <c r="O21" i="49"/>
  <c r="Q21" i="49" s="1"/>
  <c r="N22" i="49"/>
  <c r="O22" i="49"/>
  <c r="Q22" i="49" s="1"/>
  <c r="N23" i="49"/>
  <c r="O23" i="49"/>
  <c r="Q23" i="49" s="1"/>
  <c r="N24" i="49"/>
  <c r="O24" i="49"/>
  <c r="Q24" i="49" s="1"/>
  <c r="N25" i="49"/>
  <c r="P25" i="49" s="1"/>
  <c r="O25" i="49"/>
  <c r="Q25" i="49" s="1"/>
  <c r="N26" i="49"/>
  <c r="P26" i="49" s="1"/>
  <c r="O26" i="49"/>
  <c r="Q26" i="49" s="1"/>
  <c r="N27" i="49"/>
  <c r="O27" i="49"/>
  <c r="Q27" i="49" s="1"/>
  <c r="N28" i="49"/>
  <c r="O28" i="49"/>
  <c r="N29" i="49"/>
  <c r="P29" i="49" s="1"/>
  <c r="O29" i="49"/>
  <c r="Q29" i="49" s="1"/>
  <c r="N30" i="49"/>
  <c r="O30" i="49"/>
  <c r="Q30" i="49" s="1"/>
  <c r="N31" i="49"/>
  <c r="O31" i="49"/>
  <c r="Q31" i="49" s="1"/>
  <c r="N32" i="49"/>
  <c r="P32" i="49" s="1"/>
  <c r="O32" i="49"/>
  <c r="Q32" i="49" s="1"/>
  <c r="N33" i="49"/>
  <c r="O33" i="49"/>
  <c r="Q33" i="49" s="1"/>
  <c r="N34" i="49"/>
  <c r="P34" i="49" s="1"/>
  <c r="O34" i="49"/>
  <c r="Q34" i="49" s="1"/>
  <c r="N35" i="49"/>
  <c r="P35" i="49" s="1"/>
  <c r="O35" i="49"/>
  <c r="Q35" i="49" s="1"/>
  <c r="N36" i="49"/>
  <c r="O36" i="49"/>
  <c r="N37" i="49"/>
  <c r="P37" i="49" s="1"/>
  <c r="O37" i="49"/>
  <c r="Q37" i="49" s="1"/>
  <c r="N38" i="49"/>
  <c r="P38" i="49" s="1"/>
  <c r="O38" i="49"/>
  <c r="Q38" i="49" s="1"/>
  <c r="N39" i="49"/>
  <c r="P39" i="49" s="1"/>
  <c r="O39" i="49"/>
  <c r="N40" i="49"/>
  <c r="O40" i="49"/>
  <c r="Q40" i="49" s="1"/>
  <c r="N41" i="49"/>
  <c r="P41" i="49" s="1"/>
  <c r="O41" i="49"/>
  <c r="Q41" i="49" s="1"/>
  <c r="N42" i="49"/>
  <c r="P42" i="49" s="1"/>
  <c r="O42" i="49"/>
  <c r="Q42" i="49" s="1"/>
  <c r="N43" i="49"/>
  <c r="P43" i="49" s="1"/>
  <c r="O43" i="49"/>
  <c r="N44" i="49"/>
  <c r="O44" i="49"/>
  <c r="Q44" i="49" s="1"/>
  <c r="N45" i="49"/>
  <c r="P45" i="49" s="1"/>
  <c r="O45" i="49"/>
  <c r="Q45" i="49" s="1"/>
  <c r="N46" i="49"/>
  <c r="P46" i="49" s="1"/>
  <c r="O46" i="49"/>
  <c r="Q46" i="49" s="1"/>
  <c r="N47" i="49"/>
  <c r="O47" i="49"/>
  <c r="Q47" i="49" s="1"/>
  <c r="N48" i="49"/>
  <c r="P48" i="49" s="1"/>
  <c r="O48" i="49"/>
  <c r="Q48" i="49" s="1"/>
  <c r="N49" i="49"/>
  <c r="P49" i="49" s="1"/>
  <c r="O49" i="49"/>
  <c r="Q49" i="49" s="1"/>
  <c r="N50" i="49"/>
  <c r="P50" i="49" s="1"/>
  <c r="O50" i="49"/>
  <c r="Q50" i="49" s="1"/>
  <c r="N51" i="49"/>
  <c r="P51" i="49" s="1"/>
  <c r="O51" i="49"/>
  <c r="Q51" i="49" s="1"/>
  <c r="N52" i="49"/>
  <c r="P52" i="49" s="1"/>
  <c r="O52" i="49"/>
  <c r="Q52" i="49" s="1"/>
  <c r="N53" i="49"/>
  <c r="P53" i="49" s="1"/>
  <c r="O53" i="49"/>
  <c r="Q53" i="49" s="1"/>
  <c r="N54" i="49"/>
  <c r="O54" i="49"/>
  <c r="Q54" i="49" s="1"/>
  <c r="N55" i="49"/>
  <c r="O55" i="49"/>
  <c r="N56" i="49"/>
  <c r="P56" i="49" s="1"/>
  <c r="O56" i="49"/>
  <c r="N57" i="49"/>
  <c r="O57" i="49"/>
  <c r="Q57" i="49" s="1"/>
  <c r="N58" i="49"/>
  <c r="O58" i="49"/>
  <c r="Q58" i="49" s="1"/>
  <c r="N59" i="49"/>
  <c r="O59" i="49"/>
  <c r="Q59" i="49" s="1"/>
  <c r="N60" i="49"/>
  <c r="O60" i="49"/>
  <c r="Q60" i="49" s="1"/>
  <c r="N61" i="49"/>
  <c r="O61" i="49"/>
  <c r="Q61" i="49" s="1"/>
  <c r="N62" i="49"/>
  <c r="P62" i="49" s="1"/>
  <c r="O62" i="49"/>
  <c r="Q62" i="49" s="1"/>
  <c r="N63" i="49"/>
  <c r="O63" i="49"/>
  <c r="Q63" i="49" s="1"/>
  <c r="N64" i="49"/>
  <c r="O64" i="49"/>
  <c r="Q64" i="49" s="1"/>
  <c r="N65" i="49"/>
  <c r="O65" i="49"/>
  <c r="Q65" i="49" s="1"/>
  <c r="N66" i="49"/>
  <c r="O66" i="49"/>
  <c r="Q66" i="49" s="1"/>
  <c r="N67" i="49"/>
  <c r="O67" i="49"/>
  <c r="N68" i="49"/>
  <c r="O68" i="49"/>
  <c r="N69" i="49"/>
  <c r="O69" i="49"/>
  <c r="N70" i="49"/>
  <c r="P70" i="49" s="1"/>
  <c r="O70" i="49"/>
  <c r="N71" i="49"/>
  <c r="P71" i="49" s="1"/>
  <c r="O71" i="49"/>
  <c r="Q71" i="49" s="1"/>
  <c r="N72" i="49"/>
  <c r="O72" i="49"/>
  <c r="N73" i="49"/>
  <c r="P73" i="49" s="1"/>
  <c r="O73" i="49"/>
  <c r="Q73" i="49" s="1"/>
  <c r="N74" i="49"/>
  <c r="O74" i="49"/>
  <c r="Q74" i="49" s="1"/>
  <c r="N75" i="49"/>
  <c r="P75" i="49" s="1"/>
  <c r="O75" i="49"/>
  <c r="Q75" i="49" s="1"/>
  <c r="N76" i="49"/>
  <c r="O76" i="49"/>
  <c r="Q76" i="49" s="1"/>
  <c r="N77" i="49"/>
  <c r="P77" i="49" s="1"/>
  <c r="O77" i="49"/>
  <c r="Q77" i="49" s="1"/>
  <c r="N78" i="49"/>
  <c r="P78" i="49" s="1"/>
  <c r="O78" i="49"/>
  <c r="N79" i="49"/>
  <c r="O79" i="49"/>
  <c r="Q79" i="49" s="1"/>
  <c r="N80" i="49"/>
  <c r="O80" i="49"/>
  <c r="Q80" i="49" s="1"/>
  <c r="N81" i="49"/>
  <c r="P81" i="49" s="1"/>
  <c r="O81" i="49"/>
  <c r="Q81" i="49" s="1"/>
  <c r="N82" i="49"/>
  <c r="P82" i="49" s="1"/>
  <c r="O82" i="49"/>
  <c r="N83" i="49"/>
  <c r="O83" i="49"/>
  <c r="N84" i="49"/>
  <c r="P84" i="49" s="1"/>
  <c r="O84" i="49"/>
  <c r="Q84" i="49" s="1"/>
  <c r="N85" i="49"/>
  <c r="O85" i="49"/>
  <c r="Q85" i="49" s="1"/>
  <c r="N86" i="49"/>
  <c r="P86" i="49" s="1"/>
  <c r="O86" i="49"/>
  <c r="Q86" i="49" s="1"/>
  <c r="N87" i="49"/>
  <c r="P87" i="49" s="1"/>
  <c r="O87" i="49"/>
  <c r="Q87" i="49" s="1"/>
  <c r="Q16" i="49" l="1"/>
  <c r="F16" i="49" s="1"/>
  <c r="Q43" i="49"/>
  <c r="F43" i="49" s="1"/>
  <c r="Q39" i="49"/>
  <c r="F39" i="49" s="1"/>
  <c r="Q82" i="49"/>
  <c r="F82" i="49" s="1"/>
  <c r="Q78" i="49"/>
  <c r="F78" i="49" s="1"/>
  <c r="Q70" i="49"/>
  <c r="F70" i="49" s="1"/>
  <c r="Q20" i="49"/>
  <c r="F20" i="49" s="1"/>
  <c r="Q56" i="49"/>
  <c r="F56" i="49" s="1"/>
  <c r="S8" i="50"/>
  <c r="T8" i="50"/>
  <c r="U8" i="50"/>
  <c r="V8" i="50"/>
  <c r="W8" i="50"/>
  <c r="R22" i="49"/>
  <c r="S22" i="49"/>
  <c r="S60" i="49"/>
  <c r="R86" i="49"/>
  <c r="S80" i="49"/>
  <c r="R54" i="49"/>
  <c r="S64" i="49"/>
  <c r="R50" i="49"/>
  <c r="S51" i="49"/>
  <c r="S23" i="49"/>
  <c r="S74" i="49"/>
  <c r="R42" i="49"/>
  <c r="S14" i="49"/>
  <c r="R59" i="49"/>
  <c r="R47" i="49"/>
  <c r="R31" i="49"/>
  <c r="R23" i="49"/>
  <c r="R74" i="49"/>
  <c r="R32" i="49"/>
  <c r="R14" i="49"/>
  <c r="R70" i="49"/>
  <c r="R64" i="49"/>
  <c r="R30" i="49"/>
  <c r="R16" i="49"/>
  <c r="S66" i="49"/>
  <c r="S54" i="49"/>
  <c r="S30" i="49"/>
  <c r="R18" i="49"/>
  <c r="S85" i="49"/>
  <c r="S61" i="49"/>
  <c r="S62" i="49"/>
  <c r="R24" i="49"/>
  <c r="R80" i="49"/>
  <c r="S86" i="49"/>
  <c r="R85" i="49"/>
  <c r="R61" i="49"/>
  <c r="R62" i="49"/>
  <c r="R84" i="49"/>
  <c r="R52" i="49"/>
  <c r="R40" i="49"/>
  <c r="F86" i="49"/>
  <c r="S82" i="49"/>
  <c r="R72" i="49"/>
  <c r="S38" i="49"/>
  <c r="R82" i="49"/>
  <c r="S70" i="49"/>
  <c r="R60" i="49"/>
  <c r="R48" i="49"/>
  <c r="R38" i="49"/>
  <c r="S29" i="49"/>
  <c r="S21" i="49"/>
  <c r="S13" i="49"/>
  <c r="S78" i="49"/>
  <c r="R68" i="49"/>
  <c r="R58" i="49"/>
  <c r="R46" i="49"/>
  <c r="S34" i="49"/>
  <c r="S26" i="49"/>
  <c r="S18" i="49"/>
  <c r="S58" i="49"/>
  <c r="S46" i="49"/>
  <c r="R36" i="49"/>
  <c r="R28" i="49"/>
  <c r="R20" i="49"/>
  <c r="S12" i="49"/>
  <c r="R78" i="49"/>
  <c r="R56" i="49"/>
  <c r="R44" i="49"/>
  <c r="R34" i="49"/>
  <c r="R26" i="49"/>
  <c r="R76" i="49"/>
  <c r="R66" i="49"/>
  <c r="S42" i="49"/>
  <c r="S33" i="49"/>
  <c r="S25" i="49"/>
  <c r="S17" i="49"/>
  <c r="S50" i="49"/>
  <c r="P59" i="49"/>
  <c r="S81" i="49"/>
  <c r="S77" i="49"/>
  <c r="S73" i="49"/>
  <c r="S69" i="49"/>
  <c r="S65" i="49"/>
  <c r="S57" i="49"/>
  <c r="S53" i="49"/>
  <c r="S49" i="49"/>
  <c r="S45" i="49"/>
  <c r="S41" i="49"/>
  <c r="S37" i="49"/>
  <c r="R81" i="49"/>
  <c r="R77" i="49"/>
  <c r="R73" i="49"/>
  <c r="R69" i="49"/>
  <c r="R65" i="49"/>
  <c r="R57" i="49"/>
  <c r="R53" i="49"/>
  <c r="R49" i="49"/>
  <c r="R45" i="49"/>
  <c r="R41" i="49"/>
  <c r="R37" i="49"/>
  <c r="R33" i="49"/>
  <c r="R29" i="49"/>
  <c r="R25" i="49"/>
  <c r="R21" i="49"/>
  <c r="R17" i="49"/>
  <c r="R13" i="49"/>
  <c r="F51" i="49"/>
  <c r="R12" i="49"/>
  <c r="S84" i="49"/>
  <c r="S76" i="49"/>
  <c r="S72" i="49"/>
  <c r="S68" i="49"/>
  <c r="S56" i="49"/>
  <c r="S52" i="49"/>
  <c r="S48" i="49"/>
  <c r="S44" i="49"/>
  <c r="S40" i="49"/>
  <c r="S36" i="49"/>
  <c r="S32" i="49"/>
  <c r="S28" i="49"/>
  <c r="S24" i="49"/>
  <c r="S20" i="49"/>
  <c r="S16" i="49"/>
  <c r="S87" i="49"/>
  <c r="S83" i="49"/>
  <c r="S79" i="49"/>
  <c r="S75" i="49"/>
  <c r="S71" i="49"/>
  <c r="S67" i="49"/>
  <c r="S63" i="49"/>
  <c r="S59" i="49"/>
  <c r="S55" i="49"/>
  <c r="S47" i="49"/>
  <c r="S43" i="49"/>
  <c r="S39" i="49"/>
  <c r="S35" i="49"/>
  <c r="S31" i="49"/>
  <c r="S27" i="49"/>
  <c r="S19" i="49"/>
  <c r="S15" i="49"/>
  <c r="R87" i="49"/>
  <c r="R83" i="49"/>
  <c r="R79" i="49"/>
  <c r="R75" i="49"/>
  <c r="R71" i="49"/>
  <c r="R67" i="49"/>
  <c r="R63" i="49"/>
  <c r="R55" i="49"/>
  <c r="R51" i="49"/>
  <c r="R43" i="49"/>
  <c r="R39" i="49"/>
  <c r="T39" i="49" s="1"/>
  <c r="R35" i="49"/>
  <c r="T35" i="49" s="1"/>
  <c r="R27" i="49"/>
  <c r="R19" i="49"/>
  <c r="R15" i="49"/>
  <c r="F81" i="49"/>
  <c r="F41" i="49"/>
  <c r="F25" i="49"/>
  <c r="F84" i="49"/>
  <c r="F52" i="49"/>
  <c r="F48" i="49"/>
  <c r="F32" i="49"/>
  <c r="F12" i="49"/>
  <c r="B12" i="49" s="1"/>
  <c r="F73" i="49"/>
  <c r="F53" i="49"/>
  <c r="F37" i="49"/>
  <c r="F87" i="49"/>
  <c r="F75" i="49"/>
  <c r="F19" i="49"/>
  <c r="F77" i="49"/>
  <c r="F45" i="49"/>
  <c r="F79" i="49"/>
  <c r="F59" i="49"/>
  <c r="F50" i="49"/>
  <c r="F46" i="49"/>
  <c r="F42" i="49"/>
  <c r="F38" i="49"/>
  <c r="F34" i="49"/>
  <c r="F26" i="49"/>
  <c r="F18" i="49"/>
  <c r="F14" i="49"/>
  <c r="F49" i="49"/>
  <c r="F29" i="49"/>
  <c r="F71" i="49"/>
  <c r="F62" i="49"/>
  <c r="F35" i="49"/>
  <c r="AK19" i="26"/>
  <c r="AK20" i="26"/>
  <c r="AK21" i="26"/>
  <c r="AK22" i="26"/>
  <c r="AK23" i="26"/>
  <c r="AK24" i="26"/>
  <c r="AK25" i="26"/>
  <c r="AK26" i="26"/>
  <c r="AK27" i="26"/>
  <c r="AK28" i="26"/>
  <c r="AK29" i="26"/>
  <c r="AK30" i="26"/>
  <c r="AK31" i="26"/>
  <c r="AK32" i="26"/>
  <c r="AK33" i="26"/>
  <c r="AK34" i="26"/>
  <c r="AK35" i="26"/>
  <c r="AK36" i="26"/>
  <c r="AK37" i="26"/>
  <c r="AK38" i="26"/>
  <c r="AK39" i="26"/>
  <c r="AK40" i="26"/>
  <c r="AK41" i="26"/>
  <c r="AK42" i="26"/>
  <c r="AK43" i="26"/>
  <c r="AK44" i="26"/>
  <c r="AK45" i="26"/>
  <c r="AK46" i="26"/>
  <c r="AK47" i="26"/>
  <c r="AK48" i="26"/>
  <c r="AK49" i="26"/>
  <c r="AK50" i="26"/>
  <c r="AK51" i="26"/>
  <c r="AK52" i="26"/>
  <c r="AK53" i="26"/>
  <c r="AK54" i="26"/>
  <c r="AK55" i="26"/>
  <c r="AK56" i="26"/>
  <c r="AK57" i="26"/>
  <c r="AK58" i="26"/>
  <c r="AK59" i="26"/>
  <c r="AK18" i="26"/>
  <c r="A57" i="22"/>
  <c r="AD48" i="22" s="1"/>
  <c r="T12" i="49" l="1"/>
  <c r="U12" i="49" s="1"/>
  <c r="T43" i="49"/>
  <c r="AB43" i="49" s="1"/>
  <c r="T55" i="49"/>
  <c r="U55" i="49" s="1"/>
  <c r="T79" i="49"/>
  <c r="V79" i="49" s="1"/>
  <c r="T66" i="49"/>
  <c r="Z66" i="49" s="1"/>
  <c r="T14" i="49"/>
  <c r="Y14" i="49" s="1"/>
  <c r="T85" i="49"/>
  <c r="AA85" i="49" s="1"/>
  <c r="T78" i="49"/>
  <c r="V78" i="49" s="1"/>
  <c r="T17" i="49"/>
  <c r="X17" i="49" s="1"/>
  <c r="T80" i="49"/>
  <c r="Z80" i="49" s="1"/>
  <c r="T15" i="49"/>
  <c r="V15" i="49" s="1"/>
  <c r="T53" i="49"/>
  <c r="AB53" i="49" s="1"/>
  <c r="T46" i="49"/>
  <c r="AA46" i="49" s="1"/>
  <c r="T40" i="49"/>
  <c r="W40" i="49" s="1"/>
  <c r="T57" i="49"/>
  <c r="U57" i="49" s="1"/>
  <c r="T76" i="49"/>
  <c r="Z76" i="49" s="1"/>
  <c r="T75" i="49"/>
  <c r="AB75" i="49" s="1"/>
  <c r="T87" i="49"/>
  <c r="AB87" i="49" s="1"/>
  <c r="T50" i="49"/>
  <c r="AA50" i="49" s="1"/>
  <c r="T67" i="49"/>
  <c r="AA67" i="49" s="1"/>
  <c r="T19" i="49"/>
  <c r="AA19" i="49" s="1"/>
  <c r="T83" i="49"/>
  <c r="Z83" i="49" s="1"/>
  <c r="T28" i="49"/>
  <c r="X28" i="49" s="1"/>
  <c r="T47" i="49"/>
  <c r="V47" i="49" s="1"/>
  <c r="T54" i="49"/>
  <c r="U54" i="49" s="1"/>
  <c r="T13" i="49"/>
  <c r="AB13" i="49" s="1"/>
  <c r="T38" i="49"/>
  <c r="U38" i="49" s="1"/>
  <c r="T21" i="49"/>
  <c r="AB21" i="49" s="1"/>
  <c r="T16" i="49"/>
  <c r="AB16" i="49" s="1"/>
  <c r="T29" i="49"/>
  <c r="Z29" i="49" s="1"/>
  <c r="T65" i="49"/>
  <c r="U65" i="49" s="1"/>
  <c r="T26" i="49"/>
  <c r="AB26" i="49" s="1"/>
  <c r="T58" i="49"/>
  <c r="U58" i="49" s="1"/>
  <c r="T60" i="49"/>
  <c r="V60" i="49" s="1"/>
  <c r="T52" i="49"/>
  <c r="Z52" i="49" s="1"/>
  <c r="T30" i="49"/>
  <c r="Y30" i="49" s="1"/>
  <c r="T22" i="49"/>
  <c r="AA22" i="49" s="1"/>
  <c r="T25" i="49"/>
  <c r="Z25" i="49" s="1"/>
  <c r="T20" i="49"/>
  <c r="V20" i="49" s="1"/>
  <c r="T48" i="49"/>
  <c r="X48" i="49" s="1"/>
  <c r="T24" i="49"/>
  <c r="Z24" i="49" s="1"/>
  <c r="T33" i="49"/>
  <c r="AA33" i="49" s="1"/>
  <c r="T69" i="49"/>
  <c r="V69" i="49" s="1"/>
  <c r="T59" i="49"/>
  <c r="AB59" i="49" s="1"/>
  <c r="T23" i="49"/>
  <c r="U23" i="49" s="1"/>
  <c r="T31" i="49"/>
  <c r="X31" i="49" s="1"/>
  <c r="T37" i="49"/>
  <c r="Y37" i="49" s="1"/>
  <c r="T73" i="49"/>
  <c r="Y73" i="49" s="1"/>
  <c r="T51" i="49"/>
  <c r="T81" i="49"/>
  <c r="T27" i="49"/>
  <c r="T71" i="49"/>
  <c r="T49" i="49"/>
  <c r="T74" i="49"/>
  <c r="T36" i="49"/>
  <c r="T84" i="49"/>
  <c r="T44" i="49"/>
  <c r="T82" i="49"/>
  <c r="T62" i="49"/>
  <c r="T70" i="49"/>
  <c r="Y35" i="49"/>
  <c r="U35" i="49"/>
  <c r="Z35" i="49"/>
  <c r="V35" i="49"/>
  <c r="AA35" i="49"/>
  <c r="W35" i="49"/>
  <c r="AB35" i="49"/>
  <c r="X35" i="49"/>
  <c r="T34" i="49"/>
  <c r="T68" i="49"/>
  <c r="T64" i="49"/>
  <c r="T63" i="49"/>
  <c r="T41" i="49"/>
  <c r="T77" i="49"/>
  <c r="T56" i="49"/>
  <c r="T61" i="49"/>
  <c r="T18" i="49"/>
  <c r="T42" i="49"/>
  <c r="T86" i="49"/>
  <c r="Y39" i="49"/>
  <c r="U39" i="49"/>
  <c r="Z39" i="49"/>
  <c r="V39" i="49"/>
  <c r="AA39" i="49"/>
  <c r="W39" i="49"/>
  <c r="AB39" i="49"/>
  <c r="X39" i="49"/>
  <c r="T45" i="49"/>
  <c r="T72" i="49"/>
  <c r="T32" i="49"/>
  <c r="X8" i="50"/>
  <c r="AS1" i="22" s="1"/>
  <c r="M4" i="46"/>
  <c r="Y43" i="49" l="1"/>
  <c r="U43" i="49"/>
  <c r="Z12" i="49"/>
  <c r="X43" i="49"/>
  <c r="W43" i="49"/>
  <c r="AA43" i="49"/>
  <c r="V43" i="49"/>
  <c r="Z43" i="49"/>
  <c r="Y55" i="49"/>
  <c r="AB80" i="49"/>
  <c r="X55" i="49"/>
  <c r="AB55" i="49"/>
  <c r="V55" i="49"/>
  <c r="W55" i="49"/>
  <c r="AA55" i="49"/>
  <c r="Z55" i="49"/>
  <c r="W14" i="49"/>
  <c r="V14" i="49"/>
  <c r="AB40" i="49"/>
  <c r="Z40" i="49"/>
  <c r="AB14" i="49"/>
  <c r="X80" i="49"/>
  <c r="AA40" i="49"/>
  <c r="X14" i="49"/>
  <c r="W29" i="49"/>
  <c r="U40" i="49"/>
  <c r="Z79" i="49"/>
  <c r="AB83" i="49"/>
  <c r="X40" i="49"/>
  <c r="AA14" i="49"/>
  <c r="Y40" i="49"/>
  <c r="Z14" i="49"/>
  <c r="V40" i="49"/>
  <c r="U14" i="49"/>
  <c r="W85" i="49"/>
  <c r="U79" i="49"/>
  <c r="Y79" i="49"/>
  <c r="X85" i="49"/>
  <c r="AB79" i="49"/>
  <c r="W79" i="49"/>
  <c r="AA79" i="49"/>
  <c r="X79" i="49"/>
  <c r="Y57" i="49"/>
  <c r="W17" i="49"/>
  <c r="V85" i="49"/>
  <c r="W57" i="49"/>
  <c r="AA57" i="49"/>
  <c r="U85" i="49"/>
  <c r="Y85" i="49"/>
  <c r="Z57" i="49"/>
  <c r="Z85" i="49"/>
  <c r="X57" i="49"/>
  <c r="AB57" i="49"/>
  <c r="AB85" i="49"/>
  <c r="V57" i="49"/>
  <c r="X78" i="49"/>
  <c r="V17" i="49"/>
  <c r="Z75" i="49"/>
  <c r="Y83" i="49"/>
  <c r="V76" i="49"/>
  <c r="U76" i="49"/>
  <c r="AB78" i="49"/>
  <c r="Z78" i="49"/>
  <c r="Y78" i="49"/>
  <c r="V87" i="49"/>
  <c r="W76" i="49"/>
  <c r="V46" i="49"/>
  <c r="AB76" i="49"/>
  <c r="X66" i="49"/>
  <c r="AB66" i="49"/>
  <c r="W75" i="49"/>
  <c r="W66" i="49"/>
  <c r="U66" i="49"/>
  <c r="Y66" i="49"/>
  <c r="Z87" i="49"/>
  <c r="AA75" i="49"/>
  <c r="AB19" i="49"/>
  <c r="AA66" i="49"/>
  <c r="V66" i="49"/>
  <c r="Y16" i="49"/>
  <c r="Y80" i="49"/>
  <c r="W87" i="49"/>
  <c r="Y15" i="49"/>
  <c r="AA87" i="49"/>
  <c r="AB17" i="49"/>
  <c r="U80" i="49"/>
  <c r="U78" i="49"/>
  <c r="X76" i="49"/>
  <c r="V75" i="49"/>
  <c r="AA17" i="49"/>
  <c r="Z17" i="49"/>
  <c r="W78" i="49"/>
  <c r="Y76" i="49"/>
  <c r="Y75" i="49"/>
  <c r="W53" i="49"/>
  <c r="U17" i="49"/>
  <c r="Z50" i="49"/>
  <c r="U75" i="49"/>
  <c r="V50" i="49"/>
  <c r="AA78" i="49"/>
  <c r="AA76" i="49"/>
  <c r="X75" i="49"/>
  <c r="Z15" i="49"/>
  <c r="AA53" i="49"/>
  <c r="Y17" i="49"/>
  <c r="U50" i="49"/>
  <c r="W38" i="49"/>
  <c r="U15" i="49"/>
  <c r="Y50" i="49"/>
  <c r="AB15" i="49"/>
  <c r="U46" i="49"/>
  <c r="U53" i="49"/>
  <c r="Z69" i="49"/>
  <c r="U87" i="49"/>
  <c r="X50" i="49"/>
  <c r="AA80" i="49"/>
  <c r="V23" i="49"/>
  <c r="Z46" i="49"/>
  <c r="V52" i="49"/>
  <c r="X67" i="49"/>
  <c r="V67" i="49"/>
  <c r="W15" i="49"/>
  <c r="Y46" i="49"/>
  <c r="Y53" i="49"/>
  <c r="U69" i="49"/>
  <c r="Y87" i="49"/>
  <c r="AB50" i="49"/>
  <c r="W80" i="49"/>
  <c r="Z23" i="49"/>
  <c r="V53" i="49"/>
  <c r="AB46" i="49"/>
  <c r="Z53" i="49"/>
  <c r="Z67" i="49"/>
  <c r="AA15" i="49"/>
  <c r="W46" i="49"/>
  <c r="X53" i="49"/>
  <c r="X87" i="49"/>
  <c r="W50" i="49"/>
  <c r="V80" i="49"/>
  <c r="Y22" i="49"/>
  <c r="Y19" i="49"/>
  <c r="X46" i="49"/>
  <c r="X15" i="49"/>
  <c r="Y67" i="49"/>
  <c r="AA65" i="49"/>
  <c r="Z31" i="49"/>
  <c r="Y25" i="49"/>
  <c r="Z16" i="49"/>
  <c r="U16" i="49"/>
  <c r="AB29" i="49"/>
  <c r="V19" i="49"/>
  <c r="U67" i="49"/>
  <c r="X16" i="49"/>
  <c r="Y23" i="49"/>
  <c r="Z19" i="49"/>
  <c r="V22" i="49"/>
  <c r="AB67" i="49"/>
  <c r="AA16" i="49"/>
  <c r="AB23" i="49"/>
  <c r="Z22" i="49"/>
  <c r="X23" i="49"/>
  <c r="W67" i="49"/>
  <c r="W16" i="49"/>
  <c r="W23" i="49"/>
  <c r="AB22" i="49"/>
  <c r="V16" i="49"/>
  <c r="AA23" i="49"/>
  <c r="AB28" i="49"/>
  <c r="U22" i="49"/>
  <c r="X19" i="49"/>
  <c r="AB31" i="49"/>
  <c r="W83" i="49"/>
  <c r="AB47" i="49"/>
  <c r="Z47" i="49"/>
  <c r="W26" i="49"/>
  <c r="Y28" i="49"/>
  <c r="X29" i="49"/>
  <c r="U83" i="49"/>
  <c r="X22" i="49"/>
  <c r="U19" i="49"/>
  <c r="W31" i="49"/>
  <c r="AA12" i="49"/>
  <c r="U29" i="49"/>
  <c r="AB20" i="49"/>
  <c r="AA31" i="49"/>
  <c r="AA28" i="49"/>
  <c r="Y29" i="49"/>
  <c r="W22" i="49"/>
  <c r="W19" i="49"/>
  <c r="Z20" i="49"/>
  <c r="W65" i="49"/>
  <c r="V31" i="49"/>
  <c r="E12" i="49"/>
  <c r="Z28" i="49"/>
  <c r="X83" i="49"/>
  <c r="X25" i="49"/>
  <c r="X58" i="49"/>
  <c r="AA48" i="49"/>
  <c r="U20" i="49"/>
  <c r="AB58" i="49"/>
  <c r="Z33" i="49"/>
  <c r="U31" i="49"/>
  <c r="AA37" i="49"/>
  <c r="V28" i="49"/>
  <c r="AA29" i="49"/>
  <c r="AA83" i="49"/>
  <c r="Y20" i="49"/>
  <c r="AA13" i="49"/>
  <c r="AB25" i="49"/>
  <c r="W73" i="49"/>
  <c r="AA54" i="49"/>
  <c r="X65" i="49"/>
  <c r="Y60" i="49"/>
  <c r="Y31" i="49"/>
  <c r="X12" i="49"/>
  <c r="U28" i="49"/>
  <c r="V29" i="49"/>
  <c r="V83" i="49"/>
  <c r="V13" i="49"/>
  <c r="AA25" i="49"/>
  <c r="W48" i="49"/>
  <c r="W37" i="49"/>
  <c r="W28" i="49"/>
  <c r="W13" i="49"/>
  <c r="AB65" i="49"/>
  <c r="AB12" i="49"/>
  <c r="U25" i="49"/>
  <c r="AB37" i="49"/>
  <c r="W54" i="49"/>
  <c r="X47" i="49"/>
  <c r="Y26" i="49"/>
  <c r="Y54" i="49"/>
  <c r="U47" i="49"/>
  <c r="Y38" i="49"/>
  <c r="Y48" i="49"/>
  <c r="V54" i="49"/>
  <c r="W21" i="49"/>
  <c r="Y47" i="49"/>
  <c r="W30" i="49"/>
  <c r="W59" i="49"/>
  <c r="X24" i="49"/>
  <c r="W52" i="49"/>
  <c r="AA59" i="49"/>
  <c r="X69" i="49"/>
  <c r="X30" i="49"/>
  <c r="U13" i="49"/>
  <c r="Y21" i="49"/>
  <c r="Y59" i="49"/>
  <c r="X54" i="49"/>
  <c r="W69" i="49"/>
  <c r="W47" i="49"/>
  <c r="X38" i="49"/>
  <c r="Y13" i="49"/>
  <c r="AB52" i="49"/>
  <c r="Y69" i="49"/>
  <c r="AA38" i="49"/>
  <c r="AA52" i="49"/>
  <c r="Z30" i="49"/>
  <c r="Z59" i="49"/>
  <c r="Z13" i="49"/>
  <c r="U21" i="49"/>
  <c r="Z54" i="49"/>
  <c r="AB69" i="49"/>
  <c r="AB24" i="49"/>
  <c r="AB30" i="49"/>
  <c r="AB54" i="49"/>
  <c r="AA69" i="49"/>
  <c r="AA47" i="49"/>
  <c r="AB38" i="49"/>
  <c r="X13" i="49"/>
  <c r="U52" i="49"/>
  <c r="AA30" i="49"/>
  <c r="AA21" i="49"/>
  <c r="V30" i="49"/>
  <c r="V21" i="49"/>
  <c r="V59" i="49"/>
  <c r="Z21" i="49"/>
  <c r="V38" i="49"/>
  <c r="Y52" i="49"/>
  <c r="U59" i="49"/>
  <c r="Z38" i="49"/>
  <c r="X52" i="49"/>
  <c r="U30" i="49"/>
  <c r="X21" i="49"/>
  <c r="X59" i="49"/>
  <c r="AB73" i="49"/>
  <c r="X26" i="49"/>
  <c r="W25" i="49"/>
  <c r="AA73" i="49"/>
  <c r="AA58" i="49"/>
  <c r="V37" i="49"/>
  <c r="Y58" i="49"/>
  <c r="Y65" i="49"/>
  <c r="V33" i="49"/>
  <c r="U60" i="49"/>
  <c r="X73" i="49"/>
  <c r="X37" i="49"/>
  <c r="W12" i="49"/>
  <c r="D12" i="49"/>
  <c r="U24" i="49"/>
  <c r="X20" i="49"/>
  <c r="U26" i="49"/>
  <c r="AB48" i="49"/>
  <c r="U33" i="49"/>
  <c r="Y33" i="49"/>
  <c r="Y24" i="49"/>
  <c r="V73" i="49"/>
  <c r="V58" i="49"/>
  <c r="V65" i="49"/>
  <c r="AB33" i="49"/>
  <c r="Z60" i="49"/>
  <c r="Z73" i="49"/>
  <c r="Z37" i="49"/>
  <c r="Y12" i="49"/>
  <c r="W24" i="49"/>
  <c r="W20" i="49"/>
  <c r="V26" i="49"/>
  <c r="Z48" i="49"/>
  <c r="X60" i="49"/>
  <c r="AB60" i="49"/>
  <c r="AA26" i="49"/>
  <c r="Z58" i="49"/>
  <c r="Z65" i="49"/>
  <c r="W33" i="49"/>
  <c r="W60" i="49"/>
  <c r="U73" i="49"/>
  <c r="U37" i="49"/>
  <c r="V12" i="49"/>
  <c r="AA24" i="49"/>
  <c r="AA20" i="49"/>
  <c r="Z26" i="49"/>
  <c r="U48" i="49"/>
  <c r="V25" i="49"/>
  <c r="W58" i="49"/>
  <c r="X33" i="49"/>
  <c r="AA60" i="49"/>
  <c r="V24" i="49"/>
  <c r="V48" i="49"/>
  <c r="Y82" i="49"/>
  <c r="U82" i="49"/>
  <c r="AB82" i="49"/>
  <c r="Z82" i="49"/>
  <c r="V82" i="49"/>
  <c r="AA82" i="49"/>
  <c r="W82" i="49"/>
  <c r="X82" i="49"/>
  <c r="Y86" i="49"/>
  <c r="U86" i="49"/>
  <c r="X86" i="49"/>
  <c r="Z86" i="49"/>
  <c r="V86" i="49"/>
  <c r="AA86" i="49"/>
  <c r="W86" i="49"/>
  <c r="AB86" i="49"/>
  <c r="Y41" i="49"/>
  <c r="U41" i="49"/>
  <c r="Z41" i="49"/>
  <c r="V41" i="49"/>
  <c r="AA41" i="49"/>
  <c r="W41" i="49"/>
  <c r="AB41" i="49"/>
  <c r="X41" i="49"/>
  <c r="U44" i="49"/>
  <c r="AB44" i="49"/>
  <c r="X44" i="49"/>
  <c r="Y44" i="49"/>
  <c r="V44" i="49"/>
  <c r="W44" i="49"/>
  <c r="AA44" i="49"/>
  <c r="Z44" i="49"/>
  <c r="Y49" i="49"/>
  <c r="U49" i="49"/>
  <c r="Z49" i="49"/>
  <c r="V49" i="49"/>
  <c r="AA49" i="49"/>
  <c r="W49" i="49"/>
  <c r="AB49" i="49"/>
  <c r="X49" i="49"/>
  <c r="Y42" i="49"/>
  <c r="U42" i="49"/>
  <c r="AB42" i="49"/>
  <c r="Z42" i="49"/>
  <c r="V42" i="49"/>
  <c r="AA42" i="49"/>
  <c r="W42" i="49"/>
  <c r="X42" i="49"/>
  <c r="Y63" i="49"/>
  <c r="U63" i="49"/>
  <c r="Z63" i="49"/>
  <c r="V63" i="49"/>
  <c r="AA63" i="49"/>
  <c r="W63" i="49"/>
  <c r="AB63" i="49"/>
  <c r="X63" i="49"/>
  <c r="Y71" i="49"/>
  <c r="U71" i="49"/>
  <c r="Z71" i="49"/>
  <c r="V71" i="49"/>
  <c r="AA71" i="49"/>
  <c r="W71" i="49"/>
  <c r="AB71" i="49"/>
  <c r="X71" i="49"/>
  <c r="Y45" i="49"/>
  <c r="U45" i="49"/>
  <c r="Z45" i="49"/>
  <c r="V45" i="49"/>
  <c r="AA45" i="49"/>
  <c r="W45" i="49"/>
  <c r="AB45" i="49"/>
  <c r="X45" i="49"/>
  <c r="Y81" i="49"/>
  <c r="U81" i="49"/>
  <c r="Z81" i="49"/>
  <c r="V81" i="49"/>
  <c r="AA81" i="49"/>
  <c r="W81" i="49"/>
  <c r="AB81" i="49"/>
  <c r="X81" i="49"/>
  <c r="Y18" i="49"/>
  <c r="U18" i="49"/>
  <c r="AB18" i="49"/>
  <c r="Z18" i="49"/>
  <c r="V18" i="49"/>
  <c r="AA18" i="49"/>
  <c r="W18" i="49"/>
  <c r="X18" i="49"/>
  <c r="Y34" i="49"/>
  <c r="U34" i="49"/>
  <c r="Z34" i="49"/>
  <c r="V34" i="49"/>
  <c r="AA34" i="49"/>
  <c r="W34" i="49"/>
  <c r="AB34" i="49"/>
  <c r="X34" i="49"/>
  <c r="Y74" i="49"/>
  <c r="U74" i="49"/>
  <c r="AB74" i="49"/>
  <c r="Z74" i="49"/>
  <c r="V74" i="49"/>
  <c r="AA74" i="49"/>
  <c r="W74" i="49"/>
  <c r="X74" i="49"/>
  <c r="Y64" i="49"/>
  <c r="U64" i="49"/>
  <c r="AB64" i="49"/>
  <c r="X64" i="49"/>
  <c r="V64" i="49"/>
  <c r="W64" i="49"/>
  <c r="Z64" i="49"/>
  <c r="AA64" i="49"/>
  <c r="Y27" i="49"/>
  <c r="U27" i="49"/>
  <c r="Z27" i="49"/>
  <c r="V27" i="49"/>
  <c r="AA27" i="49"/>
  <c r="W27" i="49"/>
  <c r="AB27" i="49"/>
  <c r="X27" i="49"/>
  <c r="AB68" i="49"/>
  <c r="X68" i="49"/>
  <c r="Y68" i="49"/>
  <c r="U68" i="49"/>
  <c r="V68" i="49"/>
  <c r="AA68" i="49"/>
  <c r="W68" i="49"/>
  <c r="Z68" i="49"/>
  <c r="G32" i="50"/>
  <c r="C41" i="50" s="1"/>
  <c r="Y61" i="49"/>
  <c r="U61" i="49"/>
  <c r="Z61" i="49"/>
  <c r="V61" i="49"/>
  <c r="AA61" i="49"/>
  <c r="W61" i="49"/>
  <c r="AB61" i="49"/>
  <c r="X61" i="49"/>
  <c r="Y70" i="49"/>
  <c r="U70" i="49"/>
  <c r="AB70" i="49"/>
  <c r="X70" i="49"/>
  <c r="Z70" i="49"/>
  <c r="V70" i="49"/>
  <c r="AA70" i="49"/>
  <c r="W70" i="49"/>
  <c r="Q32" i="50"/>
  <c r="E41" i="50" s="1"/>
  <c r="Y84" i="49"/>
  <c r="U84" i="49"/>
  <c r="AB84" i="49"/>
  <c r="X84" i="49"/>
  <c r="AA84" i="49"/>
  <c r="V84" i="49"/>
  <c r="W84" i="49"/>
  <c r="Z84" i="49"/>
  <c r="Y77" i="49"/>
  <c r="U77" i="49"/>
  <c r="Z77" i="49"/>
  <c r="V77" i="49"/>
  <c r="AA77" i="49"/>
  <c r="W77" i="49"/>
  <c r="AB77" i="49"/>
  <c r="X77" i="49"/>
  <c r="U32" i="49"/>
  <c r="AB32" i="49"/>
  <c r="X32" i="49"/>
  <c r="Y32" i="49"/>
  <c r="V32" i="49"/>
  <c r="W32" i="49"/>
  <c r="Z32" i="49"/>
  <c r="AA32" i="49"/>
  <c r="U72" i="49"/>
  <c r="AB72" i="49"/>
  <c r="X72" i="49"/>
  <c r="Y72" i="49"/>
  <c r="Z72" i="49"/>
  <c r="AA72" i="49"/>
  <c r="W72" i="49"/>
  <c r="V72" i="49"/>
  <c r="U56" i="49"/>
  <c r="Y56" i="49"/>
  <c r="AB56" i="49"/>
  <c r="X56" i="49"/>
  <c r="Z56" i="49"/>
  <c r="W56" i="49"/>
  <c r="AA56" i="49"/>
  <c r="V56" i="49"/>
  <c r="Y62" i="49"/>
  <c r="U62" i="49"/>
  <c r="AB62" i="49"/>
  <c r="X62" i="49"/>
  <c r="Z62" i="49"/>
  <c r="V62" i="49"/>
  <c r="AA62" i="49"/>
  <c r="W62" i="49"/>
  <c r="Y36" i="49"/>
  <c r="AB36" i="49"/>
  <c r="X36" i="49"/>
  <c r="U36" i="49"/>
  <c r="V36" i="49"/>
  <c r="AA36" i="49"/>
  <c r="W36" i="49"/>
  <c r="Z36" i="49"/>
  <c r="Y51" i="49"/>
  <c r="U51" i="49"/>
  <c r="Z51" i="49"/>
  <c r="V51" i="49"/>
  <c r="AA51" i="49"/>
  <c r="W51" i="49"/>
  <c r="AB51" i="49"/>
  <c r="X51" i="49"/>
  <c r="R7" i="26"/>
  <c r="E13" i="49" l="1"/>
  <c r="E14" i="49" s="1"/>
  <c r="E15" i="49" s="1"/>
  <c r="E16" i="49" s="1"/>
  <c r="E17" i="49" s="1"/>
  <c r="E18" i="49" s="1"/>
  <c r="E19" i="49" s="1"/>
  <c r="E20" i="49" s="1"/>
  <c r="E21" i="49" s="1"/>
  <c r="E22" i="49" s="1"/>
  <c r="E23" i="49" s="1"/>
  <c r="E24" i="49" s="1"/>
  <c r="E25" i="49" s="1"/>
  <c r="E26" i="49" s="1"/>
  <c r="E27" i="49" s="1"/>
  <c r="E28" i="49" s="1"/>
  <c r="E29" i="49" s="1"/>
  <c r="E30" i="49" s="1"/>
  <c r="E31" i="49" s="1"/>
  <c r="E32" i="49" s="1"/>
  <c r="E33" i="49" s="1"/>
  <c r="E34" i="49" s="1"/>
  <c r="E35" i="49" s="1"/>
  <c r="E36" i="49" s="1"/>
  <c r="E37" i="49" s="1"/>
  <c r="E38" i="49" s="1"/>
  <c r="E39" i="49" s="1"/>
  <c r="E40" i="49" s="1"/>
  <c r="E41" i="49" s="1"/>
  <c r="E42" i="49" s="1"/>
  <c r="E43" i="49" s="1"/>
  <c r="E44" i="49" s="1"/>
  <c r="E45" i="49" s="1"/>
  <c r="E46" i="49" s="1"/>
  <c r="E47" i="49" s="1"/>
  <c r="E48" i="49" s="1"/>
  <c r="E49" i="49" s="1"/>
  <c r="E50" i="49" s="1"/>
  <c r="E51" i="49" s="1"/>
  <c r="E52" i="49" s="1"/>
  <c r="E53" i="49" s="1"/>
  <c r="E54" i="49" s="1"/>
  <c r="E55" i="49" s="1"/>
  <c r="E56" i="49" s="1"/>
  <c r="E57" i="49" s="1"/>
  <c r="E58" i="49" s="1"/>
  <c r="E59" i="49" s="1"/>
  <c r="E60" i="49" s="1"/>
  <c r="E61" i="49" s="1"/>
  <c r="E62" i="49" s="1"/>
  <c r="E63" i="49" s="1"/>
  <c r="E64" i="49" s="1"/>
  <c r="E65" i="49" s="1"/>
  <c r="E66" i="49" s="1"/>
  <c r="E67" i="49" s="1"/>
  <c r="E68" i="49" s="1"/>
  <c r="E69" i="49" s="1"/>
  <c r="E70" i="49" s="1"/>
  <c r="E71" i="49" s="1"/>
  <c r="E72" i="49" s="1"/>
  <c r="E73" i="49" s="1"/>
  <c r="E74" i="49" s="1"/>
  <c r="E75" i="49" s="1"/>
  <c r="E76" i="49" s="1"/>
  <c r="E77" i="49" s="1"/>
  <c r="E78" i="49" s="1"/>
  <c r="E79" i="49" s="1"/>
  <c r="E80" i="49" s="1"/>
  <c r="E81" i="49" s="1"/>
  <c r="E82" i="49" s="1"/>
  <c r="E83" i="49" s="1"/>
  <c r="E84" i="49" s="1"/>
  <c r="E85" i="49" s="1"/>
  <c r="E86" i="49" s="1"/>
  <c r="E87" i="49" s="1"/>
  <c r="D13" i="49"/>
  <c r="D14" i="49" s="1"/>
  <c r="D15" i="49" s="1"/>
  <c r="D16" i="49" s="1"/>
  <c r="D17" i="49" s="1"/>
  <c r="D18" i="49" s="1"/>
  <c r="D19" i="49" s="1"/>
  <c r="D20" i="49" s="1"/>
  <c r="D21" i="49" s="1"/>
  <c r="D22" i="49" s="1"/>
  <c r="D23" i="49" s="1"/>
  <c r="D24" i="49" s="1"/>
  <c r="D25" i="49" s="1"/>
  <c r="D26" i="49" s="1"/>
  <c r="D27" i="49" s="1"/>
  <c r="D28" i="49" s="1"/>
  <c r="D29" i="49" s="1"/>
  <c r="D30" i="49" s="1"/>
  <c r="D31" i="49" s="1"/>
  <c r="D32" i="49" s="1"/>
  <c r="D33" i="49" s="1"/>
  <c r="D34" i="49" s="1"/>
  <c r="D35" i="49" s="1"/>
  <c r="D36" i="49" s="1"/>
  <c r="D37" i="49" s="1"/>
  <c r="D38" i="49" s="1"/>
  <c r="D39" i="49" s="1"/>
  <c r="D40" i="49" s="1"/>
  <c r="D41" i="49" s="1"/>
  <c r="D42" i="49" s="1"/>
  <c r="D43" i="49" s="1"/>
  <c r="D44" i="49" s="1"/>
  <c r="D45" i="49" s="1"/>
  <c r="D46" i="49" s="1"/>
  <c r="D47" i="49" s="1"/>
  <c r="D48" i="49" s="1"/>
  <c r="D49" i="49" s="1"/>
  <c r="D50" i="49" s="1"/>
  <c r="D51" i="49" s="1"/>
  <c r="D52" i="49" s="1"/>
  <c r="D53" i="49" s="1"/>
  <c r="D54" i="49" s="1"/>
  <c r="D55" i="49" s="1"/>
  <c r="D56" i="49" s="1"/>
  <c r="D57" i="49" s="1"/>
  <c r="D58" i="49" s="1"/>
  <c r="D59" i="49" s="1"/>
  <c r="D60" i="49" s="1"/>
  <c r="D61" i="49" s="1"/>
  <c r="D62" i="49" s="1"/>
  <c r="D63" i="49" s="1"/>
  <c r="D64" i="49" s="1"/>
  <c r="D65" i="49" s="1"/>
  <c r="D66" i="49" s="1"/>
  <c r="D67" i="49" s="1"/>
  <c r="D68" i="49" s="1"/>
  <c r="D69" i="49" s="1"/>
  <c r="D70" i="49" s="1"/>
  <c r="D71" i="49" s="1"/>
  <c r="D72" i="49" s="1"/>
  <c r="D73" i="49" s="1"/>
  <c r="D74" i="49" s="1"/>
  <c r="D75" i="49" s="1"/>
  <c r="D76" i="49" s="1"/>
  <c r="D77" i="49" s="1"/>
  <c r="D78" i="49" s="1"/>
  <c r="D79" i="49" s="1"/>
  <c r="D80" i="49" s="1"/>
  <c r="D81" i="49" s="1"/>
  <c r="D82" i="49" s="1"/>
  <c r="D83" i="49" s="1"/>
  <c r="D84" i="49" s="1"/>
  <c r="D85" i="49" s="1"/>
  <c r="D86" i="49" s="1"/>
  <c r="D87" i="49" s="1"/>
  <c r="AN25" i="22"/>
  <c r="E50" i="50"/>
  <c r="M32" i="50" s="1"/>
  <c r="C53" i="50"/>
  <c r="K32" i="50" s="1"/>
  <c r="C51" i="50"/>
  <c r="I32" i="50" s="1"/>
  <c r="E53" i="50"/>
  <c r="P32" i="50" s="1"/>
  <c r="E52" i="50"/>
  <c r="O32" i="50" s="1"/>
  <c r="E51" i="50"/>
  <c r="N32" i="50" s="1"/>
  <c r="C52" i="50"/>
  <c r="J32" i="50" s="1"/>
  <c r="C50" i="50"/>
  <c r="H32" i="50" s="1"/>
  <c r="E46" i="50" l="1"/>
  <c r="AK35" i="22" s="1"/>
  <c r="E49" i="50"/>
  <c r="AK41" i="22" s="1"/>
  <c r="E47" i="50"/>
  <c r="AK37" i="22" s="1"/>
  <c r="E48" i="50"/>
  <c r="AK39" i="22" s="1"/>
  <c r="C49" i="50"/>
  <c r="B41" i="22" s="1"/>
  <c r="E42" i="50"/>
  <c r="AK27" i="22" s="1"/>
  <c r="E43" i="50"/>
  <c r="AK29" i="22" s="1"/>
  <c r="E44" i="50"/>
  <c r="AK31" i="22" s="1"/>
  <c r="E45" i="50"/>
  <c r="AK33" i="22" s="1"/>
  <c r="C48" i="50"/>
  <c r="B39" i="22" s="1"/>
  <c r="C46" i="50"/>
  <c r="B35" i="22" s="1"/>
  <c r="C47" i="50"/>
  <c r="B37" i="22" s="1"/>
  <c r="C44" i="50"/>
  <c r="B31" i="22" s="1"/>
  <c r="C45" i="50"/>
  <c r="B33" i="22" s="1"/>
  <c r="C43" i="50"/>
  <c r="B29" i="22" s="1"/>
  <c r="F25" i="22"/>
  <c r="C42" i="50"/>
  <c r="B27" i="22" s="1"/>
  <c r="AC10" i="47"/>
  <c r="AC11" i="47"/>
  <c r="AC12" i="47"/>
  <c r="AC13" i="47"/>
  <c r="AC14" i="47"/>
  <c r="AC15" i="47"/>
  <c r="AC16" i="47"/>
  <c r="AC17" i="47"/>
  <c r="AC18" i="47"/>
  <c r="AC19" i="47"/>
  <c r="AC20" i="47"/>
  <c r="AC21" i="47"/>
  <c r="AC22" i="47"/>
  <c r="AC23" i="47"/>
  <c r="AC24" i="47"/>
  <c r="AC25" i="47"/>
  <c r="AC26" i="47"/>
  <c r="AC27" i="47"/>
  <c r="AC28" i="47"/>
  <c r="AC29" i="47"/>
  <c r="AC30" i="47"/>
  <c r="AC31" i="47"/>
  <c r="AC32" i="47"/>
  <c r="AC33" i="47"/>
  <c r="AC34" i="47"/>
  <c r="AC35" i="47"/>
  <c r="AC36" i="47"/>
  <c r="AC37" i="47"/>
  <c r="AC38" i="47"/>
  <c r="AC39" i="47"/>
  <c r="AC40" i="47"/>
  <c r="AC41" i="47"/>
  <c r="AC42" i="47"/>
  <c r="AC43" i="47"/>
  <c r="AC44" i="47"/>
  <c r="AC45" i="47"/>
  <c r="AC46" i="47"/>
  <c r="AC47" i="47"/>
  <c r="AC48" i="47"/>
  <c r="AC49" i="47"/>
  <c r="AC50" i="47"/>
  <c r="AC9" i="47"/>
  <c r="W7" i="46" l="1"/>
  <c r="DD11" i="14"/>
  <c r="K303" i="51"/>
  <c r="D15" i="51"/>
  <c r="E15" i="51" s="1"/>
  <c r="G15" i="51" s="1"/>
  <c r="H15" i="51" s="1"/>
  <c r="O303" i="51" l="1"/>
  <c r="M303" i="51"/>
  <c r="F59" i="47"/>
  <c r="L303" i="51"/>
  <c r="DE12" i="14"/>
  <c r="D13" i="51"/>
  <c r="D28" i="51"/>
  <c r="D16" i="51"/>
  <c r="E16" i="51" s="1"/>
  <c r="F16" i="51" s="1"/>
  <c r="Y10" i="47"/>
  <c r="Y11" i="47"/>
  <c r="Y12" i="47"/>
  <c r="Y13" i="47"/>
  <c r="Y14" i="47"/>
  <c r="Y15" i="47"/>
  <c r="Y16" i="47"/>
  <c r="Y17" i="47"/>
  <c r="Y18" i="47"/>
  <c r="Y19" i="47"/>
  <c r="Y20" i="47"/>
  <c r="Y21" i="47"/>
  <c r="Y22" i="47"/>
  <c r="Y23" i="47"/>
  <c r="Y24" i="47"/>
  <c r="Y25" i="47"/>
  <c r="Y26" i="47"/>
  <c r="Y27" i="47"/>
  <c r="Y28" i="47"/>
  <c r="Y29" i="47"/>
  <c r="Y30" i="47"/>
  <c r="Y31" i="47"/>
  <c r="Y32" i="47"/>
  <c r="Y33" i="47"/>
  <c r="Y34" i="47"/>
  <c r="Y35" i="47"/>
  <c r="Y36" i="47"/>
  <c r="Y37" i="47"/>
  <c r="Y38" i="47"/>
  <c r="Y39" i="47"/>
  <c r="Y40" i="47"/>
  <c r="Y41" i="47"/>
  <c r="Y42" i="47"/>
  <c r="Y43" i="47"/>
  <c r="Y44" i="47"/>
  <c r="Y45" i="47"/>
  <c r="Y46" i="47"/>
  <c r="Y47" i="47"/>
  <c r="Y48" i="47"/>
  <c r="Y49" i="47"/>
  <c r="Y50" i="47"/>
  <c r="Y9" i="47"/>
  <c r="DE11" i="14" l="1"/>
  <c r="D6" i="51"/>
  <c r="D10" i="51"/>
  <c r="F10" i="51" s="1"/>
  <c r="D9" i="51"/>
  <c r="F9" i="51" l="1"/>
  <c r="AD1" i="21"/>
  <c r="AE1" i="21"/>
  <c r="AF1" i="21"/>
  <c r="AG1" i="21"/>
  <c r="AH1" i="21"/>
  <c r="AI1" i="21"/>
  <c r="O1" i="33"/>
  <c r="Q2" i="33" l="1"/>
  <c r="C6" i="48"/>
  <c r="AK31" i="46"/>
  <c r="AK32" i="46"/>
  <c r="AK33" i="46"/>
  <c r="AK34" i="46"/>
  <c r="AK35" i="46"/>
  <c r="AK36" i="46"/>
  <c r="AK37" i="46"/>
  <c r="AK38" i="46"/>
  <c r="AK39" i="46"/>
  <c r="AK40" i="46"/>
  <c r="AK41" i="46"/>
  <c r="AK42" i="46"/>
  <c r="AK30" i="46"/>
  <c r="AK6" i="46"/>
  <c r="AK7" i="46"/>
  <c r="AK8" i="46"/>
  <c r="AK9" i="46"/>
  <c r="AK10" i="46"/>
  <c r="AK11" i="46"/>
  <c r="AK12" i="46"/>
  <c r="AK13" i="46"/>
  <c r="AK14" i="46"/>
  <c r="AK15" i="46"/>
  <c r="AK16" i="46"/>
  <c r="AK17" i="46"/>
  <c r="AK18" i="46"/>
  <c r="AK19" i="46"/>
  <c r="AK20" i="46"/>
  <c r="AK21" i="46"/>
  <c r="AK22" i="46"/>
  <c r="AK23" i="46"/>
  <c r="AK24" i="46"/>
  <c r="AK25" i="46"/>
  <c r="AK5" i="46"/>
  <c r="AJ24" i="46"/>
  <c r="AJ25" i="46"/>
  <c r="AJ26" i="46"/>
  <c r="AJ27" i="46"/>
  <c r="AJ28" i="46"/>
  <c r="AJ29" i="46"/>
  <c r="AJ30" i="46"/>
  <c r="AJ31" i="46"/>
  <c r="AJ32" i="46"/>
  <c r="AJ33" i="46"/>
  <c r="AJ34" i="46"/>
  <c r="AJ35" i="46"/>
  <c r="AJ36" i="46"/>
  <c r="AJ37" i="46"/>
  <c r="AJ38" i="46"/>
  <c r="AJ39" i="46"/>
  <c r="AJ40" i="46"/>
  <c r="AJ41" i="46"/>
  <c r="AJ42" i="46"/>
  <c r="AJ43" i="46"/>
  <c r="AJ44" i="46"/>
  <c r="AJ45" i="46"/>
  <c r="AJ46" i="46"/>
  <c r="AJ6" i="46"/>
  <c r="AJ7" i="46"/>
  <c r="AJ8" i="46"/>
  <c r="AJ9" i="46"/>
  <c r="AJ10" i="46"/>
  <c r="AJ11" i="46"/>
  <c r="AJ12" i="46"/>
  <c r="AJ13" i="46"/>
  <c r="AJ14" i="46"/>
  <c r="AJ15" i="46"/>
  <c r="AJ16" i="46"/>
  <c r="AJ17" i="46"/>
  <c r="AJ18" i="46"/>
  <c r="AJ19" i="46"/>
  <c r="AJ20" i="46"/>
  <c r="AJ21" i="46"/>
  <c r="AJ22" i="46"/>
  <c r="AJ23" i="46"/>
  <c r="AJ5" i="46"/>
  <c r="K15" i="48" l="1"/>
  <c r="F7" i="33" s="1"/>
  <c r="K23" i="48"/>
  <c r="F23" i="33" s="1"/>
  <c r="K31" i="48"/>
  <c r="K39" i="48"/>
  <c r="J29" i="33" s="1"/>
  <c r="K47" i="48"/>
  <c r="H19" i="33" s="1"/>
  <c r="K55" i="48"/>
  <c r="L9" i="33" s="1"/>
  <c r="K63" i="48"/>
  <c r="L25" i="33" s="1"/>
  <c r="K71" i="48"/>
  <c r="D15" i="33" s="1"/>
  <c r="K79" i="48"/>
  <c r="B5" i="33" s="1"/>
  <c r="K87" i="48"/>
  <c r="B21" i="33" s="1"/>
  <c r="K24" i="48"/>
  <c r="F25" i="33" s="1"/>
  <c r="K32" i="48"/>
  <c r="J15" i="33" s="1"/>
  <c r="K40" i="48"/>
  <c r="H5" i="33" s="1"/>
  <c r="K48" i="48"/>
  <c r="H21" i="33" s="1"/>
  <c r="K56" i="48"/>
  <c r="L11" i="33" s="1"/>
  <c r="K64" i="48"/>
  <c r="L27" i="33" s="1"/>
  <c r="K80" i="48"/>
  <c r="B7" i="33" s="1"/>
  <c r="K88" i="48"/>
  <c r="B23" i="33" s="1"/>
  <c r="K17" i="48"/>
  <c r="F11" i="33" s="1"/>
  <c r="K25" i="48"/>
  <c r="F27" i="33" s="1"/>
  <c r="K41" i="48"/>
  <c r="H7" i="33" s="1"/>
  <c r="K49" i="48"/>
  <c r="H23" i="33" s="1"/>
  <c r="K65" i="48"/>
  <c r="L29" i="33" s="1"/>
  <c r="K73" i="48"/>
  <c r="D19" i="33" s="1"/>
  <c r="K89" i="48"/>
  <c r="B25" i="33" s="1"/>
  <c r="K26" i="48"/>
  <c r="F29" i="33" s="1"/>
  <c r="K42" i="48"/>
  <c r="K58" i="48"/>
  <c r="L15" i="33" s="1"/>
  <c r="K74" i="48"/>
  <c r="D21" i="33" s="1"/>
  <c r="K90" i="48"/>
  <c r="B27" i="33" s="1"/>
  <c r="K35" i="48"/>
  <c r="J21" i="33" s="1"/>
  <c r="K51" i="48"/>
  <c r="H27" i="33" s="1"/>
  <c r="K75" i="48"/>
  <c r="D23" i="33" s="1"/>
  <c r="K20" i="48"/>
  <c r="F17" i="33" s="1"/>
  <c r="K44" i="48"/>
  <c r="H13" i="33" s="1"/>
  <c r="K68" i="48"/>
  <c r="D9" i="33" s="1"/>
  <c r="K84" i="48"/>
  <c r="B15" i="33" s="1"/>
  <c r="K29" i="48"/>
  <c r="J9" i="33" s="1"/>
  <c r="K61" i="48"/>
  <c r="L21" i="33" s="1"/>
  <c r="K85" i="48"/>
  <c r="B17" i="33" s="1"/>
  <c r="K38" i="48"/>
  <c r="J27" i="33" s="1"/>
  <c r="K54" i="48"/>
  <c r="L7" i="33" s="1"/>
  <c r="K78" i="48"/>
  <c r="D29" i="33" s="1"/>
  <c r="K16" i="48"/>
  <c r="F9" i="33" s="1"/>
  <c r="K72" i="48"/>
  <c r="D17" i="33" s="1"/>
  <c r="K57" i="48"/>
  <c r="L13" i="33" s="1"/>
  <c r="K81" i="48"/>
  <c r="B9" i="33" s="1"/>
  <c r="K18" i="48"/>
  <c r="F13" i="33" s="1"/>
  <c r="K34" i="48"/>
  <c r="J19" i="33" s="1"/>
  <c r="K50" i="48"/>
  <c r="H25" i="33" s="1"/>
  <c r="K66" i="48"/>
  <c r="D5" i="33" s="1"/>
  <c r="K82" i="48"/>
  <c r="B11" i="33" s="1"/>
  <c r="K19" i="48"/>
  <c r="F15" i="33" s="1"/>
  <c r="K43" i="48"/>
  <c r="H11" i="33" s="1"/>
  <c r="K67" i="48"/>
  <c r="D7" i="33" s="1"/>
  <c r="K83" i="48"/>
  <c r="B13" i="33" s="1"/>
  <c r="K28" i="48"/>
  <c r="J7" i="33" s="1"/>
  <c r="K52" i="48"/>
  <c r="H29" i="33" s="1"/>
  <c r="K76" i="48"/>
  <c r="D25" i="33" s="1"/>
  <c r="K21" i="48"/>
  <c r="F19" i="33" s="1"/>
  <c r="K45" i="48"/>
  <c r="H15" i="33" s="1"/>
  <c r="K69" i="48"/>
  <c r="D11" i="33" s="1"/>
  <c r="K22" i="48"/>
  <c r="F21" i="33" s="1"/>
  <c r="K46" i="48"/>
  <c r="H17" i="33" s="1"/>
  <c r="K70" i="48"/>
  <c r="D13" i="33" s="1"/>
  <c r="K33" i="48"/>
  <c r="J17" i="33" s="1"/>
  <c r="K27" i="48"/>
  <c r="J5" i="33" s="1"/>
  <c r="K59" i="48"/>
  <c r="L17" i="33" s="1"/>
  <c r="K91" i="48"/>
  <c r="B29" i="33" s="1"/>
  <c r="K36" i="48"/>
  <c r="J23" i="33" s="1"/>
  <c r="K60" i="48"/>
  <c r="L19" i="33" s="1"/>
  <c r="K14" i="48"/>
  <c r="F5" i="33" s="1"/>
  <c r="K37" i="48"/>
  <c r="J25" i="33" s="1"/>
  <c r="K53" i="48"/>
  <c r="L5" i="33" s="1"/>
  <c r="K77" i="48"/>
  <c r="D27" i="33" s="1"/>
  <c r="K30" i="48"/>
  <c r="J11" i="33" s="1"/>
  <c r="K62" i="48"/>
  <c r="L23" i="33" s="1"/>
  <c r="K86" i="48"/>
  <c r="B19" i="33" s="1"/>
  <c r="E27" i="48"/>
  <c r="E35" i="48"/>
  <c r="E51" i="48"/>
  <c r="E59" i="48"/>
  <c r="E75" i="48"/>
  <c r="E91" i="48"/>
  <c r="E20" i="48"/>
  <c r="E28" i="48"/>
  <c r="E36" i="48"/>
  <c r="E52" i="48"/>
  <c r="E60" i="48"/>
  <c r="E68" i="48"/>
  <c r="E14" i="48"/>
  <c r="E29" i="48"/>
  <c r="E37" i="48"/>
  <c r="E53" i="48"/>
  <c r="E61" i="48"/>
  <c r="E77" i="48"/>
  <c r="E85" i="48"/>
  <c r="E22" i="48"/>
  <c r="E30" i="48"/>
  <c r="E38" i="48"/>
  <c r="E62" i="48"/>
  <c r="E78" i="48"/>
  <c r="E79" i="48"/>
  <c r="E26" i="48"/>
  <c r="E50" i="48"/>
  <c r="E82" i="48"/>
  <c r="E76" i="48"/>
  <c r="E69" i="48"/>
  <c r="E46" i="48"/>
  <c r="E70" i="48"/>
  <c r="E86" i="48"/>
  <c r="E15" i="48"/>
  <c r="E23" i="48"/>
  <c r="E31" i="48"/>
  <c r="E39" i="48"/>
  <c r="E55" i="48"/>
  <c r="E63" i="48"/>
  <c r="E71" i="48"/>
  <c r="E87" i="48"/>
  <c r="E34" i="48"/>
  <c r="E66" i="48"/>
  <c r="E90" i="48"/>
  <c r="E24" i="48"/>
  <c r="E32" i="48"/>
  <c r="E48" i="48"/>
  <c r="E64" i="48"/>
  <c r="E72" i="48"/>
  <c r="E88" i="48"/>
  <c r="E25" i="48"/>
  <c r="E33" i="48"/>
  <c r="E49" i="48"/>
  <c r="E57" i="48"/>
  <c r="E65" i="48"/>
  <c r="E73" i="48"/>
  <c r="E81" i="48"/>
  <c r="E18" i="48"/>
  <c r="E58" i="48"/>
  <c r="E74" i="48"/>
  <c r="B10" i="27"/>
  <c r="B11" i="27"/>
  <c r="B12" i="27"/>
  <c r="B13" i="27"/>
  <c r="B14" i="27"/>
  <c r="B15" i="27"/>
  <c r="B16" i="27"/>
  <c r="B17" i="27"/>
  <c r="B18" i="27"/>
  <c r="B19" i="27"/>
  <c r="B20" i="27"/>
  <c r="B21" i="27"/>
  <c r="B22" i="27"/>
  <c r="B23" i="27"/>
  <c r="B24" i="27"/>
  <c r="B25" i="27"/>
  <c r="B26" i="27"/>
  <c r="B27" i="27"/>
  <c r="B28" i="27"/>
  <c r="B29" i="27"/>
  <c r="B30" i="27"/>
  <c r="B31" i="27"/>
  <c r="B32" i="27"/>
  <c r="B33" i="27"/>
  <c r="B34" i="27"/>
  <c r="B35" i="27"/>
  <c r="B9" i="27"/>
  <c r="X49" i="26"/>
  <c r="X48" i="26"/>
  <c r="H9" i="33" l="1"/>
  <c r="C8" i="48"/>
  <c r="J13" i="33"/>
  <c r="X10" i="47"/>
  <c r="X11" i="47"/>
  <c r="X12" i="47"/>
  <c r="X13" i="47"/>
  <c r="X14" i="47"/>
  <c r="X15" i="47"/>
  <c r="X16" i="47"/>
  <c r="X17" i="47"/>
  <c r="X18" i="47"/>
  <c r="X19" i="47"/>
  <c r="X20" i="47"/>
  <c r="X21" i="47"/>
  <c r="X22" i="47"/>
  <c r="X23" i="47"/>
  <c r="X24" i="47"/>
  <c r="X25" i="47"/>
  <c r="X26" i="47"/>
  <c r="X27" i="47"/>
  <c r="X28" i="47"/>
  <c r="X29" i="47"/>
  <c r="X30" i="47"/>
  <c r="X31" i="47"/>
  <c r="X32" i="47"/>
  <c r="X33" i="47"/>
  <c r="X34" i="47"/>
  <c r="X35" i="47"/>
  <c r="X36" i="47"/>
  <c r="X37" i="47"/>
  <c r="X38" i="47"/>
  <c r="X39" i="47"/>
  <c r="X40" i="47"/>
  <c r="X41" i="47"/>
  <c r="X42" i="47"/>
  <c r="X43" i="47"/>
  <c r="X44" i="47"/>
  <c r="X45" i="47"/>
  <c r="X46" i="47"/>
  <c r="X47" i="47"/>
  <c r="X48" i="47"/>
  <c r="X49" i="47"/>
  <c r="X50" i="47"/>
  <c r="X9" i="47"/>
  <c r="N4" i="47"/>
  <c r="R2" i="47"/>
  <c r="R3" i="47"/>
  <c r="X56" i="47"/>
  <c r="X57" i="47"/>
  <c r="X58" i="47"/>
  <c r="X59" i="47"/>
  <c r="X60" i="47"/>
  <c r="X55" i="47"/>
  <c r="DE7" i="14"/>
  <c r="L2" i="47"/>
  <c r="DE31" i="14" l="1"/>
  <c r="D53" i="14" s="1"/>
  <c r="CQ51" i="14"/>
  <c r="M2" i="47"/>
  <c r="F75" i="47"/>
  <c r="F74" i="47"/>
  <c r="F73" i="47"/>
  <c r="I57" i="47"/>
  <c r="AA25" i="26"/>
  <c r="Y25" i="26" s="1"/>
  <c r="N6" i="47" l="1"/>
  <c r="K2" i="47"/>
  <c r="F67" i="47"/>
  <c r="F66" i="47"/>
  <c r="T54" i="47"/>
  <c r="AA55" i="26"/>
  <c r="DF19" i="14" l="1"/>
  <c r="D32" i="14" s="1"/>
  <c r="O4" i="46"/>
  <c r="O57" i="47"/>
  <c r="L10" i="47" l="1"/>
  <c r="L11" i="47"/>
  <c r="L12" i="47"/>
  <c r="L13" i="47"/>
  <c r="L14" i="47"/>
  <c r="L15" i="47"/>
  <c r="L16" i="47"/>
  <c r="L18" i="47"/>
  <c r="L19" i="47"/>
  <c r="L20" i="47"/>
  <c r="L21" i="47"/>
  <c r="L22" i="47"/>
  <c r="L23" i="47"/>
  <c r="L24" i="47"/>
  <c r="L25" i="47"/>
  <c r="L26" i="47"/>
  <c r="L27" i="47"/>
  <c r="L28" i="47"/>
  <c r="L29" i="47"/>
  <c r="L30" i="47"/>
  <c r="L31" i="47"/>
  <c r="L32" i="47"/>
  <c r="L33" i="47"/>
  <c r="L34" i="47"/>
  <c r="L35" i="47"/>
  <c r="L36" i="47"/>
  <c r="L37" i="47"/>
  <c r="L38" i="47"/>
  <c r="L39" i="47"/>
  <c r="L40" i="47"/>
  <c r="L41" i="47"/>
  <c r="L42" i="47"/>
  <c r="L43" i="47"/>
  <c r="L44" i="47"/>
  <c r="L45" i="47"/>
  <c r="L46" i="47"/>
  <c r="L47" i="47"/>
  <c r="L48" i="47"/>
  <c r="L49" i="47"/>
  <c r="L50" i="47"/>
  <c r="L9" i="47"/>
  <c r="I5" i="47"/>
  <c r="AN4" i="22"/>
  <c r="AN2" i="22"/>
  <c r="O54" i="47" l="1"/>
  <c r="P6" i="46"/>
  <c r="Q6" i="46"/>
  <c r="R6" i="46"/>
  <c r="S6" i="46"/>
  <c r="T6" i="46"/>
  <c r="U6" i="46"/>
  <c r="P7" i="46"/>
  <c r="Q7" i="46"/>
  <c r="R7" i="46"/>
  <c r="S7" i="46"/>
  <c r="T7" i="46"/>
  <c r="U7" i="46"/>
  <c r="P8" i="46"/>
  <c r="Q8" i="46"/>
  <c r="R8" i="46"/>
  <c r="S8" i="46"/>
  <c r="T8" i="46"/>
  <c r="U8" i="46"/>
  <c r="P9" i="46"/>
  <c r="Q9" i="46"/>
  <c r="R9" i="46"/>
  <c r="S9" i="46"/>
  <c r="T9" i="46"/>
  <c r="U9" i="46"/>
  <c r="P10" i="46"/>
  <c r="Q10" i="46"/>
  <c r="R10" i="46"/>
  <c r="S10" i="46"/>
  <c r="T10" i="46"/>
  <c r="U10" i="46"/>
  <c r="P11" i="46"/>
  <c r="Q11" i="46"/>
  <c r="R11" i="46"/>
  <c r="S11" i="46"/>
  <c r="T11" i="46"/>
  <c r="U11" i="46"/>
  <c r="P12" i="46"/>
  <c r="Q12" i="46"/>
  <c r="R12" i="46"/>
  <c r="S12" i="46"/>
  <c r="T12" i="46"/>
  <c r="U12" i="46"/>
  <c r="P13" i="46"/>
  <c r="Q13" i="46"/>
  <c r="R13" i="46"/>
  <c r="S13" i="46"/>
  <c r="T13" i="46"/>
  <c r="U13" i="46"/>
  <c r="P14" i="46"/>
  <c r="Q14" i="46"/>
  <c r="R14" i="46"/>
  <c r="S14" i="46"/>
  <c r="T14" i="46"/>
  <c r="U14" i="46"/>
  <c r="P15" i="46"/>
  <c r="Q15" i="46"/>
  <c r="R15" i="46"/>
  <c r="S15" i="46"/>
  <c r="T15" i="46"/>
  <c r="U15" i="46"/>
  <c r="P16" i="46"/>
  <c r="Q16" i="46"/>
  <c r="R16" i="46"/>
  <c r="S16" i="46"/>
  <c r="T16" i="46"/>
  <c r="U16" i="46"/>
  <c r="P17" i="46"/>
  <c r="Q17" i="46"/>
  <c r="R17" i="46"/>
  <c r="S17" i="46"/>
  <c r="T17" i="46"/>
  <c r="U17" i="46"/>
  <c r="P18" i="46"/>
  <c r="Q18" i="46"/>
  <c r="R18" i="46"/>
  <c r="S18" i="46"/>
  <c r="T18" i="46"/>
  <c r="U18" i="46"/>
  <c r="P19" i="46"/>
  <c r="Q19" i="46"/>
  <c r="R19" i="46"/>
  <c r="S19" i="46"/>
  <c r="T19" i="46"/>
  <c r="U19" i="46"/>
  <c r="P20" i="46"/>
  <c r="Q20" i="46"/>
  <c r="R20" i="46"/>
  <c r="S20" i="46"/>
  <c r="T20" i="46"/>
  <c r="U20" i="46"/>
  <c r="P21" i="46"/>
  <c r="Q21" i="46"/>
  <c r="R21" i="46"/>
  <c r="S21" i="46"/>
  <c r="T21" i="46"/>
  <c r="U21" i="46"/>
  <c r="P22" i="46"/>
  <c r="Q22" i="46"/>
  <c r="R22" i="46"/>
  <c r="S22" i="46"/>
  <c r="T22" i="46"/>
  <c r="U22" i="46"/>
  <c r="P23" i="46"/>
  <c r="Q23" i="46"/>
  <c r="R23" i="46"/>
  <c r="S23" i="46"/>
  <c r="T23" i="46"/>
  <c r="U23" i="46"/>
  <c r="P24" i="46"/>
  <c r="Q24" i="46"/>
  <c r="R24" i="46"/>
  <c r="S24" i="46"/>
  <c r="T24" i="46"/>
  <c r="U24" i="46"/>
  <c r="P25" i="46"/>
  <c r="Q25" i="46"/>
  <c r="R25" i="46"/>
  <c r="S25" i="46"/>
  <c r="T25" i="46"/>
  <c r="U25" i="46"/>
  <c r="P26" i="46"/>
  <c r="Q26" i="46"/>
  <c r="R26" i="46"/>
  <c r="S26" i="46"/>
  <c r="T26" i="46"/>
  <c r="U26" i="46"/>
  <c r="P27" i="46"/>
  <c r="Q27" i="46"/>
  <c r="R27" i="46"/>
  <c r="S27" i="46"/>
  <c r="T27" i="46"/>
  <c r="U27" i="46"/>
  <c r="P28" i="46"/>
  <c r="Q28" i="46"/>
  <c r="R28" i="46"/>
  <c r="S28" i="46"/>
  <c r="T28" i="46"/>
  <c r="U28" i="46"/>
  <c r="P29" i="46"/>
  <c r="Q29" i="46"/>
  <c r="R29" i="46"/>
  <c r="S29" i="46"/>
  <c r="T29" i="46"/>
  <c r="U29" i="46"/>
  <c r="P30" i="46"/>
  <c r="Q30" i="46"/>
  <c r="R30" i="46"/>
  <c r="S30" i="46"/>
  <c r="T30" i="46"/>
  <c r="U30" i="46"/>
  <c r="P31" i="46"/>
  <c r="Q31" i="46"/>
  <c r="R31" i="46"/>
  <c r="S31" i="46"/>
  <c r="T31" i="46"/>
  <c r="U31" i="46"/>
  <c r="P32" i="46"/>
  <c r="Q32" i="46"/>
  <c r="R32" i="46"/>
  <c r="S32" i="46"/>
  <c r="T32" i="46"/>
  <c r="U32" i="46"/>
  <c r="P33" i="46"/>
  <c r="Q33" i="46"/>
  <c r="R33" i="46"/>
  <c r="S33" i="46"/>
  <c r="T33" i="46"/>
  <c r="U33" i="46"/>
  <c r="P34" i="46"/>
  <c r="Q34" i="46"/>
  <c r="R34" i="46"/>
  <c r="S34" i="46"/>
  <c r="T34" i="46"/>
  <c r="U34" i="46"/>
  <c r="P35" i="46"/>
  <c r="Q35" i="46"/>
  <c r="R35" i="46"/>
  <c r="S35" i="46"/>
  <c r="T35" i="46"/>
  <c r="U35" i="46"/>
  <c r="P36" i="46"/>
  <c r="Q36" i="46"/>
  <c r="R36" i="46"/>
  <c r="S36" i="46"/>
  <c r="T36" i="46"/>
  <c r="U36" i="46"/>
  <c r="P37" i="46"/>
  <c r="Q37" i="46"/>
  <c r="R37" i="46"/>
  <c r="S37" i="46"/>
  <c r="T37" i="46"/>
  <c r="U37" i="46"/>
  <c r="P38" i="46"/>
  <c r="Q38" i="46"/>
  <c r="R38" i="46"/>
  <c r="S38" i="46"/>
  <c r="T38" i="46"/>
  <c r="U38" i="46"/>
  <c r="P39" i="46"/>
  <c r="Q39" i="46"/>
  <c r="R39" i="46"/>
  <c r="S39" i="46"/>
  <c r="T39" i="46"/>
  <c r="U39" i="46"/>
  <c r="P40" i="46"/>
  <c r="Q40" i="46"/>
  <c r="R40" i="46"/>
  <c r="S40" i="46"/>
  <c r="T40" i="46"/>
  <c r="U40" i="46"/>
  <c r="P41" i="46"/>
  <c r="Q41" i="46"/>
  <c r="R41" i="46"/>
  <c r="S41" i="46"/>
  <c r="T41" i="46"/>
  <c r="U41" i="46"/>
  <c r="P42" i="46"/>
  <c r="Q42" i="46"/>
  <c r="R42" i="46"/>
  <c r="S42" i="46"/>
  <c r="T42" i="46"/>
  <c r="U42" i="46"/>
  <c r="P43" i="46"/>
  <c r="Q43" i="46"/>
  <c r="R43" i="46"/>
  <c r="S43" i="46"/>
  <c r="T43" i="46"/>
  <c r="U43" i="46"/>
  <c r="P44" i="46"/>
  <c r="Q44" i="46"/>
  <c r="R44" i="46"/>
  <c r="S44" i="46"/>
  <c r="T44" i="46"/>
  <c r="U44" i="46"/>
  <c r="P45" i="46"/>
  <c r="Q45" i="46"/>
  <c r="R45" i="46"/>
  <c r="S45" i="46"/>
  <c r="T45" i="46"/>
  <c r="U45" i="46"/>
  <c r="P46" i="46"/>
  <c r="Q46" i="46"/>
  <c r="R46" i="46"/>
  <c r="S46" i="46"/>
  <c r="T46" i="46"/>
  <c r="U46" i="46"/>
  <c r="Q5" i="46"/>
  <c r="R5" i="46"/>
  <c r="S5" i="46"/>
  <c r="T5" i="46"/>
  <c r="U5" i="46"/>
  <c r="P5" i="46"/>
  <c r="N39" i="46" l="1"/>
  <c r="N8" i="46"/>
  <c r="N6" i="46"/>
  <c r="N15" i="46"/>
  <c r="N44" i="46"/>
  <c r="N19" i="46"/>
  <c r="N28" i="46"/>
  <c r="N18" i="46"/>
  <c r="N41" i="46"/>
  <c r="N26" i="46"/>
  <c r="N46" i="46"/>
  <c r="N38" i="46"/>
  <c r="N34" i="46"/>
  <c r="N31" i="46"/>
  <c r="N23" i="46"/>
  <c r="N14" i="46"/>
  <c r="N10" i="46"/>
  <c r="N43" i="46"/>
  <c r="N25" i="46"/>
  <c r="N7" i="46"/>
  <c r="N16" i="46"/>
  <c r="N24" i="46"/>
  <c r="N30" i="46"/>
  <c r="N33" i="46"/>
  <c r="N27" i="46"/>
  <c r="N29" i="46"/>
  <c r="N37" i="46"/>
  <c r="N35" i="46"/>
  <c r="N45" i="46"/>
  <c r="N42" i="46"/>
  <c r="N40" i="46"/>
  <c r="N36" i="46"/>
  <c r="N12" i="46"/>
  <c r="N21" i="46"/>
  <c r="N13" i="46"/>
  <c r="N11" i="46"/>
  <c r="N20" i="46"/>
  <c r="N5" i="46"/>
  <c r="N17" i="46"/>
  <c r="N9" i="46"/>
  <c r="N22" i="46"/>
  <c r="N32" i="46"/>
  <c r="D9" i="47"/>
  <c r="I2" i="47" l="1"/>
  <c r="I56" i="47"/>
  <c r="J3001" i="21"/>
  <c r="I3001" i="21"/>
  <c r="AA41" i="26"/>
  <c r="AA40" i="26"/>
  <c r="AA39" i="26"/>
  <c r="K67" i="26"/>
  <c r="K68" i="26"/>
  <c r="K69" i="26"/>
  <c r="K70" i="26"/>
  <c r="K71" i="26"/>
  <c r="K72" i="26"/>
  <c r="K73" i="26"/>
  <c r="K74" i="26"/>
  <c r="K75" i="26"/>
  <c r="K76" i="26"/>
  <c r="K77" i="26"/>
  <c r="K78" i="26"/>
  <c r="K79" i="26"/>
  <c r="K80" i="26"/>
  <c r="K81" i="26"/>
  <c r="K82" i="26"/>
  <c r="K83" i="26"/>
  <c r="K84" i="26"/>
  <c r="K85" i="26"/>
  <c r="K86" i="26"/>
  <c r="K87" i="26"/>
  <c r="K88" i="26"/>
  <c r="K89" i="26"/>
  <c r="K90" i="26"/>
  <c r="K91" i="26"/>
  <c r="K92" i="26"/>
  <c r="K93" i="26"/>
  <c r="K94" i="26"/>
  <c r="K95" i="26"/>
  <c r="K96" i="26"/>
  <c r="K97" i="26"/>
  <c r="K98" i="26"/>
  <c r="K99" i="26"/>
  <c r="K100" i="26"/>
  <c r="K101" i="26"/>
  <c r="K102" i="26"/>
  <c r="K103" i="26"/>
  <c r="K104" i="26"/>
  <c r="K105" i="26"/>
  <c r="K106" i="26"/>
  <c r="K107" i="26"/>
  <c r="K108" i="26"/>
  <c r="K109" i="26"/>
  <c r="K110" i="26"/>
  <c r="K111" i="26"/>
  <c r="K112" i="26"/>
  <c r="K113" i="26"/>
  <c r="K114" i="26"/>
  <c r="K115" i="26"/>
  <c r="K116" i="26"/>
  <c r="K117" i="26"/>
  <c r="K118" i="26"/>
  <c r="K119" i="26"/>
  <c r="K120" i="26"/>
  <c r="K121" i="26"/>
  <c r="K122" i="26"/>
  <c r="K123" i="26"/>
  <c r="K124" i="26"/>
  <c r="K125" i="26"/>
  <c r="K126" i="26"/>
  <c r="K127" i="26"/>
  <c r="K128" i="26"/>
  <c r="K66" i="26"/>
  <c r="AE19" i="26"/>
  <c r="C61" i="46" s="1"/>
  <c r="AE20" i="26"/>
  <c r="C62" i="46" s="1"/>
  <c r="AB28" i="26"/>
  <c r="AI3001" i="21" l="1"/>
  <c r="Y23" i="26"/>
  <c r="X23" i="26" s="1"/>
  <c r="AA26" i="26"/>
  <c r="Y26" i="26" s="1"/>
  <c r="X11" i="42" l="1"/>
  <c r="Y11" i="42"/>
  <c r="Z11" i="42"/>
  <c r="AA11" i="42"/>
  <c r="AB11" i="42"/>
  <c r="X12" i="42"/>
  <c r="Y12" i="42"/>
  <c r="Z12" i="42"/>
  <c r="AA12" i="42"/>
  <c r="AB12" i="42"/>
  <c r="X13" i="42"/>
  <c r="Y13" i="42"/>
  <c r="Z13" i="42"/>
  <c r="AA13" i="42"/>
  <c r="AB13" i="42"/>
  <c r="X14" i="42"/>
  <c r="Y14" i="42"/>
  <c r="Z14" i="42"/>
  <c r="AA14" i="42"/>
  <c r="AB14" i="42"/>
  <c r="X15" i="42"/>
  <c r="Y15" i="42"/>
  <c r="Z15" i="42"/>
  <c r="AA15" i="42"/>
  <c r="AB15" i="42"/>
  <c r="X16" i="42"/>
  <c r="Y16" i="42"/>
  <c r="Z16" i="42"/>
  <c r="AA16" i="42"/>
  <c r="AB16" i="42"/>
  <c r="X17" i="42"/>
  <c r="Y17" i="42"/>
  <c r="Z17" i="42"/>
  <c r="AA17" i="42"/>
  <c r="AB17" i="42"/>
  <c r="X18" i="42"/>
  <c r="Y18" i="42"/>
  <c r="Z18" i="42"/>
  <c r="AA18" i="42"/>
  <c r="AB18" i="42"/>
  <c r="X19" i="42"/>
  <c r="Y19" i="42"/>
  <c r="Z19" i="42"/>
  <c r="AA19" i="42"/>
  <c r="AB19" i="42"/>
  <c r="X20" i="42"/>
  <c r="Y20" i="42"/>
  <c r="Z20" i="42"/>
  <c r="AA20" i="42"/>
  <c r="AB20" i="42"/>
  <c r="X21" i="42"/>
  <c r="Y21" i="42"/>
  <c r="Z21" i="42"/>
  <c r="AA21" i="42"/>
  <c r="AB21" i="42"/>
  <c r="X22" i="42"/>
  <c r="Y22" i="42"/>
  <c r="Z22" i="42"/>
  <c r="AA22" i="42"/>
  <c r="AB22" i="42"/>
  <c r="X23" i="42"/>
  <c r="Y23" i="42"/>
  <c r="Z23" i="42"/>
  <c r="AA23" i="42"/>
  <c r="AB23" i="42"/>
  <c r="X24" i="42"/>
  <c r="Y24" i="42"/>
  <c r="Z24" i="42"/>
  <c r="AA24" i="42"/>
  <c r="AB24" i="42"/>
  <c r="X25" i="42"/>
  <c r="Y25" i="42"/>
  <c r="Z25" i="42"/>
  <c r="AA25" i="42"/>
  <c r="AB25" i="42"/>
  <c r="X26" i="42"/>
  <c r="Y26" i="42"/>
  <c r="Z26" i="42"/>
  <c r="AA26" i="42"/>
  <c r="AB26" i="42"/>
  <c r="X27" i="42"/>
  <c r="Y27" i="42"/>
  <c r="Z27" i="42"/>
  <c r="AA27" i="42"/>
  <c r="AB27" i="42"/>
  <c r="X28" i="42"/>
  <c r="Y28" i="42"/>
  <c r="Z28" i="42"/>
  <c r="AA28" i="42"/>
  <c r="AB28" i="42"/>
  <c r="X29" i="42"/>
  <c r="Y29" i="42"/>
  <c r="Z29" i="42"/>
  <c r="AA29" i="42"/>
  <c r="AB29" i="42"/>
  <c r="X30" i="42"/>
  <c r="Y30" i="42"/>
  <c r="Z30" i="42"/>
  <c r="AA30" i="42"/>
  <c r="AB30" i="42"/>
  <c r="X31" i="42"/>
  <c r="Y31" i="42"/>
  <c r="Z31" i="42"/>
  <c r="AA31" i="42"/>
  <c r="AB31" i="42"/>
  <c r="X32" i="42"/>
  <c r="Y32" i="42"/>
  <c r="Z32" i="42"/>
  <c r="AA32" i="42"/>
  <c r="AB32" i="42"/>
  <c r="X33" i="42"/>
  <c r="Y33" i="42"/>
  <c r="Z33" i="42"/>
  <c r="AA33" i="42"/>
  <c r="AB33" i="42"/>
  <c r="X34" i="42"/>
  <c r="Y34" i="42"/>
  <c r="Z34" i="42"/>
  <c r="AA34" i="42"/>
  <c r="AB34" i="42"/>
  <c r="X35" i="42"/>
  <c r="Y35" i="42"/>
  <c r="Z35" i="42"/>
  <c r="AA35" i="42"/>
  <c r="AB35" i="42"/>
  <c r="X36" i="42"/>
  <c r="Y36" i="42"/>
  <c r="Z36" i="42"/>
  <c r="AA36" i="42"/>
  <c r="AB36" i="42"/>
  <c r="X37" i="42"/>
  <c r="Y37" i="42"/>
  <c r="Z37" i="42"/>
  <c r="AA37" i="42"/>
  <c r="AB37" i="42"/>
  <c r="X38" i="42"/>
  <c r="Y38" i="42"/>
  <c r="Z38" i="42"/>
  <c r="AA38" i="42"/>
  <c r="AB38" i="42"/>
  <c r="X39" i="42"/>
  <c r="Y39" i="42"/>
  <c r="Z39" i="42"/>
  <c r="AA39" i="42"/>
  <c r="AB39" i="42"/>
  <c r="X40" i="42"/>
  <c r="Y40" i="42"/>
  <c r="Z40" i="42"/>
  <c r="AA40" i="42"/>
  <c r="AB40" i="42"/>
  <c r="X41" i="42"/>
  <c r="Y41" i="42"/>
  <c r="Z41" i="42"/>
  <c r="AA41" i="42"/>
  <c r="AB41" i="42"/>
  <c r="X42" i="42"/>
  <c r="Y42" i="42"/>
  <c r="Z42" i="42"/>
  <c r="AA42" i="42"/>
  <c r="AB42" i="42"/>
  <c r="X43" i="42"/>
  <c r="Y43" i="42"/>
  <c r="Z43" i="42"/>
  <c r="AA43" i="42"/>
  <c r="AB43" i="42"/>
  <c r="X44" i="42"/>
  <c r="Y44" i="42"/>
  <c r="Z44" i="42"/>
  <c r="AA44" i="42"/>
  <c r="AB44" i="42"/>
  <c r="X45" i="42"/>
  <c r="Y45" i="42"/>
  <c r="Z45" i="42"/>
  <c r="AA45" i="42"/>
  <c r="AB45" i="42"/>
  <c r="X46" i="42"/>
  <c r="Y46" i="42"/>
  <c r="Z46" i="42"/>
  <c r="AA46" i="42"/>
  <c r="AB46" i="42"/>
  <c r="X47" i="42"/>
  <c r="Y47" i="42"/>
  <c r="Z47" i="42"/>
  <c r="AA47" i="42"/>
  <c r="AB47" i="42"/>
  <c r="X48" i="42"/>
  <c r="Y48" i="42"/>
  <c r="Z48" i="42"/>
  <c r="AA48" i="42"/>
  <c r="AB48" i="42"/>
  <c r="X49" i="42"/>
  <c r="Y49" i="42"/>
  <c r="Z49" i="42"/>
  <c r="AA49" i="42"/>
  <c r="AB49" i="42"/>
  <c r="X50" i="42"/>
  <c r="Y50" i="42"/>
  <c r="Z50" i="42"/>
  <c r="AA50" i="42"/>
  <c r="AB50" i="42"/>
  <c r="X51" i="42"/>
  <c r="Y51" i="42"/>
  <c r="Z51" i="42"/>
  <c r="AA51" i="42"/>
  <c r="AB51" i="42"/>
  <c r="X52" i="42"/>
  <c r="Y52" i="42"/>
  <c r="Z52" i="42"/>
  <c r="AA52" i="42"/>
  <c r="AB52" i="42"/>
  <c r="X53" i="42"/>
  <c r="Y53" i="42"/>
  <c r="Z53" i="42"/>
  <c r="AA53" i="42"/>
  <c r="AB53" i="42"/>
  <c r="X54" i="42"/>
  <c r="Y54" i="42"/>
  <c r="Z54" i="42"/>
  <c r="AA54" i="42"/>
  <c r="AB54" i="42"/>
  <c r="X55" i="42"/>
  <c r="Y55" i="42"/>
  <c r="Z55" i="42"/>
  <c r="AA55" i="42"/>
  <c r="AB55" i="42"/>
  <c r="X56" i="42"/>
  <c r="Y56" i="42"/>
  <c r="Z56" i="42"/>
  <c r="AA56" i="42"/>
  <c r="AB56" i="42"/>
  <c r="X57" i="42"/>
  <c r="Y57" i="42"/>
  <c r="Z57" i="42"/>
  <c r="AA57" i="42"/>
  <c r="AB57" i="42"/>
  <c r="X58" i="42"/>
  <c r="Y58" i="42"/>
  <c r="Z58" i="42"/>
  <c r="AA58" i="42"/>
  <c r="AB58" i="42"/>
  <c r="X59" i="42"/>
  <c r="Y59" i="42"/>
  <c r="Z59" i="42"/>
  <c r="AA59" i="42"/>
  <c r="AB59" i="42"/>
  <c r="X60" i="42"/>
  <c r="Y60" i="42"/>
  <c r="Z60" i="42"/>
  <c r="AA60" i="42"/>
  <c r="AB60" i="42"/>
  <c r="X61" i="42"/>
  <c r="Y61" i="42"/>
  <c r="Z61" i="42"/>
  <c r="AA61" i="42"/>
  <c r="AB61" i="42"/>
  <c r="X62" i="42"/>
  <c r="Y62" i="42"/>
  <c r="Z62" i="42"/>
  <c r="AA62" i="42"/>
  <c r="AB62" i="42"/>
  <c r="X63" i="42"/>
  <c r="Y63" i="42"/>
  <c r="Z63" i="42"/>
  <c r="AA63" i="42"/>
  <c r="AB63" i="42"/>
  <c r="X64" i="42"/>
  <c r="Y64" i="42"/>
  <c r="Z64" i="42"/>
  <c r="AA64" i="42"/>
  <c r="AB64" i="42"/>
  <c r="X65" i="42"/>
  <c r="Y65" i="42"/>
  <c r="Z65" i="42"/>
  <c r="AA65" i="42"/>
  <c r="AB65" i="42"/>
  <c r="X66" i="42"/>
  <c r="Y66" i="42"/>
  <c r="Z66" i="42"/>
  <c r="AA66" i="42"/>
  <c r="AB66" i="42"/>
  <c r="X67" i="42"/>
  <c r="Y67" i="42"/>
  <c r="Z67" i="42"/>
  <c r="AA67" i="42"/>
  <c r="AB67" i="42"/>
  <c r="X68" i="42"/>
  <c r="Y68" i="42"/>
  <c r="Z68" i="42"/>
  <c r="AA68" i="42"/>
  <c r="AB68" i="42"/>
  <c r="X69" i="42"/>
  <c r="Y69" i="42"/>
  <c r="Z69" i="42"/>
  <c r="AA69" i="42"/>
  <c r="AB69" i="42"/>
  <c r="X70" i="42"/>
  <c r="Y70" i="42"/>
  <c r="Z70" i="42"/>
  <c r="AA70" i="42"/>
  <c r="AB70" i="42"/>
  <c r="X71" i="42"/>
  <c r="Y71" i="42"/>
  <c r="Z71" i="42"/>
  <c r="AA71" i="42"/>
  <c r="AB71" i="42"/>
  <c r="X72" i="42"/>
  <c r="Y72" i="42"/>
  <c r="Z72" i="42"/>
  <c r="AA72" i="42"/>
  <c r="AB72" i="42"/>
  <c r="X73" i="42"/>
  <c r="Y73" i="42"/>
  <c r="Z73" i="42"/>
  <c r="AA73" i="42"/>
  <c r="AB73" i="42"/>
  <c r="X74" i="42"/>
  <c r="Y74" i="42"/>
  <c r="Z74" i="42"/>
  <c r="AA74" i="42"/>
  <c r="AB74" i="42"/>
  <c r="X75" i="42"/>
  <c r="Y75" i="42"/>
  <c r="Z75" i="42"/>
  <c r="AA75" i="42"/>
  <c r="AB75" i="42"/>
  <c r="X76" i="42"/>
  <c r="Y76" i="42"/>
  <c r="Z76" i="42"/>
  <c r="AA76" i="42"/>
  <c r="AB76" i="42"/>
  <c r="X77" i="42"/>
  <c r="Y77" i="42"/>
  <c r="Z77" i="42"/>
  <c r="AA77" i="42"/>
  <c r="AB77" i="42"/>
  <c r="X78" i="42"/>
  <c r="Y78" i="42"/>
  <c r="Z78" i="42"/>
  <c r="AA78" i="42"/>
  <c r="AB78" i="42"/>
  <c r="X79" i="42"/>
  <c r="Y79" i="42"/>
  <c r="Z79" i="42"/>
  <c r="AA79" i="42"/>
  <c r="AB79" i="42"/>
  <c r="X80" i="42"/>
  <c r="Y80" i="42"/>
  <c r="Z80" i="42"/>
  <c r="AA80" i="42"/>
  <c r="AB80" i="42"/>
  <c r="X81" i="42"/>
  <c r="Y81" i="42"/>
  <c r="Z81" i="42"/>
  <c r="AA81" i="42"/>
  <c r="AB81" i="42"/>
  <c r="X82" i="42"/>
  <c r="Y82" i="42"/>
  <c r="Z82" i="42"/>
  <c r="AA82" i="42"/>
  <c r="AB82" i="42"/>
  <c r="X83" i="42"/>
  <c r="Y83" i="42"/>
  <c r="Z83" i="42"/>
  <c r="AA83" i="42"/>
  <c r="AB83" i="42"/>
  <c r="X84" i="42"/>
  <c r="Y84" i="42"/>
  <c r="Z84" i="42"/>
  <c r="AA84" i="42"/>
  <c r="AB84" i="42"/>
  <c r="X85" i="42"/>
  <c r="Y85" i="42"/>
  <c r="Z85" i="42"/>
  <c r="AA85" i="42"/>
  <c r="AB85" i="42"/>
  <c r="X86" i="42"/>
  <c r="Y86" i="42"/>
  <c r="Z86" i="42"/>
  <c r="AA86" i="42"/>
  <c r="AB86" i="42"/>
  <c r="X87" i="42"/>
  <c r="Y87" i="42"/>
  <c r="Z87" i="42"/>
  <c r="AA87" i="42"/>
  <c r="AB87" i="42"/>
  <c r="X88" i="42"/>
  <c r="Y88" i="42"/>
  <c r="Z88" i="42"/>
  <c r="AA88" i="42"/>
  <c r="AB88" i="42"/>
  <c r="X89" i="42"/>
  <c r="Y89" i="42"/>
  <c r="Z89" i="42"/>
  <c r="AA89" i="42"/>
  <c r="AB89" i="42"/>
  <c r="X90" i="42"/>
  <c r="Y90" i="42"/>
  <c r="Z90" i="42"/>
  <c r="AA90" i="42"/>
  <c r="AB90" i="42"/>
  <c r="X91" i="42"/>
  <c r="Y91" i="42"/>
  <c r="Z91" i="42"/>
  <c r="AA91" i="42"/>
  <c r="AB91" i="42"/>
  <c r="X92" i="42"/>
  <c r="Y92" i="42"/>
  <c r="Z92" i="42"/>
  <c r="AA92" i="42"/>
  <c r="AB92" i="42"/>
  <c r="X93" i="42"/>
  <c r="Y93" i="42"/>
  <c r="Z93" i="42"/>
  <c r="AA93" i="42"/>
  <c r="AB93" i="42"/>
  <c r="X94" i="42"/>
  <c r="Y94" i="42"/>
  <c r="Z94" i="42"/>
  <c r="AA94" i="42"/>
  <c r="AB94" i="42"/>
  <c r="X95" i="42"/>
  <c r="Y95" i="42"/>
  <c r="Z95" i="42"/>
  <c r="AA95" i="42"/>
  <c r="AB95" i="42"/>
  <c r="X96" i="42"/>
  <c r="Y96" i="42"/>
  <c r="Z96" i="42"/>
  <c r="AA96" i="42"/>
  <c r="AB96" i="42"/>
  <c r="X97" i="42"/>
  <c r="Y97" i="42"/>
  <c r="Z97" i="42"/>
  <c r="AA97" i="42"/>
  <c r="AB97" i="42"/>
  <c r="X98" i="42"/>
  <c r="Y98" i="42"/>
  <c r="Z98" i="42"/>
  <c r="AA98" i="42"/>
  <c r="AB98" i="42"/>
  <c r="X99" i="42"/>
  <c r="Y99" i="42"/>
  <c r="Z99" i="42"/>
  <c r="AA99" i="42"/>
  <c r="AB99" i="42"/>
  <c r="X100" i="42"/>
  <c r="Y100" i="42"/>
  <c r="Z100" i="42"/>
  <c r="AA100" i="42"/>
  <c r="AB100" i="42"/>
  <c r="X101" i="42"/>
  <c r="Y101" i="42"/>
  <c r="Z101" i="42"/>
  <c r="AA101" i="42"/>
  <c r="AB101" i="42"/>
  <c r="X102" i="42"/>
  <c r="Y102" i="42"/>
  <c r="Z102" i="42"/>
  <c r="AA102" i="42"/>
  <c r="AB102" i="42"/>
  <c r="X103" i="42"/>
  <c r="Y103" i="42"/>
  <c r="Z103" i="42"/>
  <c r="AA103" i="42"/>
  <c r="AB103" i="42"/>
  <c r="X104" i="42"/>
  <c r="Y104" i="42"/>
  <c r="Z104" i="42"/>
  <c r="AA104" i="42"/>
  <c r="AB104" i="42"/>
  <c r="X105" i="42"/>
  <c r="Y105" i="42"/>
  <c r="Z105" i="42"/>
  <c r="AA105" i="42"/>
  <c r="AB105" i="42"/>
  <c r="X106" i="42"/>
  <c r="Y106" i="42"/>
  <c r="Z106" i="42"/>
  <c r="AA106" i="42"/>
  <c r="AB106" i="42"/>
  <c r="X107" i="42"/>
  <c r="Y107" i="42"/>
  <c r="Z107" i="42"/>
  <c r="AA107" i="42"/>
  <c r="AB107" i="42"/>
  <c r="X108" i="42"/>
  <c r="Y108" i="42"/>
  <c r="Z108" i="42"/>
  <c r="AA108" i="42"/>
  <c r="AB108" i="42"/>
  <c r="X109" i="42"/>
  <c r="Y109" i="42"/>
  <c r="Z109" i="42"/>
  <c r="AA109" i="42"/>
  <c r="AB109" i="42"/>
  <c r="X110" i="42"/>
  <c r="Y110" i="42"/>
  <c r="Z110" i="42"/>
  <c r="AA110" i="42"/>
  <c r="AB110" i="42"/>
  <c r="X111" i="42"/>
  <c r="Y111" i="42"/>
  <c r="Z111" i="42"/>
  <c r="AA111" i="42"/>
  <c r="AB111" i="42"/>
  <c r="X112" i="42"/>
  <c r="Y112" i="42"/>
  <c r="Z112" i="42"/>
  <c r="AA112" i="42"/>
  <c r="AB112" i="42"/>
  <c r="X113" i="42"/>
  <c r="Y113" i="42"/>
  <c r="Z113" i="42"/>
  <c r="AA113" i="42"/>
  <c r="AB113" i="42"/>
  <c r="X114" i="42"/>
  <c r="Y114" i="42"/>
  <c r="Z114" i="42"/>
  <c r="AA114" i="42"/>
  <c r="AB114" i="42"/>
  <c r="X115" i="42"/>
  <c r="Y115" i="42"/>
  <c r="Z115" i="42"/>
  <c r="AA115" i="42"/>
  <c r="AB115" i="42"/>
  <c r="X116" i="42"/>
  <c r="Y116" i="42"/>
  <c r="Z116" i="42"/>
  <c r="AA116" i="42"/>
  <c r="AB116" i="42"/>
  <c r="X117" i="42"/>
  <c r="Y117" i="42"/>
  <c r="Z117" i="42"/>
  <c r="AA117" i="42"/>
  <c r="AB117" i="42"/>
  <c r="X118" i="42"/>
  <c r="Y118" i="42"/>
  <c r="Z118" i="42"/>
  <c r="AA118" i="42"/>
  <c r="AB118" i="42"/>
  <c r="X119" i="42"/>
  <c r="Y119" i="42"/>
  <c r="Z119" i="42"/>
  <c r="AA119" i="42"/>
  <c r="AB119" i="42"/>
  <c r="X120" i="42"/>
  <c r="Y120" i="42"/>
  <c r="Z120" i="42"/>
  <c r="AA120" i="42"/>
  <c r="AB120" i="42"/>
  <c r="X121" i="42"/>
  <c r="Y121" i="42"/>
  <c r="Z121" i="42"/>
  <c r="AA121" i="42"/>
  <c r="AB121" i="42"/>
  <c r="X122" i="42"/>
  <c r="Y122" i="42"/>
  <c r="Z122" i="42"/>
  <c r="AA122" i="42"/>
  <c r="AB122" i="42"/>
  <c r="X123" i="42"/>
  <c r="Y123" i="42"/>
  <c r="Z123" i="42"/>
  <c r="AA123" i="42"/>
  <c r="AB123" i="42"/>
  <c r="X124" i="42"/>
  <c r="Y124" i="42"/>
  <c r="Z124" i="42"/>
  <c r="AA124" i="42"/>
  <c r="AB124" i="42"/>
  <c r="X125" i="42"/>
  <c r="Y125" i="42"/>
  <c r="Z125" i="42"/>
  <c r="AA125" i="42"/>
  <c r="AB125" i="42"/>
  <c r="X126" i="42"/>
  <c r="Y126" i="42"/>
  <c r="Z126" i="42"/>
  <c r="AA126" i="42"/>
  <c r="AB126" i="42"/>
  <c r="X127" i="42"/>
  <c r="Y127" i="42"/>
  <c r="Z127" i="42"/>
  <c r="AA127" i="42"/>
  <c r="AB127" i="42"/>
  <c r="X128" i="42"/>
  <c r="Y128" i="42"/>
  <c r="Z128" i="42"/>
  <c r="AA128" i="42"/>
  <c r="AB128" i="42"/>
  <c r="X129" i="42"/>
  <c r="Y129" i="42"/>
  <c r="Z129" i="42"/>
  <c r="AA129" i="42"/>
  <c r="AB129" i="42"/>
  <c r="X130" i="42"/>
  <c r="Y130" i="42"/>
  <c r="Z130" i="42"/>
  <c r="AA130" i="42"/>
  <c r="AB130" i="42"/>
  <c r="X131" i="42"/>
  <c r="Y131" i="42"/>
  <c r="Z131" i="42"/>
  <c r="AA131" i="42"/>
  <c r="AB131" i="42"/>
  <c r="X132" i="42"/>
  <c r="Y132" i="42"/>
  <c r="Z132" i="42"/>
  <c r="AA132" i="42"/>
  <c r="AB132" i="42"/>
  <c r="X133" i="42"/>
  <c r="Y133" i="42"/>
  <c r="Z133" i="42"/>
  <c r="AA133" i="42"/>
  <c r="AB133" i="42"/>
  <c r="X134" i="42"/>
  <c r="Y134" i="42"/>
  <c r="Z134" i="42"/>
  <c r="AA134" i="42"/>
  <c r="AB134" i="42"/>
  <c r="X135" i="42"/>
  <c r="Y135" i="42"/>
  <c r="Z135" i="42"/>
  <c r="AA135" i="42"/>
  <c r="AB135" i="42"/>
  <c r="X136" i="42"/>
  <c r="Y136" i="42"/>
  <c r="Z136" i="42"/>
  <c r="AA136" i="42"/>
  <c r="AB136" i="42"/>
  <c r="X137" i="42"/>
  <c r="Y137" i="42"/>
  <c r="Z137" i="42"/>
  <c r="AA137" i="42"/>
  <c r="AB137" i="42"/>
  <c r="X138" i="42"/>
  <c r="Y138" i="42"/>
  <c r="Z138" i="42"/>
  <c r="AA138" i="42"/>
  <c r="AB138" i="42"/>
  <c r="X139" i="42"/>
  <c r="Y139" i="42"/>
  <c r="Z139" i="42"/>
  <c r="AA139" i="42"/>
  <c r="AB139" i="42"/>
  <c r="X140" i="42"/>
  <c r="Y140" i="42"/>
  <c r="Z140" i="42"/>
  <c r="AA140" i="42"/>
  <c r="AB140" i="42"/>
  <c r="X141" i="42"/>
  <c r="Y141" i="42"/>
  <c r="Z141" i="42"/>
  <c r="AA141" i="42"/>
  <c r="AB141" i="42"/>
  <c r="X142" i="42"/>
  <c r="Y142" i="42"/>
  <c r="Z142" i="42"/>
  <c r="AA142" i="42"/>
  <c r="AB142" i="42"/>
  <c r="X143" i="42"/>
  <c r="Y143" i="42"/>
  <c r="Z143" i="42"/>
  <c r="AA143" i="42"/>
  <c r="AB143" i="42"/>
  <c r="X144" i="42"/>
  <c r="Y144" i="42"/>
  <c r="Z144" i="42"/>
  <c r="AA144" i="42"/>
  <c r="AB144" i="42"/>
  <c r="X145" i="42"/>
  <c r="Y145" i="42"/>
  <c r="Z145" i="42"/>
  <c r="AA145" i="42"/>
  <c r="AB145" i="42"/>
  <c r="X146" i="42"/>
  <c r="Y146" i="42"/>
  <c r="Z146" i="42"/>
  <c r="AA146" i="42"/>
  <c r="AB146" i="42"/>
  <c r="X147" i="42"/>
  <c r="Y147" i="42"/>
  <c r="Z147" i="42"/>
  <c r="AA147" i="42"/>
  <c r="AB147" i="42"/>
  <c r="X148" i="42"/>
  <c r="Y148" i="42"/>
  <c r="Z148" i="42"/>
  <c r="AA148" i="42"/>
  <c r="AB148" i="42"/>
  <c r="X149" i="42"/>
  <c r="Y149" i="42"/>
  <c r="Z149" i="42"/>
  <c r="AA149" i="42"/>
  <c r="AB149" i="42"/>
  <c r="X150" i="42"/>
  <c r="Y150" i="42"/>
  <c r="Z150" i="42"/>
  <c r="AA150" i="42"/>
  <c r="AB150" i="42"/>
  <c r="X151" i="42"/>
  <c r="Y151" i="42"/>
  <c r="Z151" i="42"/>
  <c r="AA151" i="42"/>
  <c r="AB151" i="42"/>
  <c r="X152" i="42"/>
  <c r="Y152" i="42"/>
  <c r="Z152" i="42"/>
  <c r="AA152" i="42"/>
  <c r="AB152" i="42"/>
  <c r="X153" i="42"/>
  <c r="Y153" i="42"/>
  <c r="Z153" i="42"/>
  <c r="AA153" i="42"/>
  <c r="AB153" i="42"/>
  <c r="X154" i="42"/>
  <c r="Y154" i="42"/>
  <c r="Z154" i="42"/>
  <c r="AA154" i="42"/>
  <c r="AB154" i="42"/>
  <c r="X155" i="42"/>
  <c r="Y155" i="42"/>
  <c r="Z155" i="42"/>
  <c r="AA155" i="42"/>
  <c r="AB155" i="42"/>
  <c r="X156" i="42"/>
  <c r="Y156" i="42"/>
  <c r="Z156" i="42"/>
  <c r="AA156" i="42"/>
  <c r="AB156" i="42"/>
  <c r="X157" i="42"/>
  <c r="Y157" i="42"/>
  <c r="Z157" i="42"/>
  <c r="AA157" i="42"/>
  <c r="AB157" i="42"/>
  <c r="X158" i="42"/>
  <c r="Y158" i="42"/>
  <c r="Z158" i="42"/>
  <c r="AA158" i="42"/>
  <c r="AB158" i="42"/>
  <c r="X159" i="42"/>
  <c r="Y159" i="42"/>
  <c r="Z159" i="42"/>
  <c r="AA159" i="42"/>
  <c r="AB159" i="42"/>
  <c r="X160" i="42"/>
  <c r="Y160" i="42"/>
  <c r="Z160" i="42"/>
  <c r="AA160" i="42"/>
  <c r="AB160" i="42"/>
  <c r="X161" i="42"/>
  <c r="Y161" i="42"/>
  <c r="Z161" i="42"/>
  <c r="AA161" i="42"/>
  <c r="AB161" i="42"/>
  <c r="X162" i="42"/>
  <c r="Y162" i="42"/>
  <c r="Z162" i="42"/>
  <c r="AA162" i="42"/>
  <c r="AB162" i="42"/>
  <c r="X163" i="42"/>
  <c r="Y163" i="42"/>
  <c r="Z163" i="42"/>
  <c r="AA163" i="42"/>
  <c r="AB163" i="42"/>
  <c r="X164" i="42"/>
  <c r="Y164" i="42"/>
  <c r="Z164" i="42"/>
  <c r="AA164" i="42"/>
  <c r="AB164" i="42"/>
  <c r="X165" i="42"/>
  <c r="Y165" i="42"/>
  <c r="Z165" i="42"/>
  <c r="AA165" i="42"/>
  <c r="AB165" i="42"/>
  <c r="X166" i="42"/>
  <c r="Y166" i="42"/>
  <c r="Z166" i="42"/>
  <c r="AA166" i="42"/>
  <c r="AB166" i="42"/>
  <c r="X167" i="42"/>
  <c r="Y167" i="42"/>
  <c r="Z167" i="42"/>
  <c r="AA167" i="42"/>
  <c r="AB167" i="42"/>
  <c r="X168" i="42"/>
  <c r="Y168" i="42"/>
  <c r="Z168" i="42"/>
  <c r="AA168" i="42"/>
  <c r="AB168" i="42"/>
  <c r="X169" i="42"/>
  <c r="Y169" i="42"/>
  <c r="Z169" i="42"/>
  <c r="AA169" i="42"/>
  <c r="AB169" i="42"/>
  <c r="X170" i="42"/>
  <c r="Y170" i="42"/>
  <c r="Z170" i="42"/>
  <c r="AA170" i="42"/>
  <c r="AB170" i="42"/>
  <c r="X171" i="42"/>
  <c r="Y171" i="42"/>
  <c r="Z171" i="42"/>
  <c r="AA171" i="42"/>
  <c r="AB171" i="42"/>
  <c r="X172" i="42"/>
  <c r="Y172" i="42"/>
  <c r="Z172" i="42"/>
  <c r="AA172" i="42"/>
  <c r="AB172" i="42"/>
  <c r="X173" i="42"/>
  <c r="Y173" i="42"/>
  <c r="Z173" i="42"/>
  <c r="AA173" i="42"/>
  <c r="AB173" i="42"/>
  <c r="X174" i="42"/>
  <c r="Y174" i="42"/>
  <c r="Z174" i="42"/>
  <c r="AA174" i="42"/>
  <c r="AB174" i="42"/>
  <c r="X175" i="42"/>
  <c r="Y175" i="42"/>
  <c r="Z175" i="42"/>
  <c r="AA175" i="42"/>
  <c r="AB175" i="42"/>
  <c r="X176" i="42"/>
  <c r="Y176" i="42"/>
  <c r="Z176" i="42"/>
  <c r="AA176" i="42"/>
  <c r="AB176" i="42"/>
  <c r="X177" i="42"/>
  <c r="Y177" i="42"/>
  <c r="Z177" i="42"/>
  <c r="AA177" i="42"/>
  <c r="AB177" i="42"/>
  <c r="X178" i="42"/>
  <c r="Y178" i="42"/>
  <c r="Z178" i="42"/>
  <c r="AA178" i="42"/>
  <c r="AB178" i="42"/>
  <c r="X179" i="42"/>
  <c r="Y179" i="42"/>
  <c r="Z179" i="42"/>
  <c r="AA179" i="42"/>
  <c r="AB179" i="42"/>
  <c r="X180" i="42"/>
  <c r="Y180" i="42"/>
  <c r="Z180" i="42"/>
  <c r="AA180" i="42"/>
  <c r="AB180" i="42"/>
  <c r="X181" i="42"/>
  <c r="Y181" i="42"/>
  <c r="Z181" i="42"/>
  <c r="AA181" i="42"/>
  <c r="AB181" i="42"/>
  <c r="X182" i="42"/>
  <c r="Y182" i="42"/>
  <c r="Z182" i="42"/>
  <c r="AA182" i="42"/>
  <c r="AB182" i="42"/>
  <c r="X183" i="42"/>
  <c r="Y183" i="42"/>
  <c r="Z183" i="42"/>
  <c r="AA183" i="42"/>
  <c r="AB183" i="42"/>
  <c r="X184" i="42"/>
  <c r="Y184" i="42"/>
  <c r="Z184" i="42"/>
  <c r="AA184" i="42"/>
  <c r="AB184" i="42"/>
  <c r="X185" i="42"/>
  <c r="Y185" i="42"/>
  <c r="Z185" i="42"/>
  <c r="AA185" i="42"/>
  <c r="AB185" i="42"/>
  <c r="X186" i="42"/>
  <c r="Y186" i="42"/>
  <c r="Z186" i="42"/>
  <c r="AA186" i="42"/>
  <c r="AB186" i="42"/>
  <c r="X187" i="42"/>
  <c r="Y187" i="42"/>
  <c r="Z187" i="42"/>
  <c r="AA187" i="42"/>
  <c r="AB187" i="42"/>
  <c r="X188" i="42"/>
  <c r="Y188" i="42"/>
  <c r="Z188" i="42"/>
  <c r="AA188" i="42"/>
  <c r="AB188" i="42"/>
  <c r="X189" i="42"/>
  <c r="Y189" i="42"/>
  <c r="Z189" i="42"/>
  <c r="AA189" i="42"/>
  <c r="AB189" i="42"/>
  <c r="X190" i="42"/>
  <c r="Y190" i="42"/>
  <c r="Z190" i="42"/>
  <c r="AA190" i="42"/>
  <c r="AB190" i="42"/>
  <c r="X191" i="42"/>
  <c r="Y191" i="42"/>
  <c r="Z191" i="42"/>
  <c r="AA191" i="42"/>
  <c r="AB191" i="42"/>
  <c r="X192" i="42"/>
  <c r="Y192" i="42"/>
  <c r="Z192" i="42"/>
  <c r="AA192" i="42"/>
  <c r="AB192" i="42"/>
  <c r="X193" i="42"/>
  <c r="Y193" i="42"/>
  <c r="Z193" i="42"/>
  <c r="AA193" i="42"/>
  <c r="AB193" i="42"/>
  <c r="X194" i="42"/>
  <c r="Y194" i="42"/>
  <c r="Z194" i="42"/>
  <c r="AA194" i="42"/>
  <c r="AB194" i="42"/>
  <c r="X195" i="42"/>
  <c r="Y195" i="42"/>
  <c r="Z195" i="42"/>
  <c r="AA195" i="42"/>
  <c r="AB195" i="42"/>
  <c r="X196" i="42"/>
  <c r="Y196" i="42"/>
  <c r="Z196" i="42"/>
  <c r="AA196" i="42"/>
  <c r="AB196" i="42"/>
  <c r="X197" i="42"/>
  <c r="Y197" i="42"/>
  <c r="Z197" i="42"/>
  <c r="AA197" i="42"/>
  <c r="AB197" i="42"/>
  <c r="X198" i="42"/>
  <c r="Y198" i="42"/>
  <c r="Z198" i="42"/>
  <c r="AA198" i="42"/>
  <c r="AB198" i="42"/>
  <c r="X199" i="42"/>
  <c r="Y199" i="42"/>
  <c r="Z199" i="42"/>
  <c r="AA199" i="42"/>
  <c r="AB199" i="42"/>
  <c r="X200" i="42"/>
  <c r="Y200" i="42"/>
  <c r="Z200" i="42"/>
  <c r="AA200" i="42"/>
  <c r="AB200" i="42"/>
  <c r="X201" i="42"/>
  <c r="Y201" i="42"/>
  <c r="Z201" i="42"/>
  <c r="AA201" i="42"/>
  <c r="AB201" i="42"/>
  <c r="X202" i="42"/>
  <c r="Y202" i="42"/>
  <c r="Z202" i="42"/>
  <c r="AA202" i="42"/>
  <c r="AB202" i="42"/>
  <c r="X203" i="42"/>
  <c r="Y203" i="42"/>
  <c r="Z203" i="42"/>
  <c r="AA203" i="42"/>
  <c r="AB203" i="42"/>
  <c r="X204" i="42"/>
  <c r="Y204" i="42"/>
  <c r="Z204" i="42"/>
  <c r="AA204" i="42"/>
  <c r="AB204" i="42"/>
  <c r="X205" i="42"/>
  <c r="Y205" i="42"/>
  <c r="Z205" i="42"/>
  <c r="AA205" i="42"/>
  <c r="AB205" i="42"/>
  <c r="X206" i="42"/>
  <c r="Y206" i="42"/>
  <c r="Z206" i="42"/>
  <c r="AA206" i="42"/>
  <c r="AB206" i="42"/>
  <c r="X207" i="42"/>
  <c r="Y207" i="42"/>
  <c r="Z207" i="42"/>
  <c r="AA207" i="42"/>
  <c r="AB207" i="42"/>
  <c r="X208" i="42"/>
  <c r="Y208" i="42"/>
  <c r="Z208" i="42"/>
  <c r="AA208" i="42"/>
  <c r="AB208" i="42"/>
  <c r="X209" i="42"/>
  <c r="Y209" i="42"/>
  <c r="Z209" i="42"/>
  <c r="AA209" i="42"/>
  <c r="AB209" i="42"/>
  <c r="X210" i="42"/>
  <c r="Y210" i="42"/>
  <c r="Z210" i="42"/>
  <c r="AA210" i="42"/>
  <c r="AB210" i="42"/>
  <c r="X211" i="42"/>
  <c r="Y211" i="42"/>
  <c r="Z211" i="42"/>
  <c r="AA211" i="42"/>
  <c r="AB211" i="42"/>
  <c r="X212" i="42"/>
  <c r="Y212" i="42"/>
  <c r="Z212" i="42"/>
  <c r="AA212" i="42"/>
  <c r="AB212" i="42"/>
  <c r="X213" i="42"/>
  <c r="Y213" i="42"/>
  <c r="Z213" i="42"/>
  <c r="AA213" i="42"/>
  <c r="AB213" i="42"/>
  <c r="X214" i="42"/>
  <c r="Y214" i="42"/>
  <c r="Z214" i="42"/>
  <c r="AA214" i="42"/>
  <c r="AB214" i="42"/>
  <c r="X215" i="42"/>
  <c r="Y215" i="42"/>
  <c r="Z215" i="42"/>
  <c r="AA215" i="42"/>
  <c r="AB215" i="42"/>
  <c r="X216" i="42"/>
  <c r="Y216" i="42"/>
  <c r="Z216" i="42"/>
  <c r="AA216" i="42"/>
  <c r="AB216" i="42"/>
  <c r="X217" i="42"/>
  <c r="Y217" i="42"/>
  <c r="Z217" i="42"/>
  <c r="AA217" i="42"/>
  <c r="AB217" i="42"/>
  <c r="X218" i="42"/>
  <c r="Y218" i="42"/>
  <c r="Z218" i="42"/>
  <c r="AA218" i="42"/>
  <c r="AB218" i="42"/>
  <c r="X219" i="42"/>
  <c r="Y219" i="42"/>
  <c r="Z219" i="42"/>
  <c r="AA219" i="42"/>
  <c r="AB219" i="42"/>
  <c r="X220" i="42"/>
  <c r="Y220" i="42"/>
  <c r="Z220" i="42"/>
  <c r="AA220" i="42"/>
  <c r="AB220" i="42"/>
  <c r="X221" i="42"/>
  <c r="Y221" i="42"/>
  <c r="Z221" i="42"/>
  <c r="AA221" i="42"/>
  <c r="AB221" i="42"/>
  <c r="X222" i="42"/>
  <c r="Y222" i="42"/>
  <c r="Z222" i="42"/>
  <c r="AA222" i="42"/>
  <c r="AB222" i="42"/>
  <c r="X223" i="42"/>
  <c r="Y223" i="42"/>
  <c r="Z223" i="42"/>
  <c r="AA223" i="42"/>
  <c r="AB223" i="42"/>
  <c r="X224" i="42"/>
  <c r="Y224" i="42"/>
  <c r="Z224" i="42"/>
  <c r="AA224" i="42"/>
  <c r="AB224" i="42"/>
  <c r="X225" i="42"/>
  <c r="Y225" i="42"/>
  <c r="Z225" i="42"/>
  <c r="AA225" i="42"/>
  <c r="AB225" i="42"/>
  <c r="X226" i="42"/>
  <c r="Y226" i="42"/>
  <c r="Z226" i="42"/>
  <c r="AA226" i="42"/>
  <c r="AB226" i="42"/>
  <c r="X227" i="42"/>
  <c r="Y227" i="42"/>
  <c r="Z227" i="42"/>
  <c r="AA227" i="42"/>
  <c r="AB227" i="42"/>
  <c r="X228" i="42"/>
  <c r="Y228" i="42"/>
  <c r="Z228" i="42"/>
  <c r="AA228" i="42"/>
  <c r="AB228" i="42"/>
  <c r="X229" i="42"/>
  <c r="Y229" i="42"/>
  <c r="Z229" i="42"/>
  <c r="AA229" i="42"/>
  <c r="AB229" i="42"/>
  <c r="X230" i="42"/>
  <c r="Y230" i="42"/>
  <c r="Z230" i="42"/>
  <c r="AA230" i="42"/>
  <c r="AB230" i="42"/>
  <c r="X231" i="42"/>
  <c r="Y231" i="42"/>
  <c r="Z231" i="42"/>
  <c r="AA231" i="42"/>
  <c r="AB231" i="42"/>
  <c r="X232" i="42"/>
  <c r="Y232" i="42"/>
  <c r="Z232" i="42"/>
  <c r="AA232" i="42"/>
  <c r="AB232" i="42"/>
  <c r="X233" i="42"/>
  <c r="Y233" i="42"/>
  <c r="Z233" i="42"/>
  <c r="AA233" i="42"/>
  <c r="AB233" i="42"/>
  <c r="X234" i="42"/>
  <c r="Y234" i="42"/>
  <c r="Z234" i="42"/>
  <c r="AA234" i="42"/>
  <c r="AB234" i="42"/>
  <c r="X235" i="42"/>
  <c r="Y235" i="42"/>
  <c r="Z235" i="42"/>
  <c r="AA235" i="42"/>
  <c r="AB235" i="42"/>
  <c r="X236" i="42"/>
  <c r="Y236" i="42"/>
  <c r="Z236" i="42"/>
  <c r="AA236" i="42"/>
  <c r="AB236" i="42"/>
  <c r="X237" i="42"/>
  <c r="Y237" i="42"/>
  <c r="Z237" i="42"/>
  <c r="AA237" i="42"/>
  <c r="AB237" i="42"/>
  <c r="X238" i="42"/>
  <c r="Y238" i="42"/>
  <c r="Z238" i="42"/>
  <c r="AA238" i="42"/>
  <c r="AB238" i="42"/>
  <c r="X239" i="42"/>
  <c r="Y239" i="42"/>
  <c r="Z239" i="42"/>
  <c r="AA239" i="42"/>
  <c r="AB239" i="42"/>
  <c r="X240" i="42"/>
  <c r="Y240" i="42"/>
  <c r="Z240" i="42"/>
  <c r="AA240" i="42"/>
  <c r="AB240" i="42"/>
  <c r="X241" i="42"/>
  <c r="Y241" i="42"/>
  <c r="Z241" i="42"/>
  <c r="AA241" i="42"/>
  <c r="AB241" i="42"/>
  <c r="X242" i="42"/>
  <c r="Y242" i="42"/>
  <c r="Z242" i="42"/>
  <c r="AA242" i="42"/>
  <c r="AB242" i="42"/>
  <c r="X243" i="42"/>
  <c r="Y243" i="42"/>
  <c r="Z243" i="42"/>
  <c r="AA243" i="42"/>
  <c r="AB243" i="42"/>
  <c r="X244" i="42"/>
  <c r="Y244" i="42"/>
  <c r="Z244" i="42"/>
  <c r="AA244" i="42"/>
  <c r="AB244" i="42"/>
  <c r="X245" i="42"/>
  <c r="Y245" i="42"/>
  <c r="Z245" i="42"/>
  <c r="AA245" i="42"/>
  <c r="AB245" i="42"/>
  <c r="X246" i="42"/>
  <c r="Y246" i="42"/>
  <c r="Z246" i="42"/>
  <c r="AA246" i="42"/>
  <c r="AB246" i="42"/>
  <c r="X247" i="42"/>
  <c r="Y247" i="42"/>
  <c r="Z247" i="42"/>
  <c r="AA247" i="42"/>
  <c r="AB247" i="42"/>
  <c r="X248" i="42"/>
  <c r="Y248" i="42"/>
  <c r="Z248" i="42"/>
  <c r="AA248" i="42"/>
  <c r="AB248" i="42"/>
  <c r="X249" i="42"/>
  <c r="Y249" i="42"/>
  <c r="Z249" i="42"/>
  <c r="AA249" i="42"/>
  <c r="AB249" i="42"/>
  <c r="X250" i="42"/>
  <c r="Y250" i="42"/>
  <c r="Z250" i="42"/>
  <c r="AA250" i="42"/>
  <c r="AB250" i="42"/>
  <c r="X251" i="42"/>
  <c r="Y251" i="42"/>
  <c r="Z251" i="42"/>
  <c r="AA251" i="42"/>
  <c r="AB251" i="42"/>
  <c r="X252" i="42"/>
  <c r="Y252" i="42"/>
  <c r="Z252" i="42"/>
  <c r="AA252" i="42"/>
  <c r="AB252" i="42"/>
  <c r="X253" i="42"/>
  <c r="Y253" i="42"/>
  <c r="Z253" i="42"/>
  <c r="AA253" i="42"/>
  <c r="AB253" i="42"/>
  <c r="X254" i="42"/>
  <c r="Y254" i="42"/>
  <c r="Z254" i="42"/>
  <c r="AA254" i="42"/>
  <c r="AB254" i="42"/>
  <c r="X255" i="42"/>
  <c r="Y255" i="42"/>
  <c r="Z255" i="42"/>
  <c r="AA255" i="42"/>
  <c r="AB255" i="42"/>
  <c r="X256" i="42"/>
  <c r="Y256" i="42"/>
  <c r="Z256" i="42"/>
  <c r="AA256" i="42"/>
  <c r="AB256" i="42"/>
  <c r="X257" i="42"/>
  <c r="Y257" i="42"/>
  <c r="Z257" i="42"/>
  <c r="AA257" i="42"/>
  <c r="AB257" i="42"/>
  <c r="X258" i="42"/>
  <c r="Y258" i="42"/>
  <c r="Z258" i="42"/>
  <c r="AA258" i="42"/>
  <c r="AB258" i="42"/>
  <c r="X259" i="42"/>
  <c r="Y259" i="42"/>
  <c r="Z259" i="42"/>
  <c r="AA259" i="42"/>
  <c r="AB259" i="42"/>
  <c r="X260" i="42"/>
  <c r="Y260" i="42"/>
  <c r="Z260" i="42"/>
  <c r="AA260" i="42"/>
  <c r="AB260" i="42"/>
  <c r="X261" i="42"/>
  <c r="Y261" i="42"/>
  <c r="Z261" i="42"/>
  <c r="AA261" i="42"/>
  <c r="AB261" i="42"/>
  <c r="X262" i="42"/>
  <c r="Y262" i="42"/>
  <c r="Z262" i="42"/>
  <c r="AA262" i="42"/>
  <c r="AB262" i="42"/>
  <c r="X263" i="42"/>
  <c r="Y263" i="42"/>
  <c r="Z263" i="42"/>
  <c r="AA263" i="42"/>
  <c r="AB263" i="42"/>
  <c r="X264" i="42"/>
  <c r="Y264" i="42"/>
  <c r="Z264" i="42"/>
  <c r="AA264" i="42"/>
  <c r="AB264" i="42"/>
  <c r="X265" i="42"/>
  <c r="Y265" i="42"/>
  <c r="Z265" i="42"/>
  <c r="AA265" i="42"/>
  <c r="AB265" i="42"/>
  <c r="X266" i="42"/>
  <c r="Y266" i="42"/>
  <c r="Z266" i="42"/>
  <c r="AA266" i="42"/>
  <c r="AB266" i="42"/>
  <c r="X267" i="42"/>
  <c r="Y267" i="42"/>
  <c r="Z267" i="42"/>
  <c r="AA267" i="42"/>
  <c r="AB267" i="42"/>
  <c r="X268" i="42"/>
  <c r="Y268" i="42"/>
  <c r="Z268" i="42"/>
  <c r="AA268" i="42"/>
  <c r="AB268" i="42"/>
  <c r="X269" i="42"/>
  <c r="Y269" i="42"/>
  <c r="Z269" i="42"/>
  <c r="AA269" i="42"/>
  <c r="AB269" i="42"/>
  <c r="X270" i="42"/>
  <c r="Y270" i="42"/>
  <c r="Z270" i="42"/>
  <c r="AA270" i="42"/>
  <c r="AB270" i="42"/>
  <c r="X271" i="42"/>
  <c r="Y271" i="42"/>
  <c r="Z271" i="42"/>
  <c r="AA271" i="42"/>
  <c r="AB271" i="42"/>
  <c r="X272" i="42"/>
  <c r="Y272" i="42"/>
  <c r="Z272" i="42"/>
  <c r="AA272" i="42"/>
  <c r="AB272" i="42"/>
  <c r="X273" i="42"/>
  <c r="Y273" i="42"/>
  <c r="Z273" i="42"/>
  <c r="AA273" i="42"/>
  <c r="AB273" i="42"/>
  <c r="X274" i="42"/>
  <c r="Y274" i="42"/>
  <c r="Z274" i="42"/>
  <c r="AA274" i="42"/>
  <c r="AB274" i="42"/>
  <c r="X275" i="42"/>
  <c r="Y275" i="42"/>
  <c r="Z275" i="42"/>
  <c r="AA275" i="42"/>
  <c r="AB275" i="42"/>
  <c r="X276" i="42"/>
  <c r="Y276" i="42"/>
  <c r="Z276" i="42"/>
  <c r="AA276" i="42"/>
  <c r="AB276" i="42"/>
  <c r="X277" i="42"/>
  <c r="Y277" i="42"/>
  <c r="Z277" i="42"/>
  <c r="AA277" i="42"/>
  <c r="AB277" i="42"/>
  <c r="X278" i="42"/>
  <c r="Y278" i="42"/>
  <c r="Z278" i="42"/>
  <c r="AA278" i="42"/>
  <c r="AB278" i="42"/>
  <c r="X279" i="42"/>
  <c r="Y279" i="42"/>
  <c r="Z279" i="42"/>
  <c r="AA279" i="42"/>
  <c r="AB279" i="42"/>
  <c r="X280" i="42"/>
  <c r="Y280" i="42"/>
  <c r="Z280" i="42"/>
  <c r="AA280" i="42"/>
  <c r="AB280" i="42"/>
  <c r="X281" i="42"/>
  <c r="Y281" i="42"/>
  <c r="Z281" i="42"/>
  <c r="AA281" i="42"/>
  <c r="AB281" i="42"/>
  <c r="X282" i="42"/>
  <c r="Y282" i="42"/>
  <c r="Z282" i="42"/>
  <c r="AA282" i="42"/>
  <c r="AB282" i="42"/>
  <c r="X283" i="42"/>
  <c r="Y283" i="42"/>
  <c r="Z283" i="42"/>
  <c r="AA283" i="42"/>
  <c r="AB283" i="42"/>
  <c r="X284" i="42"/>
  <c r="Y284" i="42"/>
  <c r="Z284" i="42"/>
  <c r="AA284" i="42"/>
  <c r="AB284" i="42"/>
  <c r="X285" i="42"/>
  <c r="Y285" i="42"/>
  <c r="Z285" i="42"/>
  <c r="AA285" i="42"/>
  <c r="AB285" i="42"/>
  <c r="X286" i="42"/>
  <c r="Y286" i="42"/>
  <c r="Z286" i="42"/>
  <c r="AA286" i="42"/>
  <c r="AB286" i="42"/>
  <c r="X287" i="42"/>
  <c r="Y287" i="42"/>
  <c r="Z287" i="42"/>
  <c r="AA287" i="42"/>
  <c r="AB287" i="42"/>
  <c r="X288" i="42"/>
  <c r="Y288" i="42"/>
  <c r="Z288" i="42"/>
  <c r="AA288" i="42"/>
  <c r="AB288" i="42"/>
  <c r="X289" i="42"/>
  <c r="Y289" i="42"/>
  <c r="Z289" i="42"/>
  <c r="AA289" i="42"/>
  <c r="AB289" i="42"/>
  <c r="X290" i="42"/>
  <c r="Y290" i="42"/>
  <c r="Z290" i="42"/>
  <c r="AA290" i="42"/>
  <c r="AB290" i="42"/>
  <c r="X291" i="42"/>
  <c r="Y291" i="42"/>
  <c r="Z291" i="42"/>
  <c r="AA291" i="42"/>
  <c r="AB291" i="42"/>
  <c r="X292" i="42"/>
  <c r="Y292" i="42"/>
  <c r="Z292" i="42"/>
  <c r="AA292" i="42"/>
  <c r="AB292" i="42"/>
  <c r="X293" i="42"/>
  <c r="Y293" i="42"/>
  <c r="Z293" i="42"/>
  <c r="AA293" i="42"/>
  <c r="AB293" i="42"/>
  <c r="X294" i="42"/>
  <c r="Y294" i="42"/>
  <c r="Z294" i="42"/>
  <c r="AA294" i="42"/>
  <c r="AB294" i="42"/>
  <c r="X295" i="42"/>
  <c r="Y295" i="42"/>
  <c r="Z295" i="42"/>
  <c r="AA295" i="42"/>
  <c r="AB295" i="42"/>
  <c r="X296" i="42"/>
  <c r="Y296" i="42"/>
  <c r="Z296" i="42"/>
  <c r="AA296" i="42"/>
  <c r="AB296" i="42"/>
  <c r="X297" i="42"/>
  <c r="Y297" i="42"/>
  <c r="Z297" i="42"/>
  <c r="AA297" i="42"/>
  <c r="AB297" i="42"/>
  <c r="X298" i="42"/>
  <c r="Y298" i="42"/>
  <c r="Z298" i="42"/>
  <c r="AA298" i="42"/>
  <c r="AB298" i="42"/>
  <c r="X299" i="42"/>
  <c r="Y299" i="42"/>
  <c r="Z299" i="42"/>
  <c r="AA299" i="42"/>
  <c r="AB299" i="42"/>
  <c r="X300" i="42"/>
  <c r="Y300" i="42"/>
  <c r="Z300" i="42"/>
  <c r="AA300" i="42"/>
  <c r="AB300" i="42"/>
  <c r="X301" i="42"/>
  <c r="Y301" i="42"/>
  <c r="Z301" i="42"/>
  <c r="AA301" i="42"/>
  <c r="AB301" i="42"/>
  <c r="X302" i="42"/>
  <c r="Y302" i="42"/>
  <c r="Z302" i="42"/>
  <c r="AA302" i="42"/>
  <c r="AB302" i="42"/>
  <c r="X303" i="42"/>
  <c r="Y303" i="42"/>
  <c r="Z303" i="42"/>
  <c r="AA303" i="42"/>
  <c r="AB303" i="42"/>
  <c r="X304" i="42"/>
  <c r="Y304" i="42"/>
  <c r="Z304" i="42"/>
  <c r="AA304" i="42"/>
  <c r="AB304" i="42"/>
  <c r="X305" i="42"/>
  <c r="Y305" i="42"/>
  <c r="Z305" i="42"/>
  <c r="AA305" i="42"/>
  <c r="AB305" i="42"/>
  <c r="X306" i="42"/>
  <c r="Y306" i="42"/>
  <c r="Z306" i="42"/>
  <c r="AA306" i="42"/>
  <c r="AB306" i="42"/>
  <c r="X307" i="42"/>
  <c r="Y307" i="42"/>
  <c r="Z307" i="42"/>
  <c r="AA307" i="42"/>
  <c r="AB307" i="42"/>
  <c r="X308" i="42"/>
  <c r="Y308" i="42"/>
  <c r="Z308" i="42"/>
  <c r="AA308" i="42"/>
  <c r="AB308" i="42"/>
  <c r="X309" i="42"/>
  <c r="Y309" i="42"/>
  <c r="Z309" i="42"/>
  <c r="AA309" i="42"/>
  <c r="AB309" i="42"/>
  <c r="X310" i="42"/>
  <c r="Y310" i="42"/>
  <c r="Z310" i="42"/>
  <c r="AA310" i="42"/>
  <c r="AB310" i="42"/>
  <c r="X311" i="42"/>
  <c r="Y311" i="42"/>
  <c r="Z311" i="42"/>
  <c r="AA311" i="42"/>
  <c r="AB311" i="42"/>
  <c r="X312" i="42"/>
  <c r="Y312" i="42"/>
  <c r="Z312" i="42"/>
  <c r="AA312" i="42"/>
  <c r="AB312" i="42"/>
  <c r="X313" i="42"/>
  <c r="Y313" i="42"/>
  <c r="Z313" i="42"/>
  <c r="AA313" i="42"/>
  <c r="AB313" i="42"/>
  <c r="X314" i="42"/>
  <c r="Y314" i="42"/>
  <c r="Z314" i="42"/>
  <c r="AA314" i="42"/>
  <c r="AB314" i="42"/>
  <c r="X315" i="42"/>
  <c r="Y315" i="42"/>
  <c r="Z315" i="42"/>
  <c r="AA315" i="42"/>
  <c r="AB315" i="42"/>
  <c r="X316" i="42"/>
  <c r="Y316" i="42"/>
  <c r="Z316" i="42"/>
  <c r="AA316" i="42"/>
  <c r="AB316" i="42"/>
  <c r="X317" i="42"/>
  <c r="Y317" i="42"/>
  <c r="Z317" i="42"/>
  <c r="AA317" i="42"/>
  <c r="AB317" i="42"/>
  <c r="X318" i="42"/>
  <c r="Y318" i="42"/>
  <c r="Z318" i="42"/>
  <c r="AA318" i="42"/>
  <c r="AB318" i="42"/>
  <c r="X319" i="42"/>
  <c r="Y319" i="42"/>
  <c r="Z319" i="42"/>
  <c r="AA319" i="42"/>
  <c r="AB319" i="42"/>
  <c r="X320" i="42"/>
  <c r="Y320" i="42"/>
  <c r="Z320" i="42"/>
  <c r="AA320" i="42"/>
  <c r="AB320" i="42"/>
  <c r="X321" i="42"/>
  <c r="Y321" i="42"/>
  <c r="Z321" i="42"/>
  <c r="AA321" i="42"/>
  <c r="AB321" i="42"/>
  <c r="X322" i="42"/>
  <c r="Y322" i="42"/>
  <c r="Z322" i="42"/>
  <c r="AA322" i="42"/>
  <c r="AB322" i="42"/>
  <c r="X323" i="42"/>
  <c r="Y323" i="42"/>
  <c r="Z323" i="42"/>
  <c r="AA323" i="42"/>
  <c r="AB323" i="42"/>
  <c r="X324" i="42"/>
  <c r="Y324" i="42"/>
  <c r="Z324" i="42"/>
  <c r="AA324" i="42"/>
  <c r="AB324" i="42"/>
  <c r="X325" i="42"/>
  <c r="Y325" i="42"/>
  <c r="Z325" i="42"/>
  <c r="AA325" i="42"/>
  <c r="AB325" i="42"/>
  <c r="X326" i="42"/>
  <c r="Y326" i="42"/>
  <c r="Z326" i="42"/>
  <c r="AA326" i="42"/>
  <c r="AB326" i="42"/>
  <c r="X327" i="42"/>
  <c r="Y327" i="42"/>
  <c r="Z327" i="42"/>
  <c r="AA327" i="42"/>
  <c r="AB327" i="42"/>
  <c r="X328" i="42"/>
  <c r="Y328" i="42"/>
  <c r="Z328" i="42"/>
  <c r="AA328" i="42"/>
  <c r="AB328" i="42"/>
  <c r="X329" i="42"/>
  <c r="Y329" i="42"/>
  <c r="Z329" i="42"/>
  <c r="AA329" i="42"/>
  <c r="AB329" i="42"/>
  <c r="X330" i="42"/>
  <c r="Y330" i="42"/>
  <c r="Z330" i="42"/>
  <c r="AA330" i="42"/>
  <c r="AB330" i="42"/>
  <c r="X331" i="42"/>
  <c r="Y331" i="42"/>
  <c r="Z331" i="42"/>
  <c r="AA331" i="42"/>
  <c r="AB331" i="42"/>
  <c r="X332" i="42"/>
  <c r="Y332" i="42"/>
  <c r="Z332" i="42"/>
  <c r="AA332" i="42"/>
  <c r="AB332" i="42"/>
  <c r="X333" i="42"/>
  <c r="Y333" i="42"/>
  <c r="Z333" i="42"/>
  <c r="AA333" i="42"/>
  <c r="AB333" i="42"/>
  <c r="X334" i="42"/>
  <c r="Y334" i="42"/>
  <c r="Z334" i="42"/>
  <c r="AA334" i="42"/>
  <c r="AB334" i="42"/>
  <c r="X335" i="42"/>
  <c r="Y335" i="42"/>
  <c r="Z335" i="42"/>
  <c r="AA335" i="42"/>
  <c r="AB335" i="42"/>
  <c r="X336" i="42"/>
  <c r="Y336" i="42"/>
  <c r="Z336" i="42"/>
  <c r="AA336" i="42"/>
  <c r="AB336" i="42"/>
  <c r="X337" i="42"/>
  <c r="Y337" i="42"/>
  <c r="Z337" i="42"/>
  <c r="AA337" i="42"/>
  <c r="AB337" i="42"/>
  <c r="X338" i="42"/>
  <c r="Y338" i="42"/>
  <c r="Z338" i="42"/>
  <c r="AA338" i="42"/>
  <c r="AB338" i="42"/>
  <c r="X339" i="42"/>
  <c r="Y339" i="42"/>
  <c r="Z339" i="42"/>
  <c r="AA339" i="42"/>
  <c r="AB339" i="42"/>
  <c r="X340" i="42"/>
  <c r="Y340" i="42"/>
  <c r="Z340" i="42"/>
  <c r="AA340" i="42"/>
  <c r="AB340" i="42"/>
  <c r="X341" i="42"/>
  <c r="Y341" i="42"/>
  <c r="Z341" i="42"/>
  <c r="AA341" i="42"/>
  <c r="AB341" i="42"/>
  <c r="X342" i="42"/>
  <c r="Y342" i="42"/>
  <c r="Z342" i="42"/>
  <c r="AA342" i="42"/>
  <c r="AB342" i="42"/>
  <c r="X343" i="42"/>
  <c r="Y343" i="42"/>
  <c r="Z343" i="42"/>
  <c r="AA343" i="42"/>
  <c r="AB343" i="42"/>
  <c r="X344" i="42"/>
  <c r="Y344" i="42"/>
  <c r="Z344" i="42"/>
  <c r="AA344" i="42"/>
  <c r="AB344" i="42"/>
  <c r="X345" i="42"/>
  <c r="Y345" i="42"/>
  <c r="Z345" i="42"/>
  <c r="AA345" i="42"/>
  <c r="AB345" i="42"/>
  <c r="X346" i="42"/>
  <c r="Y346" i="42"/>
  <c r="Z346" i="42"/>
  <c r="AA346" i="42"/>
  <c r="AB346" i="42"/>
  <c r="X347" i="42"/>
  <c r="Y347" i="42"/>
  <c r="Z347" i="42"/>
  <c r="AA347" i="42"/>
  <c r="AB347" i="42"/>
  <c r="X348" i="42"/>
  <c r="Y348" i="42"/>
  <c r="Z348" i="42"/>
  <c r="AA348" i="42"/>
  <c r="AB348" i="42"/>
  <c r="X349" i="42"/>
  <c r="Y349" i="42"/>
  <c r="Z349" i="42"/>
  <c r="AA349" i="42"/>
  <c r="AB349" i="42"/>
  <c r="X350" i="42"/>
  <c r="Y350" i="42"/>
  <c r="Z350" i="42"/>
  <c r="AA350" i="42"/>
  <c r="AB350" i="42"/>
  <c r="X351" i="42"/>
  <c r="Y351" i="42"/>
  <c r="Z351" i="42"/>
  <c r="AA351" i="42"/>
  <c r="AB351" i="42"/>
  <c r="X352" i="42"/>
  <c r="Y352" i="42"/>
  <c r="Z352" i="42"/>
  <c r="AA352" i="42"/>
  <c r="AB352" i="42"/>
  <c r="X353" i="42"/>
  <c r="Y353" i="42"/>
  <c r="Z353" i="42"/>
  <c r="AA353" i="42"/>
  <c r="AB353" i="42"/>
  <c r="X354" i="42"/>
  <c r="Y354" i="42"/>
  <c r="Z354" i="42"/>
  <c r="AA354" i="42"/>
  <c r="AB354" i="42"/>
  <c r="X355" i="42"/>
  <c r="Y355" i="42"/>
  <c r="Z355" i="42"/>
  <c r="AA355" i="42"/>
  <c r="AB355" i="42"/>
  <c r="X356" i="42"/>
  <c r="Y356" i="42"/>
  <c r="Z356" i="42"/>
  <c r="AA356" i="42"/>
  <c r="AB356" i="42"/>
  <c r="X357" i="42"/>
  <c r="Y357" i="42"/>
  <c r="Z357" i="42"/>
  <c r="AA357" i="42"/>
  <c r="AB357" i="42"/>
  <c r="X358" i="42"/>
  <c r="Y358" i="42"/>
  <c r="Z358" i="42"/>
  <c r="AA358" i="42"/>
  <c r="AB358" i="42"/>
  <c r="X359" i="42"/>
  <c r="Y359" i="42"/>
  <c r="Z359" i="42"/>
  <c r="AA359" i="42"/>
  <c r="AB359" i="42"/>
  <c r="X360" i="42"/>
  <c r="Y360" i="42"/>
  <c r="Z360" i="42"/>
  <c r="AA360" i="42"/>
  <c r="AB360" i="42"/>
  <c r="X361" i="42"/>
  <c r="Y361" i="42"/>
  <c r="Z361" i="42"/>
  <c r="AA361" i="42"/>
  <c r="AB361" i="42"/>
  <c r="X362" i="42"/>
  <c r="Y362" i="42"/>
  <c r="Z362" i="42"/>
  <c r="AA362" i="42"/>
  <c r="AB362" i="42"/>
  <c r="X363" i="42"/>
  <c r="Y363" i="42"/>
  <c r="Z363" i="42"/>
  <c r="AA363" i="42"/>
  <c r="AB363" i="42"/>
  <c r="X364" i="42"/>
  <c r="Y364" i="42"/>
  <c r="Z364" i="42"/>
  <c r="AA364" i="42"/>
  <c r="AB364" i="42"/>
  <c r="X365" i="42"/>
  <c r="Y365" i="42"/>
  <c r="Z365" i="42"/>
  <c r="AA365" i="42"/>
  <c r="AB365" i="42"/>
  <c r="X366" i="42"/>
  <c r="Y366" i="42"/>
  <c r="Z366" i="42"/>
  <c r="AA366" i="42"/>
  <c r="AB366" i="42"/>
  <c r="X367" i="42"/>
  <c r="Y367" i="42"/>
  <c r="Z367" i="42"/>
  <c r="AA367" i="42"/>
  <c r="AB367" i="42"/>
  <c r="X368" i="42"/>
  <c r="Y368" i="42"/>
  <c r="Z368" i="42"/>
  <c r="AA368" i="42"/>
  <c r="AB368" i="42"/>
  <c r="X369" i="42"/>
  <c r="Y369" i="42"/>
  <c r="Z369" i="42"/>
  <c r="AA369" i="42"/>
  <c r="AB369" i="42"/>
  <c r="X370" i="42"/>
  <c r="Y370" i="42"/>
  <c r="Z370" i="42"/>
  <c r="AA370" i="42"/>
  <c r="AB370" i="42"/>
  <c r="X371" i="42"/>
  <c r="Y371" i="42"/>
  <c r="Z371" i="42"/>
  <c r="AA371" i="42"/>
  <c r="AB371" i="42"/>
  <c r="X372" i="42"/>
  <c r="Y372" i="42"/>
  <c r="Z372" i="42"/>
  <c r="AA372" i="42"/>
  <c r="AB372" i="42"/>
  <c r="X373" i="42"/>
  <c r="Y373" i="42"/>
  <c r="Z373" i="42"/>
  <c r="AA373" i="42"/>
  <c r="AB373" i="42"/>
  <c r="X374" i="42"/>
  <c r="Y374" i="42"/>
  <c r="Z374" i="42"/>
  <c r="AA374" i="42"/>
  <c r="AB374" i="42"/>
  <c r="X375" i="42"/>
  <c r="Y375" i="42"/>
  <c r="Z375" i="42"/>
  <c r="AA375" i="42"/>
  <c r="AB375" i="42"/>
  <c r="X376" i="42"/>
  <c r="Y376" i="42"/>
  <c r="Z376" i="42"/>
  <c r="AA376" i="42"/>
  <c r="AB376" i="42"/>
  <c r="X377" i="42"/>
  <c r="Y377" i="42"/>
  <c r="Z377" i="42"/>
  <c r="AA377" i="42"/>
  <c r="AB377" i="42"/>
  <c r="X378" i="42"/>
  <c r="Y378" i="42"/>
  <c r="Z378" i="42"/>
  <c r="AA378" i="42"/>
  <c r="AB378" i="42"/>
  <c r="X379" i="42"/>
  <c r="Y379" i="42"/>
  <c r="Z379" i="42"/>
  <c r="AA379" i="42"/>
  <c r="AB379" i="42"/>
  <c r="X380" i="42"/>
  <c r="Y380" i="42"/>
  <c r="Z380" i="42"/>
  <c r="AA380" i="42"/>
  <c r="AB380" i="42"/>
  <c r="X381" i="42"/>
  <c r="Y381" i="42"/>
  <c r="Z381" i="42"/>
  <c r="AA381" i="42"/>
  <c r="AB381" i="42"/>
  <c r="X382" i="42"/>
  <c r="Y382" i="42"/>
  <c r="Z382" i="42"/>
  <c r="AA382" i="42"/>
  <c r="AB382" i="42"/>
  <c r="X383" i="42"/>
  <c r="Y383" i="42"/>
  <c r="Z383" i="42"/>
  <c r="AA383" i="42"/>
  <c r="AB383" i="42"/>
  <c r="X384" i="42"/>
  <c r="Y384" i="42"/>
  <c r="Z384" i="42"/>
  <c r="AA384" i="42"/>
  <c r="AB384" i="42"/>
  <c r="X385" i="42"/>
  <c r="Y385" i="42"/>
  <c r="Z385" i="42"/>
  <c r="AA385" i="42"/>
  <c r="AB385" i="42"/>
  <c r="X386" i="42"/>
  <c r="Y386" i="42"/>
  <c r="Z386" i="42"/>
  <c r="AA386" i="42"/>
  <c r="AB386" i="42"/>
  <c r="X387" i="42"/>
  <c r="Y387" i="42"/>
  <c r="Z387" i="42"/>
  <c r="AA387" i="42"/>
  <c r="AB387" i="42"/>
  <c r="X388" i="42"/>
  <c r="Y388" i="42"/>
  <c r="Z388" i="42"/>
  <c r="AA388" i="42"/>
  <c r="AB388" i="42"/>
  <c r="X389" i="42"/>
  <c r="Y389" i="42"/>
  <c r="Z389" i="42"/>
  <c r="AA389" i="42"/>
  <c r="AB389" i="42"/>
  <c r="X390" i="42"/>
  <c r="Y390" i="42"/>
  <c r="Z390" i="42"/>
  <c r="AA390" i="42"/>
  <c r="AB390" i="42"/>
  <c r="X391" i="42"/>
  <c r="Y391" i="42"/>
  <c r="Z391" i="42"/>
  <c r="AA391" i="42"/>
  <c r="AB391" i="42"/>
  <c r="X392" i="42"/>
  <c r="Y392" i="42"/>
  <c r="Z392" i="42"/>
  <c r="AA392" i="42"/>
  <c r="AB392" i="42"/>
  <c r="X393" i="42"/>
  <c r="Y393" i="42"/>
  <c r="Z393" i="42"/>
  <c r="AA393" i="42"/>
  <c r="AB393" i="42"/>
  <c r="X394" i="42"/>
  <c r="Y394" i="42"/>
  <c r="Z394" i="42"/>
  <c r="AA394" i="42"/>
  <c r="AB394" i="42"/>
  <c r="X395" i="42"/>
  <c r="Y395" i="42"/>
  <c r="Z395" i="42"/>
  <c r="AA395" i="42"/>
  <c r="AB395" i="42"/>
  <c r="X396" i="42"/>
  <c r="Y396" i="42"/>
  <c r="Z396" i="42"/>
  <c r="AA396" i="42"/>
  <c r="AB396" i="42"/>
  <c r="X397" i="42"/>
  <c r="Y397" i="42"/>
  <c r="Z397" i="42"/>
  <c r="AA397" i="42"/>
  <c r="AB397" i="42"/>
  <c r="X398" i="42"/>
  <c r="Y398" i="42"/>
  <c r="Z398" i="42"/>
  <c r="AA398" i="42"/>
  <c r="AB398" i="42"/>
  <c r="X399" i="42"/>
  <c r="Y399" i="42"/>
  <c r="Z399" i="42"/>
  <c r="AA399" i="42"/>
  <c r="AB399" i="42"/>
  <c r="X400" i="42"/>
  <c r="Y400" i="42"/>
  <c r="Z400" i="42"/>
  <c r="AA400" i="42"/>
  <c r="AB400" i="42"/>
  <c r="X401" i="42"/>
  <c r="Y401" i="42"/>
  <c r="Z401" i="42"/>
  <c r="AA401" i="42"/>
  <c r="AB401" i="42"/>
  <c r="X402" i="42"/>
  <c r="Y402" i="42"/>
  <c r="Z402" i="42"/>
  <c r="AA402" i="42"/>
  <c r="AB402" i="42"/>
  <c r="X403" i="42"/>
  <c r="Y403" i="42"/>
  <c r="Z403" i="42"/>
  <c r="AA403" i="42"/>
  <c r="AB403" i="42"/>
  <c r="X404" i="42"/>
  <c r="Y404" i="42"/>
  <c r="Z404" i="42"/>
  <c r="AA404" i="42"/>
  <c r="AB404" i="42"/>
  <c r="X405" i="42"/>
  <c r="Y405" i="42"/>
  <c r="Z405" i="42"/>
  <c r="AA405" i="42"/>
  <c r="AB405" i="42"/>
  <c r="X406" i="42"/>
  <c r="Y406" i="42"/>
  <c r="Z406" i="42"/>
  <c r="AA406" i="42"/>
  <c r="AB406" i="42"/>
  <c r="X407" i="42"/>
  <c r="Y407" i="42"/>
  <c r="Z407" i="42"/>
  <c r="AA407" i="42"/>
  <c r="AB407" i="42"/>
  <c r="X408" i="42"/>
  <c r="Y408" i="42"/>
  <c r="Z408" i="42"/>
  <c r="AA408" i="42"/>
  <c r="AB408" i="42"/>
  <c r="X409" i="42"/>
  <c r="Y409" i="42"/>
  <c r="Z409" i="42"/>
  <c r="AA409" i="42"/>
  <c r="AB409" i="42"/>
  <c r="X410" i="42"/>
  <c r="Y410" i="42"/>
  <c r="Z410" i="42"/>
  <c r="AA410" i="42"/>
  <c r="AB410" i="42"/>
  <c r="X411" i="42"/>
  <c r="Y411" i="42"/>
  <c r="Z411" i="42"/>
  <c r="AA411" i="42"/>
  <c r="AB411" i="42"/>
  <c r="X412" i="42"/>
  <c r="Y412" i="42"/>
  <c r="Z412" i="42"/>
  <c r="AA412" i="42"/>
  <c r="AB412" i="42"/>
  <c r="X413" i="42"/>
  <c r="Y413" i="42"/>
  <c r="Z413" i="42"/>
  <c r="AA413" i="42"/>
  <c r="AB413" i="42"/>
  <c r="X414" i="42"/>
  <c r="Y414" i="42"/>
  <c r="Z414" i="42"/>
  <c r="AA414" i="42"/>
  <c r="AB414" i="42"/>
  <c r="X415" i="42"/>
  <c r="Y415" i="42"/>
  <c r="Z415" i="42"/>
  <c r="AA415" i="42"/>
  <c r="AB415" i="42"/>
  <c r="X416" i="42"/>
  <c r="Y416" i="42"/>
  <c r="Z416" i="42"/>
  <c r="AA416" i="42"/>
  <c r="AB416" i="42"/>
  <c r="X417" i="42"/>
  <c r="Y417" i="42"/>
  <c r="Z417" i="42"/>
  <c r="AA417" i="42"/>
  <c r="AB417" i="42"/>
  <c r="X418" i="42"/>
  <c r="Y418" i="42"/>
  <c r="Z418" i="42"/>
  <c r="AA418" i="42"/>
  <c r="AB418" i="42"/>
  <c r="X419" i="42"/>
  <c r="Y419" i="42"/>
  <c r="Z419" i="42"/>
  <c r="AA419" i="42"/>
  <c r="AB419" i="42"/>
  <c r="X420" i="42"/>
  <c r="Y420" i="42"/>
  <c r="Z420" i="42"/>
  <c r="AA420" i="42"/>
  <c r="AB420" i="42"/>
  <c r="X421" i="42"/>
  <c r="Y421" i="42"/>
  <c r="Z421" i="42"/>
  <c r="AA421" i="42"/>
  <c r="AB421" i="42"/>
  <c r="X422" i="42"/>
  <c r="Y422" i="42"/>
  <c r="Z422" i="42"/>
  <c r="AA422" i="42"/>
  <c r="AB422" i="42"/>
  <c r="X423" i="42"/>
  <c r="Y423" i="42"/>
  <c r="Z423" i="42"/>
  <c r="AA423" i="42"/>
  <c r="AB423" i="42"/>
  <c r="X424" i="42"/>
  <c r="Y424" i="42"/>
  <c r="Z424" i="42"/>
  <c r="AA424" i="42"/>
  <c r="AB424" i="42"/>
  <c r="X425" i="42"/>
  <c r="Y425" i="42"/>
  <c r="Z425" i="42"/>
  <c r="AA425" i="42"/>
  <c r="AB425" i="42"/>
  <c r="X426" i="42"/>
  <c r="Y426" i="42"/>
  <c r="Z426" i="42"/>
  <c r="AA426" i="42"/>
  <c r="AB426" i="42"/>
  <c r="X427" i="42"/>
  <c r="Y427" i="42"/>
  <c r="Z427" i="42"/>
  <c r="AA427" i="42"/>
  <c r="AB427" i="42"/>
  <c r="X428" i="42"/>
  <c r="Y428" i="42"/>
  <c r="Z428" i="42"/>
  <c r="AA428" i="42"/>
  <c r="AB428" i="42"/>
  <c r="X429" i="42"/>
  <c r="Y429" i="42"/>
  <c r="Z429" i="42"/>
  <c r="AA429" i="42"/>
  <c r="AB429" i="42"/>
  <c r="X430" i="42"/>
  <c r="Y430" i="42"/>
  <c r="Z430" i="42"/>
  <c r="AA430" i="42"/>
  <c r="AB430" i="42"/>
  <c r="X431" i="42"/>
  <c r="Y431" i="42"/>
  <c r="Z431" i="42"/>
  <c r="AA431" i="42"/>
  <c r="AB431" i="42"/>
  <c r="X432" i="42"/>
  <c r="Y432" i="42"/>
  <c r="Z432" i="42"/>
  <c r="AA432" i="42"/>
  <c r="AB432" i="42"/>
  <c r="X433" i="42"/>
  <c r="Y433" i="42"/>
  <c r="Z433" i="42"/>
  <c r="AA433" i="42"/>
  <c r="AB433" i="42"/>
  <c r="X434" i="42"/>
  <c r="Y434" i="42"/>
  <c r="Z434" i="42"/>
  <c r="AA434" i="42"/>
  <c r="AB434" i="42"/>
  <c r="X435" i="42"/>
  <c r="Y435" i="42"/>
  <c r="Z435" i="42"/>
  <c r="AA435" i="42"/>
  <c r="AB435" i="42"/>
  <c r="X436" i="42"/>
  <c r="Y436" i="42"/>
  <c r="Z436" i="42"/>
  <c r="AA436" i="42"/>
  <c r="AB436" i="42"/>
  <c r="X437" i="42"/>
  <c r="Y437" i="42"/>
  <c r="Z437" i="42"/>
  <c r="AA437" i="42"/>
  <c r="AB437" i="42"/>
  <c r="X438" i="42"/>
  <c r="Y438" i="42"/>
  <c r="Z438" i="42"/>
  <c r="AA438" i="42"/>
  <c r="AB438" i="42"/>
  <c r="X439" i="42"/>
  <c r="Y439" i="42"/>
  <c r="Z439" i="42"/>
  <c r="AA439" i="42"/>
  <c r="AB439" i="42"/>
  <c r="X440" i="42"/>
  <c r="Y440" i="42"/>
  <c r="Z440" i="42"/>
  <c r="AA440" i="42"/>
  <c r="AB440" i="42"/>
  <c r="X441" i="42"/>
  <c r="Y441" i="42"/>
  <c r="Z441" i="42"/>
  <c r="AA441" i="42"/>
  <c r="AB441" i="42"/>
  <c r="X442" i="42"/>
  <c r="Y442" i="42"/>
  <c r="Z442" i="42"/>
  <c r="AA442" i="42"/>
  <c r="AB442" i="42"/>
  <c r="X443" i="42"/>
  <c r="Y443" i="42"/>
  <c r="Z443" i="42"/>
  <c r="AA443" i="42"/>
  <c r="AB443" i="42"/>
  <c r="X444" i="42"/>
  <c r="Y444" i="42"/>
  <c r="Z444" i="42"/>
  <c r="AA444" i="42"/>
  <c r="AB444" i="42"/>
  <c r="X445" i="42"/>
  <c r="Y445" i="42"/>
  <c r="Z445" i="42"/>
  <c r="AA445" i="42"/>
  <c r="AB445" i="42"/>
  <c r="X446" i="42"/>
  <c r="Y446" i="42"/>
  <c r="Z446" i="42"/>
  <c r="AA446" i="42"/>
  <c r="AB446" i="42"/>
  <c r="X447" i="42"/>
  <c r="Y447" i="42"/>
  <c r="Z447" i="42"/>
  <c r="AA447" i="42"/>
  <c r="AB447" i="42"/>
  <c r="X448" i="42"/>
  <c r="Y448" i="42"/>
  <c r="Z448" i="42"/>
  <c r="AA448" i="42"/>
  <c r="AB448" i="42"/>
  <c r="X449" i="42"/>
  <c r="Y449" i="42"/>
  <c r="Z449" i="42"/>
  <c r="AA449" i="42"/>
  <c r="AB449" i="42"/>
  <c r="X450" i="42"/>
  <c r="Y450" i="42"/>
  <c r="Z450" i="42"/>
  <c r="AA450" i="42"/>
  <c r="AB450" i="42"/>
  <c r="X451" i="42"/>
  <c r="Y451" i="42"/>
  <c r="Z451" i="42"/>
  <c r="AA451" i="42"/>
  <c r="AB451" i="42"/>
  <c r="X452" i="42"/>
  <c r="Y452" i="42"/>
  <c r="Z452" i="42"/>
  <c r="AA452" i="42"/>
  <c r="AB452" i="42"/>
  <c r="X453" i="42"/>
  <c r="Y453" i="42"/>
  <c r="Z453" i="42"/>
  <c r="AA453" i="42"/>
  <c r="AB453" i="42"/>
  <c r="X454" i="42"/>
  <c r="Y454" i="42"/>
  <c r="Z454" i="42"/>
  <c r="AA454" i="42"/>
  <c r="AB454" i="42"/>
  <c r="X455" i="42"/>
  <c r="Y455" i="42"/>
  <c r="Z455" i="42"/>
  <c r="AA455" i="42"/>
  <c r="AB455" i="42"/>
  <c r="X456" i="42"/>
  <c r="Y456" i="42"/>
  <c r="Z456" i="42"/>
  <c r="AA456" i="42"/>
  <c r="AB456" i="42"/>
  <c r="X457" i="42"/>
  <c r="Y457" i="42"/>
  <c r="Z457" i="42"/>
  <c r="AA457" i="42"/>
  <c r="AB457" i="42"/>
  <c r="X458" i="42"/>
  <c r="Y458" i="42"/>
  <c r="Z458" i="42"/>
  <c r="AA458" i="42"/>
  <c r="AB458" i="42"/>
  <c r="X459" i="42"/>
  <c r="Y459" i="42"/>
  <c r="Z459" i="42"/>
  <c r="AA459" i="42"/>
  <c r="AB459" i="42"/>
  <c r="X460" i="42"/>
  <c r="Y460" i="42"/>
  <c r="Z460" i="42"/>
  <c r="AA460" i="42"/>
  <c r="AB460" i="42"/>
  <c r="X461" i="42"/>
  <c r="Y461" i="42"/>
  <c r="Z461" i="42"/>
  <c r="AA461" i="42"/>
  <c r="AB461" i="42"/>
  <c r="X462" i="42"/>
  <c r="Y462" i="42"/>
  <c r="Z462" i="42"/>
  <c r="AA462" i="42"/>
  <c r="AB462" i="42"/>
  <c r="X463" i="42"/>
  <c r="Y463" i="42"/>
  <c r="Z463" i="42"/>
  <c r="AA463" i="42"/>
  <c r="AB463" i="42"/>
  <c r="X464" i="42"/>
  <c r="Y464" i="42"/>
  <c r="Z464" i="42"/>
  <c r="AA464" i="42"/>
  <c r="AB464" i="42"/>
  <c r="X465" i="42"/>
  <c r="Y465" i="42"/>
  <c r="Z465" i="42"/>
  <c r="AA465" i="42"/>
  <c r="AB465" i="42"/>
  <c r="X466" i="42"/>
  <c r="Y466" i="42"/>
  <c r="Z466" i="42"/>
  <c r="AA466" i="42"/>
  <c r="AB466" i="42"/>
  <c r="X467" i="42"/>
  <c r="Y467" i="42"/>
  <c r="Z467" i="42"/>
  <c r="AA467" i="42"/>
  <c r="AB467" i="42"/>
  <c r="X468" i="42"/>
  <c r="Y468" i="42"/>
  <c r="Z468" i="42"/>
  <c r="AA468" i="42"/>
  <c r="AB468" i="42"/>
  <c r="X469" i="42"/>
  <c r="Y469" i="42"/>
  <c r="Z469" i="42"/>
  <c r="AA469" i="42"/>
  <c r="AB469" i="42"/>
  <c r="X470" i="42"/>
  <c r="Y470" i="42"/>
  <c r="Z470" i="42"/>
  <c r="AA470" i="42"/>
  <c r="AB470" i="42"/>
  <c r="X471" i="42"/>
  <c r="Y471" i="42"/>
  <c r="Z471" i="42"/>
  <c r="AA471" i="42"/>
  <c r="AB471" i="42"/>
  <c r="X472" i="42"/>
  <c r="Y472" i="42"/>
  <c r="Z472" i="42"/>
  <c r="AA472" i="42"/>
  <c r="AB472" i="42"/>
  <c r="X473" i="42"/>
  <c r="Y473" i="42"/>
  <c r="Z473" i="42"/>
  <c r="AA473" i="42"/>
  <c r="AB473" i="42"/>
  <c r="X474" i="42"/>
  <c r="Y474" i="42"/>
  <c r="Z474" i="42"/>
  <c r="AA474" i="42"/>
  <c r="AB474" i="42"/>
  <c r="X475" i="42"/>
  <c r="Y475" i="42"/>
  <c r="Z475" i="42"/>
  <c r="AA475" i="42"/>
  <c r="AB475" i="42"/>
  <c r="X476" i="42"/>
  <c r="Y476" i="42"/>
  <c r="Z476" i="42"/>
  <c r="AA476" i="42"/>
  <c r="AB476" i="42"/>
  <c r="X477" i="42"/>
  <c r="Y477" i="42"/>
  <c r="Z477" i="42"/>
  <c r="AA477" i="42"/>
  <c r="AB477" i="42"/>
  <c r="X478" i="42"/>
  <c r="Y478" i="42"/>
  <c r="Z478" i="42"/>
  <c r="AA478" i="42"/>
  <c r="AB478" i="42"/>
  <c r="X479" i="42"/>
  <c r="Y479" i="42"/>
  <c r="Z479" i="42"/>
  <c r="AA479" i="42"/>
  <c r="AB479" i="42"/>
  <c r="X480" i="42"/>
  <c r="Y480" i="42"/>
  <c r="Z480" i="42"/>
  <c r="AA480" i="42"/>
  <c r="AB480" i="42"/>
  <c r="X481" i="42"/>
  <c r="Y481" i="42"/>
  <c r="Z481" i="42"/>
  <c r="AA481" i="42"/>
  <c r="AB481" i="42"/>
  <c r="X482" i="42"/>
  <c r="Y482" i="42"/>
  <c r="Z482" i="42"/>
  <c r="AA482" i="42"/>
  <c r="AB482" i="42"/>
  <c r="X483" i="42"/>
  <c r="Y483" i="42"/>
  <c r="Z483" i="42"/>
  <c r="AA483" i="42"/>
  <c r="AB483" i="42"/>
  <c r="X484" i="42"/>
  <c r="Y484" i="42"/>
  <c r="Z484" i="42"/>
  <c r="AA484" i="42"/>
  <c r="AB484" i="42"/>
  <c r="X485" i="42"/>
  <c r="Y485" i="42"/>
  <c r="Z485" i="42"/>
  <c r="AA485" i="42"/>
  <c r="AB485" i="42"/>
  <c r="X486" i="42"/>
  <c r="Y486" i="42"/>
  <c r="Z486" i="42"/>
  <c r="AA486" i="42"/>
  <c r="AB486" i="42"/>
  <c r="X487" i="42"/>
  <c r="Y487" i="42"/>
  <c r="Z487" i="42"/>
  <c r="AA487" i="42"/>
  <c r="AB487" i="42"/>
  <c r="X488" i="42"/>
  <c r="Y488" i="42"/>
  <c r="Z488" i="42"/>
  <c r="AA488" i="42"/>
  <c r="AB488" i="42"/>
  <c r="X489" i="42"/>
  <c r="Y489" i="42"/>
  <c r="Z489" i="42"/>
  <c r="AA489" i="42"/>
  <c r="AB489" i="42"/>
  <c r="X11" i="3"/>
  <c r="Y11" i="3"/>
  <c r="Z11" i="3"/>
  <c r="AA11" i="3"/>
  <c r="AB11" i="3"/>
  <c r="X12" i="3"/>
  <c r="Y12" i="3"/>
  <c r="Z12" i="3"/>
  <c r="AA12" i="3"/>
  <c r="AB12" i="3"/>
  <c r="X13" i="3"/>
  <c r="Y13" i="3"/>
  <c r="Z13" i="3"/>
  <c r="AA13" i="3"/>
  <c r="AB13" i="3"/>
  <c r="X14" i="3"/>
  <c r="Y14" i="3"/>
  <c r="Z14" i="3"/>
  <c r="AA14" i="3"/>
  <c r="AB14" i="3"/>
  <c r="X15" i="3"/>
  <c r="Y15" i="3"/>
  <c r="Z15" i="3"/>
  <c r="AA15" i="3"/>
  <c r="AB15" i="3"/>
  <c r="X16" i="3"/>
  <c r="Y16" i="3"/>
  <c r="Z16" i="3"/>
  <c r="AA16" i="3"/>
  <c r="AB16" i="3"/>
  <c r="X17" i="3"/>
  <c r="Y17" i="3"/>
  <c r="Z17" i="3"/>
  <c r="AA17" i="3"/>
  <c r="AB17" i="3"/>
  <c r="X18" i="3"/>
  <c r="Y18" i="3"/>
  <c r="Z18" i="3"/>
  <c r="AA18" i="3"/>
  <c r="AB18" i="3"/>
  <c r="X19" i="3"/>
  <c r="Y19" i="3"/>
  <c r="Z19" i="3"/>
  <c r="AA19" i="3"/>
  <c r="AB19" i="3"/>
  <c r="X20" i="3"/>
  <c r="Y20" i="3"/>
  <c r="Z20" i="3"/>
  <c r="AA20" i="3"/>
  <c r="AB20" i="3"/>
  <c r="X21" i="3"/>
  <c r="Y21" i="3"/>
  <c r="Z21" i="3"/>
  <c r="AA21" i="3"/>
  <c r="AB21" i="3"/>
  <c r="X22" i="3"/>
  <c r="Y22" i="3"/>
  <c r="Z22" i="3"/>
  <c r="AA22" i="3"/>
  <c r="AB22" i="3"/>
  <c r="X23" i="3"/>
  <c r="Y23" i="3"/>
  <c r="Z23" i="3"/>
  <c r="AA23" i="3"/>
  <c r="AB23" i="3"/>
  <c r="X24" i="3"/>
  <c r="Y24" i="3"/>
  <c r="Z24" i="3"/>
  <c r="AA24" i="3"/>
  <c r="AB24" i="3"/>
  <c r="X25" i="3"/>
  <c r="Y25" i="3"/>
  <c r="Z25" i="3"/>
  <c r="AA25" i="3"/>
  <c r="AB25" i="3"/>
  <c r="X26" i="3"/>
  <c r="Y26" i="3"/>
  <c r="Z26" i="3"/>
  <c r="AA26" i="3"/>
  <c r="AB26" i="3"/>
  <c r="X27" i="3"/>
  <c r="Y27" i="3"/>
  <c r="Z27" i="3"/>
  <c r="AA27" i="3"/>
  <c r="AB27" i="3"/>
  <c r="X28" i="3"/>
  <c r="Y28" i="3"/>
  <c r="Z28" i="3"/>
  <c r="AA28" i="3"/>
  <c r="AB28" i="3"/>
  <c r="X29" i="3"/>
  <c r="Y29" i="3"/>
  <c r="Z29" i="3"/>
  <c r="AA29" i="3"/>
  <c r="AB29" i="3"/>
  <c r="X30" i="3"/>
  <c r="Y30" i="3"/>
  <c r="Z30" i="3"/>
  <c r="AA30" i="3"/>
  <c r="AB30" i="3"/>
  <c r="X31" i="3"/>
  <c r="Y31" i="3"/>
  <c r="Z31" i="3"/>
  <c r="AA31" i="3"/>
  <c r="AB31" i="3"/>
  <c r="X32" i="3"/>
  <c r="Y32" i="3"/>
  <c r="Z32" i="3"/>
  <c r="AA32" i="3"/>
  <c r="AB32" i="3"/>
  <c r="X33" i="3"/>
  <c r="Y33" i="3"/>
  <c r="Z33" i="3"/>
  <c r="AA33" i="3"/>
  <c r="AB33" i="3"/>
  <c r="X34" i="3"/>
  <c r="Y34" i="3"/>
  <c r="Z34" i="3"/>
  <c r="AA34" i="3"/>
  <c r="AB34" i="3"/>
  <c r="X35" i="3"/>
  <c r="Y35" i="3"/>
  <c r="Z35" i="3"/>
  <c r="AA35" i="3"/>
  <c r="AB35" i="3"/>
  <c r="X36" i="3"/>
  <c r="Y36" i="3"/>
  <c r="Z36" i="3"/>
  <c r="AA36" i="3"/>
  <c r="AB36" i="3"/>
  <c r="X37" i="3"/>
  <c r="Y37" i="3"/>
  <c r="Z37" i="3"/>
  <c r="AA37" i="3"/>
  <c r="AB37" i="3"/>
  <c r="X38" i="3"/>
  <c r="Y38" i="3"/>
  <c r="Z38" i="3"/>
  <c r="AA38" i="3"/>
  <c r="AB38" i="3"/>
  <c r="X39" i="3"/>
  <c r="Y39" i="3"/>
  <c r="Z39" i="3"/>
  <c r="AA39" i="3"/>
  <c r="AB39" i="3"/>
  <c r="X40" i="3"/>
  <c r="Y40" i="3"/>
  <c r="Z40" i="3"/>
  <c r="AA40" i="3"/>
  <c r="AB40" i="3"/>
  <c r="X41" i="3"/>
  <c r="Y41" i="3"/>
  <c r="Z41" i="3"/>
  <c r="AA41" i="3"/>
  <c r="AB41" i="3"/>
  <c r="X42" i="3"/>
  <c r="Y42" i="3"/>
  <c r="Z42" i="3"/>
  <c r="AA42" i="3"/>
  <c r="AB42" i="3"/>
  <c r="X43" i="3"/>
  <c r="Y43" i="3"/>
  <c r="Z43" i="3"/>
  <c r="AA43" i="3"/>
  <c r="AB43" i="3"/>
  <c r="X44" i="3"/>
  <c r="Y44" i="3"/>
  <c r="Z44" i="3"/>
  <c r="AA44" i="3"/>
  <c r="AB44" i="3"/>
  <c r="X45" i="3"/>
  <c r="Y45" i="3"/>
  <c r="Z45" i="3"/>
  <c r="AA45" i="3"/>
  <c r="AB45" i="3"/>
  <c r="X46" i="3"/>
  <c r="Y46" i="3"/>
  <c r="Z46" i="3"/>
  <c r="AA46" i="3"/>
  <c r="AB46" i="3"/>
  <c r="X47" i="3"/>
  <c r="Y47" i="3"/>
  <c r="Z47" i="3"/>
  <c r="AA47" i="3"/>
  <c r="AB47" i="3"/>
  <c r="X48" i="3"/>
  <c r="Y48" i="3"/>
  <c r="Z48" i="3"/>
  <c r="AA48" i="3"/>
  <c r="AB48" i="3"/>
  <c r="X49" i="3"/>
  <c r="Y49" i="3"/>
  <c r="Z49" i="3"/>
  <c r="AA49" i="3"/>
  <c r="AB49" i="3"/>
  <c r="X50" i="3"/>
  <c r="Y50" i="3"/>
  <c r="Z50" i="3"/>
  <c r="AA50" i="3"/>
  <c r="AB50" i="3"/>
  <c r="X51" i="3"/>
  <c r="Y51" i="3"/>
  <c r="Z51" i="3"/>
  <c r="AA51" i="3"/>
  <c r="AB51" i="3"/>
  <c r="X52" i="3"/>
  <c r="Y52" i="3"/>
  <c r="Z52" i="3"/>
  <c r="AA52" i="3"/>
  <c r="AB52" i="3"/>
  <c r="X53" i="3"/>
  <c r="Y53" i="3"/>
  <c r="Z53" i="3"/>
  <c r="AA53" i="3"/>
  <c r="AB53" i="3"/>
  <c r="X54" i="3"/>
  <c r="Y54" i="3"/>
  <c r="Z54" i="3"/>
  <c r="AA54" i="3"/>
  <c r="AB54" i="3"/>
  <c r="X55" i="3"/>
  <c r="Y55" i="3"/>
  <c r="Z55" i="3"/>
  <c r="AA55" i="3"/>
  <c r="AB55" i="3"/>
  <c r="X56" i="3"/>
  <c r="Y56" i="3"/>
  <c r="Z56" i="3"/>
  <c r="AA56" i="3"/>
  <c r="AB56" i="3"/>
  <c r="X57" i="3"/>
  <c r="Y57" i="3"/>
  <c r="Z57" i="3"/>
  <c r="AA57" i="3"/>
  <c r="AB57" i="3"/>
  <c r="X58" i="3"/>
  <c r="Y58" i="3"/>
  <c r="Z58" i="3"/>
  <c r="AA58" i="3"/>
  <c r="AB58" i="3"/>
  <c r="X59" i="3"/>
  <c r="Y59" i="3"/>
  <c r="Z59" i="3"/>
  <c r="AA59" i="3"/>
  <c r="AB59" i="3"/>
  <c r="X60" i="3"/>
  <c r="Y60" i="3"/>
  <c r="Z60" i="3"/>
  <c r="AA60" i="3"/>
  <c r="AB60" i="3"/>
  <c r="X61" i="3"/>
  <c r="Y61" i="3"/>
  <c r="Z61" i="3"/>
  <c r="AA61" i="3"/>
  <c r="AB61" i="3"/>
  <c r="X62" i="3"/>
  <c r="Y62" i="3"/>
  <c r="Z62" i="3"/>
  <c r="AA62" i="3"/>
  <c r="AB62" i="3"/>
  <c r="X63" i="3"/>
  <c r="Y63" i="3"/>
  <c r="Z63" i="3"/>
  <c r="AA63" i="3"/>
  <c r="AB63" i="3"/>
  <c r="X64" i="3"/>
  <c r="Y64" i="3"/>
  <c r="Z64" i="3"/>
  <c r="AA64" i="3"/>
  <c r="AB64" i="3"/>
  <c r="X65" i="3"/>
  <c r="Y65" i="3"/>
  <c r="Z65" i="3"/>
  <c r="AA65" i="3"/>
  <c r="AB65" i="3"/>
  <c r="X66" i="3"/>
  <c r="Y66" i="3"/>
  <c r="Z66" i="3"/>
  <c r="AA66" i="3"/>
  <c r="AB66" i="3"/>
  <c r="X67" i="3"/>
  <c r="Y67" i="3"/>
  <c r="Z67" i="3"/>
  <c r="AA67" i="3"/>
  <c r="AB67" i="3"/>
  <c r="X68" i="3"/>
  <c r="Y68" i="3"/>
  <c r="Z68" i="3"/>
  <c r="AA68" i="3"/>
  <c r="AB68" i="3"/>
  <c r="X69" i="3"/>
  <c r="Y69" i="3"/>
  <c r="Z69" i="3"/>
  <c r="AA69" i="3"/>
  <c r="AB69" i="3"/>
  <c r="X70" i="3"/>
  <c r="Y70" i="3"/>
  <c r="Z70" i="3"/>
  <c r="AA70" i="3"/>
  <c r="AB70" i="3"/>
  <c r="X71" i="3"/>
  <c r="Y71" i="3"/>
  <c r="Z71" i="3"/>
  <c r="AA71" i="3"/>
  <c r="AB71" i="3"/>
  <c r="X72" i="3"/>
  <c r="Y72" i="3"/>
  <c r="Z72" i="3"/>
  <c r="AA72" i="3"/>
  <c r="AB72" i="3"/>
  <c r="X73" i="3"/>
  <c r="Y73" i="3"/>
  <c r="Z73" i="3"/>
  <c r="AA73" i="3"/>
  <c r="AB73" i="3"/>
  <c r="X74" i="3"/>
  <c r="Y74" i="3"/>
  <c r="Z74" i="3"/>
  <c r="AA74" i="3"/>
  <c r="AB74" i="3"/>
  <c r="X75" i="3"/>
  <c r="Y75" i="3"/>
  <c r="Z75" i="3"/>
  <c r="AA75" i="3"/>
  <c r="AB75" i="3"/>
  <c r="X76" i="3"/>
  <c r="Y76" i="3"/>
  <c r="Z76" i="3"/>
  <c r="AA76" i="3"/>
  <c r="AB76" i="3"/>
  <c r="X77" i="3"/>
  <c r="Y77" i="3"/>
  <c r="Z77" i="3"/>
  <c r="AA77" i="3"/>
  <c r="AB77" i="3"/>
  <c r="X78" i="3"/>
  <c r="Y78" i="3"/>
  <c r="Z78" i="3"/>
  <c r="AA78" i="3"/>
  <c r="AB78" i="3"/>
  <c r="X79" i="3"/>
  <c r="Y79" i="3"/>
  <c r="Z79" i="3"/>
  <c r="AA79" i="3"/>
  <c r="AB79" i="3"/>
  <c r="X80" i="3"/>
  <c r="Y80" i="3"/>
  <c r="Z80" i="3"/>
  <c r="AA80" i="3"/>
  <c r="AB80" i="3"/>
  <c r="X81" i="3"/>
  <c r="Y81" i="3"/>
  <c r="Z81" i="3"/>
  <c r="AA81" i="3"/>
  <c r="AB81" i="3"/>
  <c r="X82" i="3"/>
  <c r="Y82" i="3"/>
  <c r="Z82" i="3"/>
  <c r="AA82" i="3"/>
  <c r="AB82" i="3"/>
  <c r="X83" i="3"/>
  <c r="Y83" i="3"/>
  <c r="Z83" i="3"/>
  <c r="AA83" i="3"/>
  <c r="AB83" i="3"/>
  <c r="X84" i="3"/>
  <c r="Y84" i="3"/>
  <c r="Z84" i="3"/>
  <c r="AA84" i="3"/>
  <c r="AB84" i="3"/>
  <c r="X85" i="3"/>
  <c r="Y85" i="3"/>
  <c r="Z85" i="3"/>
  <c r="AA85" i="3"/>
  <c r="AB85" i="3"/>
  <c r="X86" i="3"/>
  <c r="Y86" i="3"/>
  <c r="Z86" i="3"/>
  <c r="AA86" i="3"/>
  <c r="AB86" i="3"/>
  <c r="X87" i="3"/>
  <c r="Y87" i="3"/>
  <c r="Z87" i="3"/>
  <c r="AA87" i="3"/>
  <c r="AB87" i="3"/>
  <c r="X89" i="3"/>
  <c r="Y89" i="3"/>
  <c r="Z89" i="3"/>
  <c r="AA89" i="3"/>
  <c r="AB89" i="3"/>
  <c r="X90" i="3"/>
  <c r="Y90" i="3"/>
  <c r="Z90" i="3"/>
  <c r="AA90" i="3"/>
  <c r="AB90" i="3"/>
  <c r="X91" i="3"/>
  <c r="Y91" i="3"/>
  <c r="Z91" i="3"/>
  <c r="AA91" i="3"/>
  <c r="AB91" i="3"/>
  <c r="X92" i="3"/>
  <c r="Y92" i="3"/>
  <c r="Z92" i="3"/>
  <c r="AA92" i="3"/>
  <c r="AB92" i="3"/>
  <c r="X93" i="3"/>
  <c r="Y93" i="3"/>
  <c r="Z93" i="3"/>
  <c r="AA93" i="3"/>
  <c r="AB93" i="3"/>
  <c r="X94" i="3"/>
  <c r="Y94" i="3"/>
  <c r="Z94" i="3"/>
  <c r="AA94" i="3"/>
  <c r="AB94" i="3"/>
  <c r="X95" i="3"/>
  <c r="Y95" i="3"/>
  <c r="Z95" i="3"/>
  <c r="AA95" i="3"/>
  <c r="AB95" i="3"/>
  <c r="X97" i="3"/>
  <c r="Y97" i="3"/>
  <c r="Z97" i="3"/>
  <c r="AA97" i="3"/>
  <c r="AB97" i="3"/>
  <c r="X98" i="3"/>
  <c r="Y98" i="3"/>
  <c r="Z98" i="3"/>
  <c r="AA98" i="3"/>
  <c r="AB98" i="3"/>
  <c r="X99" i="3"/>
  <c r="Y99" i="3"/>
  <c r="Z99" i="3"/>
  <c r="AA99" i="3"/>
  <c r="AB99" i="3"/>
  <c r="X100" i="3"/>
  <c r="Y100" i="3"/>
  <c r="Z100" i="3"/>
  <c r="AA100" i="3"/>
  <c r="AB100" i="3"/>
  <c r="X101" i="3"/>
  <c r="Y101" i="3"/>
  <c r="Z101" i="3"/>
  <c r="AA101" i="3"/>
  <c r="AB101" i="3"/>
  <c r="X102" i="3"/>
  <c r="Y102" i="3"/>
  <c r="Z102" i="3"/>
  <c r="AA102" i="3"/>
  <c r="AB102" i="3"/>
  <c r="X103" i="3"/>
  <c r="Y103" i="3"/>
  <c r="Z103" i="3"/>
  <c r="AA103" i="3"/>
  <c r="AB103" i="3"/>
  <c r="X104" i="3"/>
  <c r="Y104" i="3"/>
  <c r="Z104" i="3"/>
  <c r="AA104" i="3"/>
  <c r="AB104" i="3"/>
  <c r="X105" i="3"/>
  <c r="Y105" i="3"/>
  <c r="Z105" i="3"/>
  <c r="AA105" i="3"/>
  <c r="AB105" i="3"/>
  <c r="X106" i="3"/>
  <c r="Y106" i="3"/>
  <c r="Z106" i="3"/>
  <c r="AA106" i="3"/>
  <c r="AB106" i="3"/>
  <c r="X107" i="3"/>
  <c r="Y107" i="3"/>
  <c r="Z107" i="3"/>
  <c r="AA107" i="3"/>
  <c r="AB107" i="3"/>
  <c r="X108" i="3"/>
  <c r="Y108" i="3"/>
  <c r="Z108" i="3"/>
  <c r="AA108" i="3"/>
  <c r="AB108" i="3"/>
  <c r="X109" i="3"/>
  <c r="Y109" i="3"/>
  <c r="Z109" i="3"/>
  <c r="AA109" i="3"/>
  <c r="AB109" i="3"/>
  <c r="X110" i="3"/>
  <c r="Y110" i="3"/>
  <c r="Z110" i="3"/>
  <c r="AA110" i="3"/>
  <c r="AB110" i="3"/>
  <c r="X111" i="3"/>
  <c r="Y111" i="3"/>
  <c r="Z111" i="3"/>
  <c r="AA111" i="3"/>
  <c r="AB111" i="3"/>
  <c r="X112" i="3"/>
  <c r="Y112" i="3"/>
  <c r="Z112" i="3"/>
  <c r="AA112" i="3"/>
  <c r="AB112" i="3"/>
  <c r="X113" i="3"/>
  <c r="Y113" i="3"/>
  <c r="Z113" i="3"/>
  <c r="AA113" i="3"/>
  <c r="AB113" i="3"/>
  <c r="X114" i="3"/>
  <c r="Y114" i="3"/>
  <c r="Z114" i="3"/>
  <c r="AA114" i="3"/>
  <c r="AB114" i="3"/>
  <c r="X115" i="3"/>
  <c r="Y115" i="3"/>
  <c r="Z115" i="3"/>
  <c r="AA115" i="3"/>
  <c r="AB115" i="3"/>
  <c r="X116" i="3"/>
  <c r="Y116" i="3"/>
  <c r="Z116" i="3"/>
  <c r="AA116" i="3"/>
  <c r="AB116" i="3"/>
  <c r="X117" i="3"/>
  <c r="Y117" i="3"/>
  <c r="Z117" i="3"/>
  <c r="AA117" i="3"/>
  <c r="AB117" i="3"/>
  <c r="X118" i="3"/>
  <c r="Y118" i="3"/>
  <c r="Z118" i="3"/>
  <c r="AA118" i="3"/>
  <c r="AB118" i="3"/>
  <c r="X119" i="3"/>
  <c r="Y119" i="3"/>
  <c r="Z119" i="3"/>
  <c r="AA119" i="3"/>
  <c r="AB119" i="3"/>
  <c r="X120" i="3"/>
  <c r="Y120" i="3"/>
  <c r="Z120" i="3"/>
  <c r="AA120" i="3"/>
  <c r="AB120" i="3"/>
  <c r="X121" i="3"/>
  <c r="Y121" i="3"/>
  <c r="Z121" i="3"/>
  <c r="AA121" i="3"/>
  <c r="AB121" i="3"/>
  <c r="X122" i="3"/>
  <c r="Y122" i="3"/>
  <c r="Z122" i="3"/>
  <c r="AA122" i="3"/>
  <c r="AB122" i="3"/>
  <c r="X123" i="3"/>
  <c r="Y123" i="3"/>
  <c r="Z123" i="3"/>
  <c r="AA123" i="3"/>
  <c r="AB123" i="3"/>
  <c r="X124" i="3"/>
  <c r="Y124" i="3"/>
  <c r="Z124" i="3"/>
  <c r="AA124" i="3"/>
  <c r="AB124" i="3"/>
  <c r="X125" i="3"/>
  <c r="Y125" i="3"/>
  <c r="Z125" i="3"/>
  <c r="AA125" i="3"/>
  <c r="AB125" i="3"/>
  <c r="X126" i="3"/>
  <c r="Y126" i="3"/>
  <c r="Z126" i="3"/>
  <c r="AA126" i="3"/>
  <c r="AB126" i="3"/>
  <c r="X127" i="3"/>
  <c r="Y127" i="3"/>
  <c r="Z127" i="3"/>
  <c r="AA127" i="3"/>
  <c r="AB127" i="3"/>
  <c r="X128" i="3"/>
  <c r="Y128" i="3"/>
  <c r="Z128" i="3"/>
  <c r="AA128" i="3"/>
  <c r="AB128" i="3"/>
  <c r="X129" i="3"/>
  <c r="Y129" i="3"/>
  <c r="Z129" i="3"/>
  <c r="AA129" i="3"/>
  <c r="AB129" i="3"/>
  <c r="X130" i="3"/>
  <c r="Y130" i="3"/>
  <c r="Z130" i="3"/>
  <c r="AA130" i="3"/>
  <c r="AB130" i="3"/>
  <c r="X131" i="3"/>
  <c r="Y131" i="3"/>
  <c r="Z131" i="3"/>
  <c r="AA131" i="3"/>
  <c r="AB131" i="3"/>
  <c r="X132" i="3"/>
  <c r="Y132" i="3"/>
  <c r="Z132" i="3"/>
  <c r="AA132" i="3"/>
  <c r="AB132" i="3"/>
  <c r="X133" i="3"/>
  <c r="Y133" i="3"/>
  <c r="Z133" i="3"/>
  <c r="AA133" i="3"/>
  <c r="AB133" i="3"/>
  <c r="X134" i="3"/>
  <c r="Y134" i="3"/>
  <c r="Z134" i="3"/>
  <c r="AA134" i="3"/>
  <c r="AB134" i="3"/>
  <c r="X135" i="3"/>
  <c r="Y135" i="3"/>
  <c r="Z135" i="3"/>
  <c r="AA135" i="3"/>
  <c r="AB135" i="3"/>
  <c r="X136" i="3"/>
  <c r="Y136" i="3"/>
  <c r="Z136" i="3"/>
  <c r="AA136" i="3"/>
  <c r="AB136" i="3"/>
  <c r="X137" i="3"/>
  <c r="Y137" i="3"/>
  <c r="Z137" i="3"/>
  <c r="AA137" i="3"/>
  <c r="AB137" i="3"/>
  <c r="X138" i="3"/>
  <c r="Y138" i="3"/>
  <c r="Z138" i="3"/>
  <c r="AA138" i="3"/>
  <c r="AB138" i="3"/>
  <c r="X139" i="3"/>
  <c r="Y139" i="3"/>
  <c r="Z139" i="3"/>
  <c r="AA139" i="3"/>
  <c r="AB139" i="3"/>
  <c r="X140" i="3"/>
  <c r="Y140" i="3"/>
  <c r="Z140" i="3"/>
  <c r="AA140" i="3"/>
  <c r="AB140" i="3"/>
  <c r="X141" i="3"/>
  <c r="Y141" i="3"/>
  <c r="Z141" i="3"/>
  <c r="AA141" i="3"/>
  <c r="AB141" i="3"/>
  <c r="X142" i="3"/>
  <c r="Y142" i="3"/>
  <c r="Z142" i="3"/>
  <c r="AA142" i="3"/>
  <c r="AB142" i="3"/>
  <c r="X143" i="3"/>
  <c r="Y143" i="3"/>
  <c r="Z143" i="3"/>
  <c r="AA143" i="3"/>
  <c r="AB143" i="3"/>
  <c r="X144" i="3"/>
  <c r="Y144" i="3"/>
  <c r="Z144" i="3"/>
  <c r="AA144" i="3"/>
  <c r="AB144" i="3"/>
  <c r="X145" i="3"/>
  <c r="Y145" i="3"/>
  <c r="Z145" i="3"/>
  <c r="AA145" i="3"/>
  <c r="AB145" i="3"/>
  <c r="X146" i="3"/>
  <c r="Y146" i="3"/>
  <c r="Z146" i="3"/>
  <c r="AA146" i="3"/>
  <c r="AB146" i="3"/>
  <c r="X147" i="3"/>
  <c r="Y147" i="3"/>
  <c r="Z147" i="3"/>
  <c r="AA147" i="3"/>
  <c r="AB147" i="3"/>
  <c r="X148" i="3"/>
  <c r="Y148" i="3"/>
  <c r="Z148" i="3"/>
  <c r="AA148" i="3"/>
  <c r="AB148" i="3"/>
  <c r="X149" i="3"/>
  <c r="Y149" i="3"/>
  <c r="Z149" i="3"/>
  <c r="AA149" i="3"/>
  <c r="AB149" i="3"/>
  <c r="X150" i="3"/>
  <c r="Y150" i="3"/>
  <c r="Z150" i="3"/>
  <c r="AA150" i="3"/>
  <c r="AB150" i="3"/>
  <c r="X151" i="3"/>
  <c r="Y151" i="3"/>
  <c r="Z151" i="3"/>
  <c r="AA151" i="3"/>
  <c r="AB151" i="3"/>
  <c r="X152" i="3"/>
  <c r="Y152" i="3"/>
  <c r="Z152" i="3"/>
  <c r="AA152" i="3"/>
  <c r="AB152" i="3"/>
  <c r="X153" i="3"/>
  <c r="Y153" i="3"/>
  <c r="Z153" i="3"/>
  <c r="AA153" i="3"/>
  <c r="AB153" i="3"/>
  <c r="X154" i="3"/>
  <c r="Y154" i="3"/>
  <c r="Z154" i="3"/>
  <c r="AA154" i="3"/>
  <c r="AB154" i="3"/>
  <c r="X155" i="3"/>
  <c r="Y155" i="3"/>
  <c r="Z155" i="3"/>
  <c r="AA155" i="3"/>
  <c r="AB155" i="3"/>
  <c r="X156" i="3"/>
  <c r="Y156" i="3"/>
  <c r="Z156" i="3"/>
  <c r="AA156" i="3"/>
  <c r="AB156" i="3"/>
  <c r="X157" i="3"/>
  <c r="Y157" i="3"/>
  <c r="Z157" i="3"/>
  <c r="AA157" i="3"/>
  <c r="AB157" i="3"/>
  <c r="X158" i="3"/>
  <c r="Y158" i="3"/>
  <c r="Z158" i="3"/>
  <c r="AA158" i="3"/>
  <c r="AB158" i="3"/>
  <c r="X159" i="3"/>
  <c r="Y159" i="3"/>
  <c r="Z159" i="3"/>
  <c r="AA159" i="3"/>
  <c r="AB159" i="3"/>
  <c r="X160" i="3"/>
  <c r="Y160" i="3"/>
  <c r="Z160" i="3"/>
  <c r="AA160" i="3"/>
  <c r="AB160" i="3"/>
  <c r="X161" i="3"/>
  <c r="Y161" i="3"/>
  <c r="Z161" i="3"/>
  <c r="AA161" i="3"/>
  <c r="AB161" i="3"/>
  <c r="X162" i="3"/>
  <c r="Y162" i="3"/>
  <c r="Z162" i="3"/>
  <c r="AA162" i="3"/>
  <c r="AB162" i="3"/>
  <c r="X163" i="3"/>
  <c r="Y163" i="3"/>
  <c r="Z163" i="3"/>
  <c r="AA163" i="3"/>
  <c r="AB163" i="3"/>
  <c r="X164" i="3"/>
  <c r="Y164" i="3"/>
  <c r="Z164" i="3"/>
  <c r="AA164" i="3"/>
  <c r="AB164" i="3"/>
  <c r="X165" i="3"/>
  <c r="Y165" i="3"/>
  <c r="Z165" i="3"/>
  <c r="AA165" i="3"/>
  <c r="AB165" i="3"/>
  <c r="X166" i="3"/>
  <c r="Y166" i="3"/>
  <c r="Z166" i="3"/>
  <c r="AA166" i="3"/>
  <c r="AB166" i="3"/>
  <c r="X167" i="3"/>
  <c r="Y167" i="3"/>
  <c r="Z167" i="3"/>
  <c r="AA167" i="3"/>
  <c r="AB167" i="3"/>
  <c r="X168" i="3"/>
  <c r="Y168" i="3"/>
  <c r="Z168" i="3"/>
  <c r="AA168" i="3"/>
  <c r="AB168" i="3"/>
  <c r="X169" i="3"/>
  <c r="Y169" i="3"/>
  <c r="Z169" i="3"/>
  <c r="AA169" i="3"/>
  <c r="AB169" i="3"/>
  <c r="X170" i="3"/>
  <c r="Y170" i="3"/>
  <c r="Z170" i="3"/>
  <c r="AA170" i="3"/>
  <c r="AB170" i="3"/>
  <c r="X171" i="3"/>
  <c r="Y171" i="3"/>
  <c r="Z171" i="3"/>
  <c r="AA171" i="3"/>
  <c r="AB171" i="3"/>
  <c r="X172" i="3"/>
  <c r="Y172" i="3"/>
  <c r="Z172" i="3"/>
  <c r="AA172" i="3"/>
  <c r="AB172" i="3"/>
  <c r="X173" i="3"/>
  <c r="Y173" i="3"/>
  <c r="Z173" i="3"/>
  <c r="AA173" i="3"/>
  <c r="AB173" i="3"/>
  <c r="X174" i="3"/>
  <c r="Y174" i="3"/>
  <c r="Z174" i="3"/>
  <c r="AA174" i="3"/>
  <c r="AB174" i="3"/>
  <c r="X175" i="3"/>
  <c r="Y175" i="3"/>
  <c r="Z175" i="3"/>
  <c r="AA175" i="3"/>
  <c r="AB175" i="3"/>
  <c r="X176" i="3"/>
  <c r="Y176" i="3"/>
  <c r="Z176" i="3"/>
  <c r="AA176" i="3"/>
  <c r="AB176" i="3"/>
  <c r="X177" i="3"/>
  <c r="Y177" i="3"/>
  <c r="Z177" i="3"/>
  <c r="AA177" i="3"/>
  <c r="AB177" i="3"/>
  <c r="X178" i="3"/>
  <c r="Y178" i="3"/>
  <c r="Z178" i="3"/>
  <c r="AA178" i="3"/>
  <c r="AB178" i="3"/>
  <c r="X179" i="3"/>
  <c r="Y179" i="3"/>
  <c r="Z179" i="3"/>
  <c r="AA179" i="3"/>
  <c r="AB179" i="3"/>
  <c r="X180" i="3"/>
  <c r="Y180" i="3"/>
  <c r="Z180" i="3"/>
  <c r="AA180" i="3"/>
  <c r="AB180" i="3"/>
  <c r="X182" i="3"/>
  <c r="Y182" i="3"/>
  <c r="Z182" i="3"/>
  <c r="AA182" i="3"/>
  <c r="AB182" i="3"/>
  <c r="X183" i="3"/>
  <c r="Y183" i="3"/>
  <c r="Z183" i="3"/>
  <c r="AA183" i="3"/>
  <c r="AB183" i="3"/>
  <c r="X184" i="3"/>
  <c r="Y184" i="3"/>
  <c r="Z184" i="3"/>
  <c r="AA184" i="3"/>
  <c r="AB184" i="3"/>
  <c r="X185" i="3"/>
  <c r="Y185" i="3"/>
  <c r="Z185" i="3"/>
  <c r="AA185" i="3"/>
  <c r="AB185" i="3"/>
  <c r="X186" i="3"/>
  <c r="Y186" i="3"/>
  <c r="Z186" i="3"/>
  <c r="AA186" i="3"/>
  <c r="AB186" i="3"/>
  <c r="X187" i="3"/>
  <c r="Y187" i="3"/>
  <c r="Z187" i="3"/>
  <c r="AA187" i="3"/>
  <c r="AB187" i="3"/>
  <c r="X188" i="3"/>
  <c r="Y188" i="3"/>
  <c r="Z188" i="3"/>
  <c r="AA188" i="3"/>
  <c r="AB188" i="3"/>
  <c r="X189" i="3"/>
  <c r="Y189" i="3"/>
  <c r="Z189" i="3"/>
  <c r="AA189" i="3"/>
  <c r="AB189" i="3"/>
  <c r="X190" i="3"/>
  <c r="Y190" i="3"/>
  <c r="Z190" i="3"/>
  <c r="AA190" i="3"/>
  <c r="AB190" i="3"/>
  <c r="X191" i="3"/>
  <c r="Y191" i="3"/>
  <c r="Z191" i="3"/>
  <c r="AA191" i="3"/>
  <c r="AB191" i="3"/>
  <c r="X192" i="3"/>
  <c r="Y192" i="3"/>
  <c r="Z192" i="3"/>
  <c r="AA192" i="3"/>
  <c r="AB192" i="3"/>
  <c r="X193" i="3"/>
  <c r="Y193" i="3"/>
  <c r="Z193" i="3"/>
  <c r="AA193" i="3"/>
  <c r="AB193" i="3"/>
  <c r="X194" i="3"/>
  <c r="Y194" i="3"/>
  <c r="Z194" i="3"/>
  <c r="AA194" i="3"/>
  <c r="AB194" i="3"/>
  <c r="X195" i="3"/>
  <c r="Y195" i="3"/>
  <c r="Z195" i="3"/>
  <c r="AA195" i="3"/>
  <c r="AB195" i="3"/>
  <c r="X196" i="3"/>
  <c r="Y196" i="3"/>
  <c r="Z196" i="3"/>
  <c r="AA196" i="3"/>
  <c r="AB196" i="3"/>
  <c r="X197" i="3"/>
  <c r="Y197" i="3"/>
  <c r="Z197" i="3"/>
  <c r="AA197" i="3"/>
  <c r="AB197" i="3"/>
  <c r="X198" i="3"/>
  <c r="Y198" i="3"/>
  <c r="Z198" i="3"/>
  <c r="AA198" i="3"/>
  <c r="AB198" i="3"/>
  <c r="X199" i="3"/>
  <c r="Y199" i="3"/>
  <c r="Z199" i="3"/>
  <c r="AA199" i="3"/>
  <c r="AB199" i="3"/>
  <c r="X200" i="3"/>
  <c r="Y200" i="3"/>
  <c r="Z200" i="3"/>
  <c r="AA200" i="3"/>
  <c r="AB200" i="3"/>
  <c r="X201" i="3"/>
  <c r="Y201" i="3"/>
  <c r="Z201" i="3"/>
  <c r="AA201" i="3"/>
  <c r="AB201" i="3"/>
  <c r="X202" i="3"/>
  <c r="Y202" i="3"/>
  <c r="Z202" i="3"/>
  <c r="AA202" i="3"/>
  <c r="AB202" i="3"/>
  <c r="X203" i="3"/>
  <c r="Y203" i="3"/>
  <c r="Z203" i="3"/>
  <c r="AA203" i="3"/>
  <c r="AB203" i="3"/>
  <c r="X204" i="3"/>
  <c r="Y204" i="3"/>
  <c r="Z204" i="3"/>
  <c r="AA204" i="3"/>
  <c r="AB204" i="3"/>
  <c r="X205" i="3"/>
  <c r="Y205" i="3"/>
  <c r="Z205" i="3"/>
  <c r="AA205" i="3"/>
  <c r="AB205" i="3"/>
  <c r="X206" i="3"/>
  <c r="Y206" i="3"/>
  <c r="Z206" i="3"/>
  <c r="AA206" i="3"/>
  <c r="AB206" i="3"/>
  <c r="X207" i="3"/>
  <c r="Y207" i="3"/>
  <c r="Z207" i="3"/>
  <c r="AA207" i="3"/>
  <c r="AB207" i="3"/>
  <c r="X208" i="3"/>
  <c r="Y208" i="3"/>
  <c r="Z208" i="3"/>
  <c r="AA208" i="3"/>
  <c r="AB208" i="3"/>
  <c r="X209" i="3"/>
  <c r="Y209" i="3"/>
  <c r="Z209" i="3"/>
  <c r="AA209" i="3"/>
  <c r="AB209" i="3"/>
  <c r="X210" i="3"/>
  <c r="Y210" i="3"/>
  <c r="Z210" i="3"/>
  <c r="AA210" i="3"/>
  <c r="AB210" i="3"/>
  <c r="X211" i="3"/>
  <c r="Y211" i="3"/>
  <c r="Z211" i="3"/>
  <c r="AA211" i="3"/>
  <c r="AB211" i="3"/>
  <c r="X212" i="3"/>
  <c r="Y212" i="3"/>
  <c r="Z212" i="3"/>
  <c r="AA212" i="3"/>
  <c r="AB212" i="3"/>
  <c r="X213" i="3"/>
  <c r="Y213" i="3"/>
  <c r="Z213" i="3"/>
  <c r="AA213" i="3"/>
  <c r="AB213" i="3"/>
  <c r="X214" i="3"/>
  <c r="Y214" i="3"/>
  <c r="Z214" i="3"/>
  <c r="AA214" i="3"/>
  <c r="AB214" i="3"/>
  <c r="X215" i="3"/>
  <c r="Y215" i="3"/>
  <c r="Z215" i="3"/>
  <c r="AA215" i="3"/>
  <c r="AB215" i="3"/>
  <c r="X216" i="3"/>
  <c r="Y216" i="3"/>
  <c r="Z216" i="3"/>
  <c r="AA216" i="3"/>
  <c r="AB216" i="3"/>
  <c r="X217" i="3"/>
  <c r="Y217" i="3"/>
  <c r="Z217" i="3"/>
  <c r="AA217" i="3"/>
  <c r="AB217" i="3"/>
  <c r="X218" i="3"/>
  <c r="Y218" i="3"/>
  <c r="Z218" i="3"/>
  <c r="AA218" i="3"/>
  <c r="AB218" i="3"/>
  <c r="X219" i="3"/>
  <c r="Y219" i="3"/>
  <c r="Z219" i="3"/>
  <c r="AA219" i="3"/>
  <c r="AB219" i="3"/>
  <c r="X220" i="3"/>
  <c r="Y220" i="3"/>
  <c r="Z220" i="3"/>
  <c r="AA220" i="3"/>
  <c r="AB220" i="3"/>
  <c r="X221" i="3"/>
  <c r="Y221" i="3"/>
  <c r="Z221" i="3"/>
  <c r="AA221" i="3"/>
  <c r="AB221" i="3"/>
  <c r="X222" i="3"/>
  <c r="Y222" i="3"/>
  <c r="Z222" i="3"/>
  <c r="AA222" i="3"/>
  <c r="AB222" i="3"/>
  <c r="X223" i="3"/>
  <c r="Y223" i="3"/>
  <c r="Z223" i="3"/>
  <c r="AA223" i="3"/>
  <c r="AB223" i="3"/>
  <c r="X224" i="3"/>
  <c r="Y224" i="3"/>
  <c r="Z224" i="3"/>
  <c r="AA224" i="3"/>
  <c r="AB224" i="3"/>
  <c r="X225" i="3"/>
  <c r="Y225" i="3"/>
  <c r="Z225" i="3"/>
  <c r="AA225" i="3"/>
  <c r="AB225" i="3"/>
  <c r="X226" i="3"/>
  <c r="Y226" i="3"/>
  <c r="Z226" i="3"/>
  <c r="AA226" i="3"/>
  <c r="AB226" i="3"/>
  <c r="X227" i="3"/>
  <c r="Y227" i="3"/>
  <c r="Z227" i="3"/>
  <c r="AA227" i="3"/>
  <c r="AB227" i="3"/>
  <c r="X228" i="3"/>
  <c r="Y228" i="3"/>
  <c r="Z228" i="3"/>
  <c r="AA228" i="3"/>
  <c r="AB228" i="3"/>
  <c r="X229" i="3"/>
  <c r="Y229" i="3"/>
  <c r="Z229" i="3"/>
  <c r="AA229" i="3"/>
  <c r="AB229" i="3"/>
  <c r="X230" i="3"/>
  <c r="Y230" i="3"/>
  <c r="Z230" i="3"/>
  <c r="AA230" i="3"/>
  <c r="AB230" i="3"/>
  <c r="X231" i="3"/>
  <c r="Y231" i="3"/>
  <c r="Z231" i="3"/>
  <c r="AA231" i="3"/>
  <c r="AB231" i="3"/>
  <c r="X232" i="3"/>
  <c r="Y232" i="3"/>
  <c r="Z232" i="3"/>
  <c r="AA232" i="3"/>
  <c r="AB232" i="3"/>
  <c r="X233" i="3"/>
  <c r="Y233" i="3"/>
  <c r="Z233" i="3"/>
  <c r="AA233" i="3"/>
  <c r="AB233" i="3"/>
  <c r="X234" i="3"/>
  <c r="Y234" i="3"/>
  <c r="Z234" i="3"/>
  <c r="AA234" i="3"/>
  <c r="AB234" i="3"/>
  <c r="X235" i="3"/>
  <c r="Y235" i="3"/>
  <c r="Z235" i="3"/>
  <c r="AA235" i="3"/>
  <c r="AB235" i="3"/>
  <c r="X236" i="3"/>
  <c r="Y236" i="3"/>
  <c r="Z236" i="3"/>
  <c r="AA236" i="3"/>
  <c r="AB236" i="3"/>
  <c r="X237" i="3"/>
  <c r="Y237" i="3"/>
  <c r="Z237" i="3"/>
  <c r="AA237" i="3"/>
  <c r="AB237" i="3"/>
  <c r="X238" i="3"/>
  <c r="Y238" i="3"/>
  <c r="Z238" i="3"/>
  <c r="AA238" i="3"/>
  <c r="AB238" i="3"/>
  <c r="X239" i="3"/>
  <c r="Y239" i="3"/>
  <c r="Z239" i="3"/>
  <c r="AA239" i="3"/>
  <c r="AB239" i="3"/>
  <c r="X240" i="3"/>
  <c r="Y240" i="3"/>
  <c r="Z240" i="3"/>
  <c r="AA240" i="3"/>
  <c r="AB240" i="3"/>
  <c r="X241" i="3"/>
  <c r="Y241" i="3"/>
  <c r="Z241" i="3"/>
  <c r="AA241" i="3"/>
  <c r="AB241" i="3"/>
  <c r="X242" i="3"/>
  <c r="Y242" i="3"/>
  <c r="Z242" i="3"/>
  <c r="AA242" i="3"/>
  <c r="AB242" i="3"/>
  <c r="X243" i="3"/>
  <c r="Y243" i="3"/>
  <c r="Z243" i="3"/>
  <c r="AA243" i="3"/>
  <c r="AB243" i="3"/>
  <c r="X244" i="3"/>
  <c r="Y244" i="3"/>
  <c r="Z244" i="3"/>
  <c r="AA244" i="3"/>
  <c r="AB244" i="3"/>
  <c r="X245" i="3"/>
  <c r="Y245" i="3"/>
  <c r="Z245" i="3"/>
  <c r="AA245" i="3"/>
  <c r="AB245" i="3"/>
  <c r="X246" i="3"/>
  <c r="Y246" i="3"/>
  <c r="Z246" i="3"/>
  <c r="AA246" i="3"/>
  <c r="AB246" i="3"/>
  <c r="X247" i="3"/>
  <c r="Y247" i="3"/>
  <c r="Z247" i="3"/>
  <c r="AA247" i="3"/>
  <c r="AB247" i="3"/>
  <c r="X248" i="3"/>
  <c r="Y248" i="3"/>
  <c r="Z248" i="3"/>
  <c r="AA248" i="3"/>
  <c r="AB248" i="3"/>
  <c r="X249" i="3"/>
  <c r="Y249" i="3"/>
  <c r="Z249" i="3"/>
  <c r="AA249" i="3"/>
  <c r="AB249" i="3"/>
  <c r="X250" i="3"/>
  <c r="Y250" i="3"/>
  <c r="Z250" i="3"/>
  <c r="AA250" i="3"/>
  <c r="AB250" i="3"/>
  <c r="X251" i="3"/>
  <c r="Y251" i="3"/>
  <c r="Z251" i="3"/>
  <c r="AA251" i="3"/>
  <c r="AB251" i="3"/>
  <c r="X252" i="3"/>
  <c r="Y252" i="3"/>
  <c r="Z252" i="3"/>
  <c r="AA252" i="3"/>
  <c r="AB252" i="3"/>
  <c r="X253" i="3"/>
  <c r="Y253" i="3"/>
  <c r="Z253" i="3"/>
  <c r="AA253" i="3"/>
  <c r="AB253" i="3"/>
  <c r="X254" i="3"/>
  <c r="Y254" i="3"/>
  <c r="Z254" i="3"/>
  <c r="AA254" i="3"/>
  <c r="AB254" i="3"/>
  <c r="X255" i="3"/>
  <c r="Y255" i="3"/>
  <c r="Z255" i="3"/>
  <c r="AA255" i="3"/>
  <c r="AB255" i="3"/>
  <c r="X256" i="3"/>
  <c r="Y256" i="3"/>
  <c r="Z256" i="3"/>
  <c r="AA256" i="3"/>
  <c r="AB256" i="3"/>
  <c r="X257" i="3"/>
  <c r="Y257" i="3"/>
  <c r="Z257" i="3"/>
  <c r="AA257" i="3"/>
  <c r="AB257" i="3"/>
  <c r="X258" i="3"/>
  <c r="Y258" i="3"/>
  <c r="Z258" i="3"/>
  <c r="AA258" i="3"/>
  <c r="AB258" i="3"/>
  <c r="X259" i="3"/>
  <c r="Y259" i="3"/>
  <c r="Z259" i="3"/>
  <c r="AA259" i="3"/>
  <c r="AB259" i="3"/>
  <c r="X260" i="3"/>
  <c r="Y260" i="3"/>
  <c r="Z260" i="3"/>
  <c r="AA260" i="3"/>
  <c r="AB260" i="3"/>
  <c r="X261" i="3"/>
  <c r="Y261" i="3"/>
  <c r="Z261" i="3"/>
  <c r="AA261" i="3"/>
  <c r="AB261" i="3"/>
  <c r="X262" i="3"/>
  <c r="Y262" i="3"/>
  <c r="Z262" i="3"/>
  <c r="AA262" i="3"/>
  <c r="AB262" i="3"/>
  <c r="X263" i="3"/>
  <c r="Y263" i="3"/>
  <c r="Z263" i="3"/>
  <c r="AA263" i="3"/>
  <c r="AB263" i="3"/>
  <c r="X264" i="3"/>
  <c r="Y264" i="3"/>
  <c r="Z264" i="3"/>
  <c r="AA264" i="3"/>
  <c r="AB264" i="3"/>
  <c r="X265" i="3"/>
  <c r="Y265" i="3"/>
  <c r="Z265" i="3"/>
  <c r="AA265" i="3"/>
  <c r="AB265" i="3"/>
  <c r="X266" i="3"/>
  <c r="Y266" i="3"/>
  <c r="Z266" i="3"/>
  <c r="AA266" i="3"/>
  <c r="AB266" i="3"/>
  <c r="X267" i="3"/>
  <c r="Y267" i="3"/>
  <c r="Z267" i="3"/>
  <c r="AA267" i="3"/>
  <c r="AB267" i="3"/>
  <c r="X268" i="3"/>
  <c r="Y268" i="3"/>
  <c r="Z268" i="3"/>
  <c r="AA268" i="3"/>
  <c r="AB268" i="3"/>
  <c r="X269" i="3"/>
  <c r="Y269" i="3"/>
  <c r="Z269" i="3"/>
  <c r="AA269" i="3"/>
  <c r="AB269" i="3"/>
  <c r="X270" i="3"/>
  <c r="Y270" i="3"/>
  <c r="Z270" i="3"/>
  <c r="AA270" i="3"/>
  <c r="AB270" i="3"/>
  <c r="X272" i="3"/>
  <c r="Y272" i="3"/>
  <c r="Z272" i="3"/>
  <c r="AA272" i="3"/>
  <c r="AB272" i="3"/>
  <c r="X273" i="3"/>
  <c r="Y273" i="3"/>
  <c r="Z273" i="3"/>
  <c r="AA273" i="3"/>
  <c r="AB273" i="3"/>
  <c r="X274" i="3"/>
  <c r="Y274" i="3"/>
  <c r="Z274" i="3"/>
  <c r="AA274" i="3"/>
  <c r="AB274" i="3"/>
  <c r="X275" i="3"/>
  <c r="Y275" i="3"/>
  <c r="Z275" i="3"/>
  <c r="AA275" i="3"/>
  <c r="AB275" i="3"/>
  <c r="X276" i="3"/>
  <c r="Y276" i="3"/>
  <c r="Z276" i="3"/>
  <c r="AA276" i="3"/>
  <c r="AB276" i="3"/>
  <c r="X277" i="3"/>
  <c r="Y277" i="3"/>
  <c r="Z277" i="3"/>
  <c r="AA277" i="3"/>
  <c r="AB277" i="3"/>
  <c r="X278" i="3"/>
  <c r="Y278" i="3"/>
  <c r="Z278" i="3"/>
  <c r="AA278" i="3"/>
  <c r="AB278" i="3"/>
  <c r="X279" i="3"/>
  <c r="Y279" i="3"/>
  <c r="Z279" i="3"/>
  <c r="AA279" i="3"/>
  <c r="AB279" i="3"/>
  <c r="X280" i="3"/>
  <c r="Y280" i="3"/>
  <c r="Z280" i="3"/>
  <c r="AA280" i="3"/>
  <c r="AB280" i="3"/>
  <c r="X281" i="3"/>
  <c r="Y281" i="3"/>
  <c r="Z281" i="3"/>
  <c r="AA281" i="3"/>
  <c r="AB281" i="3"/>
  <c r="X282" i="3"/>
  <c r="Y282" i="3"/>
  <c r="Z282" i="3"/>
  <c r="AA282" i="3"/>
  <c r="AB282" i="3"/>
  <c r="X283" i="3"/>
  <c r="Y283" i="3"/>
  <c r="Z283" i="3"/>
  <c r="AA283" i="3"/>
  <c r="AB283" i="3"/>
  <c r="X284" i="3"/>
  <c r="Y284" i="3"/>
  <c r="Z284" i="3"/>
  <c r="AA284" i="3"/>
  <c r="AB284" i="3"/>
  <c r="X285" i="3"/>
  <c r="Y285" i="3"/>
  <c r="Z285" i="3"/>
  <c r="AA285" i="3"/>
  <c r="AB285" i="3"/>
  <c r="X286" i="3"/>
  <c r="Y286" i="3"/>
  <c r="Z286" i="3"/>
  <c r="AA286" i="3"/>
  <c r="AB286" i="3"/>
  <c r="X287" i="3"/>
  <c r="Y287" i="3"/>
  <c r="Z287" i="3"/>
  <c r="AA287" i="3"/>
  <c r="AB287" i="3"/>
  <c r="X288" i="3"/>
  <c r="Y288" i="3"/>
  <c r="Z288" i="3"/>
  <c r="AA288" i="3"/>
  <c r="AB288" i="3"/>
  <c r="X289" i="3"/>
  <c r="Y289" i="3"/>
  <c r="Z289" i="3"/>
  <c r="AA289" i="3"/>
  <c r="AB289" i="3"/>
  <c r="X290" i="3"/>
  <c r="Y290" i="3"/>
  <c r="Z290" i="3"/>
  <c r="AA290" i="3"/>
  <c r="AB290" i="3"/>
  <c r="X291" i="3"/>
  <c r="Y291" i="3"/>
  <c r="Z291" i="3"/>
  <c r="AA291" i="3"/>
  <c r="AB291" i="3"/>
  <c r="X292" i="3"/>
  <c r="Y292" i="3"/>
  <c r="Z292" i="3"/>
  <c r="AA292" i="3"/>
  <c r="AB292" i="3"/>
  <c r="X293" i="3"/>
  <c r="Y293" i="3"/>
  <c r="Z293" i="3"/>
  <c r="AA293" i="3"/>
  <c r="AB293" i="3"/>
  <c r="X294" i="3"/>
  <c r="Y294" i="3"/>
  <c r="Z294" i="3"/>
  <c r="AA294" i="3"/>
  <c r="AB294" i="3"/>
  <c r="X295" i="3"/>
  <c r="Y295" i="3"/>
  <c r="Z295" i="3"/>
  <c r="AA295" i="3"/>
  <c r="AB295" i="3"/>
  <c r="X296" i="3"/>
  <c r="Y296" i="3"/>
  <c r="Z296" i="3"/>
  <c r="AA296" i="3"/>
  <c r="AB296" i="3"/>
  <c r="X297" i="3"/>
  <c r="Y297" i="3"/>
  <c r="Z297" i="3"/>
  <c r="AA297" i="3"/>
  <c r="AB297" i="3"/>
  <c r="X298" i="3"/>
  <c r="Y298" i="3"/>
  <c r="Z298" i="3"/>
  <c r="AA298" i="3"/>
  <c r="AB298" i="3"/>
  <c r="X299" i="3"/>
  <c r="Y299" i="3"/>
  <c r="Z299" i="3"/>
  <c r="AA299" i="3"/>
  <c r="AB299" i="3"/>
  <c r="X300" i="3"/>
  <c r="Y300" i="3"/>
  <c r="Z300" i="3"/>
  <c r="AA300" i="3"/>
  <c r="AB300" i="3"/>
  <c r="X301" i="3"/>
  <c r="Y301" i="3"/>
  <c r="Z301" i="3"/>
  <c r="AA301" i="3"/>
  <c r="AB301" i="3"/>
  <c r="X302" i="3"/>
  <c r="Y302" i="3"/>
  <c r="Z302" i="3"/>
  <c r="AA302" i="3"/>
  <c r="AB302" i="3"/>
  <c r="X303" i="3"/>
  <c r="Y303" i="3"/>
  <c r="Z303" i="3"/>
  <c r="AA303" i="3"/>
  <c r="AB303" i="3"/>
  <c r="X304" i="3"/>
  <c r="Y304" i="3"/>
  <c r="Z304" i="3"/>
  <c r="AA304" i="3"/>
  <c r="AB304" i="3"/>
  <c r="X305" i="3"/>
  <c r="Y305" i="3"/>
  <c r="Z305" i="3"/>
  <c r="AA305" i="3"/>
  <c r="AB305" i="3"/>
  <c r="X306" i="3"/>
  <c r="Y306" i="3"/>
  <c r="Z306" i="3"/>
  <c r="AA306" i="3"/>
  <c r="AB306" i="3"/>
  <c r="X307" i="3"/>
  <c r="Y307" i="3"/>
  <c r="Z307" i="3"/>
  <c r="AA307" i="3"/>
  <c r="AB307" i="3"/>
  <c r="X308" i="3"/>
  <c r="Y308" i="3"/>
  <c r="Z308" i="3"/>
  <c r="AA308" i="3"/>
  <c r="AB308" i="3"/>
  <c r="X309" i="3"/>
  <c r="Y309" i="3"/>
  <c r="Z309" i="3"/>
  <c r="AA309" i="3"/>
  <c r="AB309" i="3"/>
  <c r="X310" i="3"/>
  <c r="Y310" i="3"/>
  <c r="Z310" i="3"/>
  <c r="AA310" i="3"/>
  <c r="AB310" i="3"/>
  <c r="X311" i="3"/>
  <c r="Y311" i="3"/>
  <c r="Z311" i="3"/>
  <c r="AA311" i="3"/>
  <c r="AB311" i="3"/>
  <c r="X312" i="3"/>
  <c r="Y312" i="3"/>
  <c r="Z312" i="3"/>
  <c r="AA312" i="3"/>
  <c r="AB312" i="3"/>
  <c r="X313" i="3"/>
  <c r="Y313" i="3"/>
  <c r="Z313" i="3"/>
  <c r="AA313" i="3"/>
  <c r="AB313" i="3"/>
  <c r="X314" i="3"/>
  <c r="Y314" i="3"/>
  <c r="Z314" i="3"/>
  <c r="AA314" i="3"/>
  <c r="AB314" i="3"/>
  <c r="X315" i="3"/>
  <c r="Y315" i="3"/>
  <c r="Z315" i="3"/>
  <c r="AA315" i="3"/>
  <c r="AB315" i="3"/>
  <c r="X316" i="3"/>
  <c r="Y316" i="3"/>
  <c r="Z316" i="3"/>
  <c r="AA316" i="3"/>
  <c r="AB316" i="3"/>
  <c r="X317" i="3"/>
  <c r="Y317" i="3"/>
  <c r="Z317" i="3"/>
  <c r="AA317" i="3"/>
  <c r="AB317" i="3"/>
  <c r="X318" i="3"/>
  <c r="Y318" i="3"/>
  <c r="Z318" i="3"/>
  <c r="AA318" i="3"/>
  <c r="AB318" i="3"/>
  <c r="X319" i="3"/>
  <c r="Y319" i="3"/>
  <c r="Z319" i="3"/>
  <c r="AA319" i="3"/>
  <c r="AB319" i="3"/>
  <c r="X320" i="3"/>
  <c r="Y320" i="3"/>
  <c r="Z320" i="3"/>
  <c r="AA320" i="3"/>
  <c r="AB320" i="3"/>
  <c r="X321" i="3"/>
  <c r="Y321" i="3"/>
  <c r="Z321" i="3"/>
  <c r="AA321" i="3"/>
  <c r="AB321" i="3"/>
  <c r="X322" i="3"/>
  <c r="Y322" i="3"/>
  <c r="Z322" i="3"/>
  <c r="AA322" i="3"/>
  <c r="AB322" i="3"/>
  <c r="X323" i="3"/>
  <c r="Y323" i="3"/>
  <c r="Z323" i="3"/>
  <c r="AA323" i="3"/>
  <c r="AB323" i="3"/>
  <c r="X324" i="3"/>
  <c r="Y324" i="3"/>
  <c r="Z324" i="3"/>
  <c r="AA324" i="3"/>
  <c r="AB324" i="3"/>
  <c r="X325" i="3"/>
  <c r="Y325" i="3"/>
  <c r="Z325" i="3"/>
  <c r="AA325" i="3"/>
  <c r="AB325" i="3"/>
  <c r="X326" i="3"/>
  <c r="Y326" i="3"/>
  <c r="Z326" i="3"/>
  <c r="AA326" i="3"/>
  <c r="AB326" i="3"/>
  <c r="X327" i="3"/>
  <c r="Y327" i="3"/>
  <c r="Z327" i="3"/>
  <c r="AA327" i="3"/>
  <c r="AB327" i="3"/>
  <c r="X328" i="3"/>
  <c r="Y328" i="3"/>
  <c r="Z328" i="3"/>
  <c r="AA328" i="3"/>
  <c r="AB328" i="3"/>
  <c r="X329" i="3"/>
  <c r="Y329" i="3"/>
  <c r="Z329" i="3"/>
  <c r="AA329" i="3"/>
  <c r="AB329" i="3"/>
  <c r="X330" i="3"/>
  <c r="Y330" i="3"/>
  <c r="Z330" i="3"/>
  <c r="AA330" i="3"/>
  <c r="AB330" i="3"/>
  <c r="X331" i="3"/>
  <c r="Y331" i="3"/>
  <c r="Z331" i="3"/>
  <c r="AA331" i="3"/>
  <c r="AB331" i="3"/>
  <c r="X332" i="3"/>
  <c r="Y332" i="3"/>
  <c r="Z332" i="3"/>
  <c r="AA332" i="3"/>
  <c r="AB332" i="3"/>
  <c r="X333" i="3"/>
  <c r="Y333" i="3"/>
  <c r="Z333" i="3"/>
  <c r="AA333" i="3"/>
  <c r="AB333" i="3"/>
  <c r="X334" i="3"/>
  <c r="Y334" i="3"/>
  <c r="Z334" i="3"/>
  <c r="AA334" i="3"/>
  <c r="AB334" i="3"/>
  <c r="X335" i="3"/>
  <c r="Y335" i="3"/>
  <c r="Z335" i="3"/>
  <c r="AA335" i="3"/>
  <c r="AB335" i="3"/>
  <c r="X336" i="3"/>
  <c r="Y336" i="3"/>
  <c r="Z336" i="3"/>
  <c r="AA336" i="3"/>
  <c r="AB336" i="3"/>
  <c r="X337" i="3"/>
  <c r="Y337" i="3"/>
  <c r="Z337" i="3"/>
  <c r="AA337" i="3"/>
  <c r="AB337" i="3"/>
  <c r="X338" i="3"/>
  <c r="Y338" i="3"/>
  <c r="Z338" i="3"/>
  <c r="AA338" i="3"/>
  <c r="AB338" i="3"/>
  <c r="X339" i="3"/>
  <c r="Y339" i="3"/>
  <c r="Z339" i="3"/>
  <c r="AA339" i="3"/>
  <c r="AB339" i="3"/>
  <c r="X340" i="3"/>
  <c r="Y340" i="3"/>
  <c r="Z340" i="3"/>
  <c r="AA340" i="3"/>
  <c r="AB340" i="3"/>
  <c r="X341" i="3"/>
  <c r="Y341" i="3"/>
  <c r="Z341" i="3"/>
  <c r="AA341" i="3"/>
  <c r="AB341" i="3"/>
  <c r="X342" i="3"/>
  <c r="Y342" i="3"/>
  <c r="Z342" i="3"/>
  <c r="AA342" i="3"/>
  <c r="AB342" i="3"/>
  <c r="X343" i="3"/>
  <c r="Y343" i="3"/>
  <c r="Z343" i="3"/>
  <c r="AA343" i="3"/>
  <c r="AB343" i="3"/>
  <c r="X344" i="3"/>
  <c r="Y344" i="3"/>
  <c r="Z344" i="3"/>
  <c r="AA344" i="3"/>
  <c r="AB344" i="3"/>
  <c r="X345" i="3"/>
  <c r="Y345" i="3"/>
  <c r="Z345" i="3"/>
  <c r="AA345" i="3"/>
  <c r="AB345" i="3"/>
  <c r="X346" i="3"/>
  <c r="Y346" i="3"/>
  <c r="Z346" i="3"/>
  <c r="AA346" i="3"/>
  <c r="AB346" i="3"/>
  <c r="X347" i="3"/>
  <c r="Y347" i="3"/>
  <c r="Z347" i="3"/>
  <c r="AA347" i="3"/>
  <c r="AB347" i="3"/>
  <c r="X348" i="3"/>
  <c r="Y348" i="3"/>
  <c r="Z348" i="3"/>
  <c r="AA348" i="3"/>
  <c r="AB348" i="3"/>
  <c r="X349" i="3"/>
  <c r="Y349" i="3"/>
  <c r="Z349" i="3"/>
  <c r="AA349" i="3"/>
  <c r="AB349" i="3"/>
  <c r="X350" i="3"/>
  <c r="Y350" i="3"/>
  <c r="Z350" i="3"/>
  <c r="AA350" i="3"/>
  <c r="AB350" i="3"/>
  <c r="X351" i="3"/>
  <c r="Y351" i="3"/>
  <c r="Z351" i="3"/>
  <c r="AA351" i="3"/>
  <c r="AB351" i="3"/>
  <c r="X352" i="3"/>
  <c r="Y352" i="3"/>
  <c r="Z352" i="3"/>
  <c r="AA352" i="3"/>
  <c r="AB352" i="3"/>
  <c r="X353" i="3"/>
  <c r="Y353" i="3"/>
  <c r="Z353" i="3"/>
  <c r="AA353" i="3"/>
  <c r="AB353" i="3"/>
  <c r="X354" i="3"/>
  <c r="Y354" i="3"/>
  <c r="Z354" i="3"/>
  <c r="AA354" i="3"/>
  <c r="AB354" i="3"/>
  <c r="X355" i="3"/>
  <c r="Y355" i="3"/>
  <c r="Z355" i="3"/>
  <c r="AA355" i="3"/>
  <c r="AB355" i="3"/>
  <c r="X356" i="3"/>
  <c r="Y356" i="3"/>
  <c r="Z356" i="3"/>
  <c r="AA356" i="3"/>
  <c r="AB356" i="3"/>
  <c r="X357" i="3"/>
  <c r="Y357" i="3"/>
  <c r="Z357" i="3"/>
  <c r="AA357" i="3"/>
  <c r="AB357" i="3"/>
  <c r="X358" i="3"/>
  <c r="Y358" i="3"/>
  <c r="Z358" i="3"/>
  <c r="AA358" i="3"/>
  <c r="AB358" i="3"/>
  <c r="X359" i="3"/>
  <c r="Y359" i="3"/>
  <c r="Z359" i="3"/>
  <c r="AA359" i="3"/>
  <c r="AB359" i="3"/>
  <c r="X360" i="3"/>
  <c r="Y360" i="3"/>
  <c r="Z360" i="3"/>
  <c r="AA360" i="3"/>
  <c r="AB360" i="3"/>
  <c r="X361" i="3"/>
  <c r="Y361" i="3"/>
  <c r="Z361" i="3"/>
  <c r="AA361" i="3"/>
  <c r="AB361" i="3"/>
  <c r="X362" i="3"/>
  <c r="Y362" i="3"/>
  <c r="Z362" i="3"/>
  <c r="AA362" i="3"/>
  <c r="AB362" i="3"/>
  <c r="X363" i="3"/>
  <c r="Y363" i="3"/>
  <c r="Z363" i="3"/>
  <c r="AA363" i="3"/>
  <c r="AB363" i="3"/>
  <c r="X364" i="3"/>
  <c r="Y364" i="3"/>
  <c r="Z364" i="3"/>
  <c r="AA364" i="3"/>
  <c r="AB364" i="3"/>
  <c r="X365" i="3"/>
  <c r="Y365" i="3"/>
  <c r="Z365" i="3"/>
  <c r="AA365" i="3"/>
  <c r="AB365" i="3"/>
  <c r="X366" i="3"/>
  <c r="Y366" i="3"/>
  <c r="Z366" i="3"/>
  <c r="AA366" i="3"/>
  <c r="AB366" i="3"/>
  <c r="X367" i="3"/>
  <c r="Y367" i="3"/>
  <c r="Z367" i="3"/>
  <c r="AA367" i="3"/>
  <c r="AB367" i="3"/>
  <c r="X368" i="3"/>
  <c r="Y368" i="3"/>
  <c r="Z368" i="3"/>
  <c r="AA368" i="3"/>
  <c r="AB368" i="3"/>
  <c r="X369" i="3"/>
  <c r="Y369" i="3"/>
  <c r="Z369" i="3"/>
  <c r="AA369" i="3"/>
  <c r="AB369" i="3"/>
  <c r="X370" i="3"/>
  <c r="Y370" i="3"/>
  <c r="Z370" i="3"/>
  <c r="AA370" i="3"/>
  <c r="AB370" i="3"/>
  <c r="X371" i="3"/>
  <c r="Y371" i="3"/>
  <c r="Z371" i="3"/>
  <c r="AA371" i="3"/>
  <c r="AB371" i="3"/>
  <c r="X372" i="3"/>
  <c r="Y372" i="3"/>
  <c r="Z372" i="3"/>
  <c r="AA372" i="3"/>
  <c r="AB372" i="3"/>
  <c r="X373" i="3"/>
  <c r="Y373" i="3"/>
  <c r="Z373" i="3"/>
  <c r="AA373" i="3"/>
  <c r="AB373" i="3"/>
  <c r="X374" i="3"/>
  <c r="Y374" i="3"/>
  <c r="Z374" i="3"/>
  <c r="AA374" i="3"/>
  <c r="AB374" i="3"/>
  <c r="X375" i="3"/>
  <c r="Y375" i="3"/>
  <c r="Z375" i="3"/>
  <c r="AA375" i="3"/>
  <c r="AB375" i="3"/>
  <c r="X376" i="3"/>
  <c r="Y376" i="3"/>
  <c r="Z376" i="3"/>
  <c r="AA376" i="3"/>
  <c r="AB376" i="3"/>
  <c r="X377" i="3"/>
  <c r="Y377" i="3"/>
  <c r="Z377" i="3"/>
  <c r="AA377" i="3"/>
  <c r="AB377" i="3"/>
  <c r="X378" i="3"/>
  <c r="Y378" i="3"/>
  <c r="Z378" i="3"/>
  <c r="AA378" i="3"/>
  <c r="AB378" i="3"/>
  <c r="X379" i="3"/>
  <c r="Y379" i="3"/>
  <c r="Z379" i="3"/>
  <c r="AA379" i="3"/>
  <c r="AB379" i="3"/>
  <c r="X380" i="3"/>
  <c r="Y380" i="3"/>
  <c r="Z380" i="3"/>
  <c r="AA380" i="3"/>
  <c r="AB380" i="3"/>
  <c r="X381" i="3"/>
  <c r="Y381" i="3"/>
  <c r="Z381" i="3"/>
  <c r="AA381" i="3"/>
  <c r="AB381" i="3"/>
  <c r="X382" i="3"/>
  <c r="Y382" i="3"/>
  <c r="Z382" i="3"/>
  <c r="AA382" i="3"/>
  <c r="AB382" i="3"/>
  <c r="X383" i="3"/>
  <c r="Y383" i="3"/>
  <c r="Z383" i="3"/>
  <c r="AA383" i="3"/>
  <c r="AB383" i="3"/>
  <c r="X384" i="3"/>
  <c r="Y384" i="3"/>
  <c r="Z384" i="3"/>
  <c r="AA384" i="3"/>
  <c r="AB384" i="3"/>
  <c r="X385" i="3"/>
  <c r="Y385" i="3"/>
  <c r="Z385" i="3"/>
  <c r="AA385" i="3"/>
  <c r="AB385" i="3"/>
  <c r="X386" i="3"/>
  <c r="Y386" i="3"/>
  <c r="Z386" i="3"/>
  <c r="AA386" i="3"/>
  <c r="AB386" i="3"/>
  <c r="X387" i="3"/>
  <c r="Y387" i="3"/>
  <c r="Z387" i="3"/>
  <c r="AA387" i="3"/>
  <c r="AB387" i="3"/>
  <c r="X388" i="3"/>
  <c r="Y388" i="3"/>
  <c r="Z388" i="3"/>
  <c r="AA388" i="3"/>
  <c r="AB388" i="3"/>
  <c r="X389" i="3"/>
  <c r="Y389" i="3"/>
  <c r="Z389" i="3"/>
  <c r="AA389" i="3"/>
  <c r="AB389" i="3"/>
  <c r="X390" i="3"/>
  <c r="Y390" i="3"/>
  <c r="Z390" i="3"/>
  <c r="AA390" i="3"/>
  <c r="AB390" i="3"/>
  <c r="X391" i="3"/>
  <c r="Y391" i="3"/>
  <c r="Z391" i="3"/>
  <c r="AA391" i="3"/>
  <c r="AB391" i="3"/>
  <c r="X392" i="3"/>
  <c r="Y392" i="3"/>
  <c r="Z392" i="3"/>
  <c r="AA392" i="3"/>
  <c r="AB392" i="3"/>
  <c r="X393" i="3"/>
  <c r="Y393" i="3"/>
  <c r="Z393" i="3"/>
  <c r="AA393" i="3"/>
  <c r="AB393" i="3"/>
  <c r="X394" i="3"/>
  <c r="Y394" i="3"/>
  <c r="Z394" i="3"/>
  <c r="AA394" i="3"/>
  <c r="AB394" i="3"/>
  <c r="X395" i="3"/>
  <c r="Y395" i="3"/>
  <c r="Z395" i="3"/>
  <c r="AA395" i="3"/>
  <c r="AB395" i="3"/>
  <c r="X396" i="3"/>
  <c r="Y396" i="3"/>
  <c r="Z396" i="3"/>
  <c r="AA396" i="3"/>
  <c r="AB396" i="3"/>
  <c r="X397" i="3"/>
  <c r="Y397" i="3"/>
  <c r="Z397" i="3"/>
  <c r="AA397" i="3"/>
  <c r="AB397" i="3"/>
  <c r="X398" i="3"/>
  <c r="Y398" i="3"/>
  <c r="Z398" i="3"/>
  <c r="AA398" i="3"/>
  <c r="AB398" i="3"/>
  <c r="X399" i="3"/>
  <c r="Y399" i="3"/>
  <c r="Z399" i="3"/>
  <c r="AA399" i="3"/>
  <c r="AB399" i="3"/>
  <c r="X400" i="3"/>
  <c r="Y400" i="3"/>
  <c r="Z400" i="3"/>
  <c r="AA400" i="3"/>
  <c r="AB400" i="3"/>
  <c r="X401" i="3"/>
  <c r="Y401" i="3"/>
  <c r="Z401" i="3"/>
  <c r="AA401" i="3"/>
  <c r="AB401" i="3"/>
  <c r="X402" i="3"/>
  <c r="Y402" i="3"/>
  <c r="Z402" i="3"/>
  <c r="AA402" i="3"/>
  <c r="AB402" i="3"/>
  <c r="X403" i="3"/>
  <c r="Y403" i="3"/>
  <c r="Z403" i="3"/>
  <c r="AA403" i="3"/>
  <c r="AB403" i="3"/>
  <c r="X404" i="3"/>
  <c r="Y404" i="3"/>
  <c r="Z404" i="3"/>
  <c r="AA404" i="3"/>
  <c r="AB404" i="3"/>
  <c r="X405" i="3"/>
  <c r="Y405" i="3"/>
  <c r="Z405" i="3"/>
  <c r="AA405" i="3"/>
  <c r="AB405" i="3"/>
  <c r="X406" i="3"/>
  <c r="Y406" i="3"/>
  <c r="Z406" i="3"/>
  <c r="AA406" i="3"/>
  <c r="AB406" i="3"/>
  <c r="X407" i="3"/>
  <c r="Y407" i="3"/>
  <c r="Z407" i="3"/>
  <c r="AA407" i="3"/>
  <c r="AB407" i="3"/>
  <c r="X408" i="3"/>
  <c r="Y408" i="3"/>
  <c r="Z408" i="3"/>
  <c r="AA408" i="3"/>
  <c r="AB408" i="3"/>
  <c r="X409" i="3"/>
  <c r="Y409" i="3"/>
  <c r="Z409" i="3"/>
  <c r="AA409" i="3"/>
  <c r="AB409" i="3"/>
  <c r="X410" i="3"/>
  <c r="Y410" i="3"/>
  <c r="Z410" i="3"/>
  <c r="AA410" i="3"/>
  <c r="AB410" i="3"/>
  <c r="X411" i="3"/>
  <c r="Y411" i="3"/>
  <c r="Z411" i="3"/>
  <c r="AA411" i="3"/>
  <c r="AB411" i="3"/>
  <c r="X412" i="3"/>
  <c r="Y412" i="3"/>
  <c r="Z412" i="3"/>
  <c r="AA412" i="3"/>
  <c r="AB412" i="3"/>
  <c r="X413" i="3"/>
  <c r="Y413" i="3"/>
  <c r="Z413" i="3"/>
  <c r="AA413" i="3"/>
  <c r="AB413" i="3"/>
  <c r="X414" i="3"/>
  <c r="Y414" i="3"/>
  <c r="Z414" i="3"/>
  <c r="AA414" i="3"/>
  <c r="AB414" i="3"/>
  <c r="X415" i="3"/>
  <c r="Y415" i="3"/>
  <c r="Z415" i="3"/>
  <c r="AA415" i="3"/>
  <c r="AB415" i="3"/>
  <c r="X416" i="3"/>
  <c r="Y416" i="3"/>
  <c r="Z416" i="3"/>
  <c r="AA416" i="3"/>
  <c r="AB416" i="3"/>
  <c r="X417" i="3"/>
  <c r="Y417" i="3"/>
  <c r="Z417" i="3"/>
  <c r="AA417" i="3"/>
  <c r="AB417" i="3"/>
  <c r="X418" i="3"/>
  <c r="Y418" i="3"/>
  <c r="Z418" i="3"/>
  <c r="AA418" i="3"/>
  <c r="AB418" i="3"/>
  <c r="X419" i="3"/>
  <c r="Y419" i="3"/>
  <c r="Z419" i="3"/>
  <c r="AA419" i="3"/>
  <c r="AB419" i="3"/>
  <c r="X420" i="3"/>
  <c r="Y420" i="3"/>
  <c r="Z420" i="3"/>
  <c r="AA420" i="3"/>
  <c r="AB420" i="3"/>
  <c r="X421" i="3"/>
  <c r="Y421" i="3"/>
  <c r="Z421" i="3"/>
  <c r="AA421" i="3"/>
  <c r="AB421" i="3"/>
  <c r="X422" i="3"/>
  <c r="Y422" i="3"/>
  <c r="Z422" i="3"/>
  <c r="AA422" i="3"/>
  <c r="AB422" i="3"/>
  <c r="X423" i="3"/>
  <c r="Y423" i="3"/>
  <c r="Z423" i="3"/>
  <c r="AA423" i="3"/>
  <c r="AB423" i="3"/>
  <c r="X424" i="3"/>
  <c r="Y424" i="3"/>
  <c r="Z424" i="3"/>
  <c r="AA424" i="3"/>
  <c r="AB424" i="3"/>
  <c r="X425" i="3"/>
  <c r="Y425" i="3"/>
  <c r="Z425" i="3"/>
  <c r="AA425" i="3"/>
  <c r="AB425" i="3"/>
  <c r="X426" i="3"/>
  <c r="Y426" i="3"/>
  <c r="Z426" i="3"/>
  <c r="AA426" i="3"/>
  <c r="AB426" i="3"/>
  <c r="X427" i="3"/>
  <c r="Y427" i="3"/>
  <c r="Z427" i="3"/>
  <c r="AA427" i="3"/>
  <c r="AB427" i="3"/>
  <c r="X428" i="3"/>
  <c r="Y428" i="3"/>
  <c r="Z428" i="3"/>
  <c r="AA428" i="3"/>
  <c r="AB428" i="3"/>
  <c r="X429" i="3"/>
  <c r="Y429" i="3"/>
  <c r="Z429" i="3"/>
  <c r="AA429" i="3"/>
  <c r="AB429" i="3"/>
  <c r="X430" i="3"/>
  <c r="Y430" i="3"/>
  <c r="Z430" i="3"/>
  <c r="AA430" i="3"/>
  <c r="AB430" i="3"/>
  <c r="X431" i="3"/>
  <c r="Y431" i="3"/>
  <c r="Z431" i="3"/>
  <c r="AA431" i="3"/>
  <c r="AB431" i="3"/>
  <c r="X432" i="3"/>
  <c r="Y432" i="3"/>
  <c r="Z432" i="3"/>
  <c r="AA432" i="3"/>
  <c r="AB432" i="3"/>
  <c r="X433" i="3"/>
  <c r="Y433" i="3"/>
  <c r="Z433" i="3"/>
  <c r="AA433" i="3"/>
  <c r="AB433" i="3"/>
  <c r="X434" i="3"/>
  <c r="Y434" i="3"/>
  <c r="Z434" i="3"/>
  <c r="AA434" i="3"/>
  <c r="AB434" i="3"/>
  <c r="X435" i="3"/>
  <c r="Y435" i="3"/>
  <c r="Z435" i="3"/>
  <c r="AA435" i="3"/>
  <c r="AB435" i="3"/>
  <c r="X436" i="3"/>
  <c r="Y436" i="3"/>
  <c r="Z436" i="3"/>
  <c r="AA436" i="3"/>
  <c r="AB436" i="3"/>
  <c r="X437" i="3"/>
  <c r="Y437" i="3"/>
  <c r="Z437" i="3"/>
  <c r="AA437" i="3"/>
  <c r="AB437" i="3"/>
  <c r="X438" i="3"/>
  <c r="Y438" i="3"/>
  <c r="Z438" i="3"/>
  <c r="AA438" i="3"/>
  <c r="AB438" i="3"/>
  <c r="X439" i="3"/>
  <c r="Y439" i="3"/>
  <c r="Z439" i="3"/>
  <c r="AA439" i="3"/>
  <c r="AB439" i="3"/>
  <c r="X440" i="3"/>
  <c r="Y440" i="3"/>
  <c r="Z440" i="3"/>
  <c r="AA440" i="3"/>
  <c r="AB440" i="3"/>
  <c r="X441" i="3"/>
  <c r="Y441" i="3"/>
  <c r="Z441" i="3"/>
  <c r="AA441" i="3"/>
  <c r="AB441" i="3"/>
  <c r="X442" i="3"/>
  <c r="Y442" i="3"/>
  <c r="Z442" i="3"/>
  <c r="AA442" i="3"/>
  <c r="AB442" i="3"/>
  <c r="X443" i="3"/>
  <c r="Y443" i="3"/>
  <c r="Z443" i="3"/>
  <c r="AA443" i="3"/>
  <c r="AB443" i="3"/>
  <c r="X444" i="3"/>
  <c r="Y444" i="3"/>
  <c r="Z444" i="3"/>
  <c r="AA444" i="3"/>
  <c r="AB444" i="3"/>
  <c r="X445" i="3"/>
  <c r="Y445" i="3"/>
  <c r="Z445" i="3"/>
  <c r="AA445" i="3"/>
  <c r="AB445" i="3"/>
  <c r="X446" i="3"/>
  <c r="Y446" i="3"/>
  <c r="Z446" i="3"/>
  <c r="AA446" i="3"/>
  <c r="AB446" i="3"/>
  <c r="X447" i="3"/>
  <c r="Y447" i="3"/>
  <c r="Z447" i="3"/>
  <c r="AA447" i="3"/>
  <c r="AB447" i="3"/>
  <c r="X448" i="3"/>
  <c r="Y448" i="3"/>
  <c r="Z448" i="3"/>
  <c r="AA448" i="3"/>
  <c r="AB448" i="3"/>
  <c r="X449" i="3"/>
  <c r="Y449" i="3"/>
  <c r="Z449" i="3"/>
  <c r="AA449" i="3"/>
  <c r="AB449" i="3"/>
  <c r="X450" i="3"/>
  <c r="Y450" i="3"/>
  <c r="Z450" i="3"/>
  <c r="AA450" i="3"/>
  <c r="AB450" i="3"/>
  <c r="X451" i="3"/>
  <c r="Y451" i="3"/>
  <c r="Z451" i="3"/>
  <c r="AA451" i="3"/>
  <c r="AB451" i="3"/>
  <c r="X452" i="3"/>
  <c r="Y452" i="3"/>
  <c r="Z452" i="3"/>
  <c r="AA452" i="3"/>
  <c r="AB452" i="3"/>
  <c r="X453" i="3"/>
  <c r="Y453" i="3"/>
  <c r="Z453" i="3"/>
  <c r="AA453" i="3"/>
  <c r="AB453" i="3"/>
  <c r="X454" i="3"/>
  <c r="Y454" i="3"/>
  <c r="Z454" i="3"/>
  <c r="AA454" i="3"/>
  <c r="AB454" i="3"/>
  <c r="X455" i="3"/>
  <c r="Y455" i="3"/>
  <c r="Z455" i="3"/>
  <c r="AA455" i="3"/>
  <c r="AB455" i="3"/>
  <c r="X456" i="3"/>
  <c r="Y456" i="3"/>
  <c r="Z456" i="3"/>
  <c r="AA456" i="3"/>
  <c r="AB456" i="3"/>
  <c r="X457" i="3"/>
  <c r="Y457" i="3"/>
  <c r="Z457" i="3"/>
  <c r="AA457" i="3"/>
  <c r="AB457" i="3"/>
  <c r="X458" i="3"/>
  <c r="Y458" i="3"/>
  <c r="Z458" i="3"/>
  <c r="AA458" i="3"/>
  <c r="AB458" i="3"/>
  <c r="X459" i="3"/>
  <c r="Y459" i="3"/>
  <c r="Z459" i="3"/>
  <c r="AA459" i="3"/>
  <c r="AB459" i="3"/>
  <c r="X460" i="3"/>
  <c r="Y460" i="3"/>
  <c r="Z460" i="3"/>
  <c r="AA460" i="3"/>
  <c r="AB460" i="3"/>
  <c r="X461" i="3"/>
  <c r="Y461" i="3"/>
  <c r="Z461" i="3"/>
  <c r="AA461" i="3"/>
  <c r="AB461" i="3"/>
  <c r="X462" i="3"/>
  <c r="Y462" i="3"/>
  <c r="Z462" i="3"/>
  <c r="AA462" i="3"/>
  <c r="AB462" i="3"/>
  <c r="X463" i="3"/>
  <c r="Y463" i="3"/>
  <c r="Z463" i="3"/>
  <c r="AA463" i="3"/>
  <c r="AB463" i="3"/>
  <c r="X464" i="3"/>
  <c r="Y464" i="3"/>
  <c r="Z464" i="3"/>
  <c r="AA464" i="3"/>
  <c r="AB464" i="3"/>
  <c r="X465" i="3"/>
  <c r="Y465" i="3"/>
  <c r="Z465" i="3"/>
  <c r="AA465" i="3"/>
  <c r="AB465" i="3"/>
  <c r="X466" i="3"/>
  <c r="Y466" i="3"/>
  <c r="Z466" i="3"/>
  <c r="AA466" i="3"/>
  <c r="AB466" i="3"/>
  <c r="X467" i="3"/>
  <c r="Y467" i="3"/>
  <c r="Z467" i="3"/>
  <c r="AA467" i="3"/>
  <c r="AB467" i="3"/>
  <c r="X468" i="3"/>
  <c r="Y468" i="3"/>
  <c r="Z468" i="3"/>
  <c r="AA468" i="3"/>
  <c r="AB468" i="3"/>
  <c r="X469" i="3"/>
  <c r="Y469" i="3"/>
  <c r="Z469" i="3"/>
  <c r="AA469" i="3"/>
  <c r="AB469" i="3"/>
  <c r="X470" i="3"/>
  <c r="Y470" i="3"/>
  <c r="Z470" i="3"/>
  <c r="AA470" i="3"/>
  <c r="AB470" i="3"/>
  <c r="X471" i="3"/>
  <c r="Y471" i="3"/>
  <c r="Z471" i="3"/>
  <c r="AA471" i="3"/>
  <c r="AB471" i="3"/>
  <c r="X472" i="3"/>
  <c r="Y472" i="3"/>
  <c r="Z472" i="3"/>
  <c r="AA472" i="3"/>
  <c r="AB472" i="3"/>
  <c r="X473" i="3"/>
  <c r="Y473" i="3"/>
  <c r="Z473" i="3"/>
  <c r="AA473" i="3"/>
  <c r="AB473" i="3"/>
  <c r="X474" i="3"/>
  <c r="Y474" i="3"/>
  <c r="Z474" i="3"/>
  <c r="AA474" i="3"/>
  <c r="AB474" i="3"/>
  <c r="X475" i="3"/>
  <c r="Y475" i="3"/>
  <c r="Z475" i="3"/>
  <c r="AA475" i="3"/>
  <c r="AB475" i="3"/>
  <c r="X476" i="3"/>
  <c r="Y476" i="3"/>
  <c r="Z476" i="3"/>
  <c r="AA476" i="3"/>
  <c r="AB476" i="3"/>
  <c r="X477" i="3"/>
  <c r="Y477" i="3"/>
  <c r="Z477" i="3"/>
  <c r="AA477" i="3"/>
  <c r="AB477" i="3"/>
  <c r="X478" i="3"/>
  <c r="Y478" i="3"/>
  <c r="Z478" i="3"/>
  <c r="AA478" i="3"/>
  <c r="AB478" i="3"/>
  <c r="X479" i="3"/>
  <c r="Y479" i="3"/>
  <c r="Z479" i="3"/>
  <c r="AA479" i="3"/>
  <c r="AB479" i="3"/>
  <c r="X480" i="3"/>
  <c r="Y480" i="3"/>
  <c r="Z480" i="3"/>
  <c r="AA480" i="3"/>
  <c r="AB480" i="3"/>
  <c r="X481" i="3"/>
  <c r="Y481" i="3"/>
  <c r="Z481" i="3"/>
  <c r="AA481" i="3"/>
  <c r="AB481" i="3"/>
  <c r="X482" i="3"/>
  <c r="Y482" i="3"/>
  <c r="Z482" i="3"/>
  <c r="AA482" i="3"/>
  <c r="AB482" i="3"/>
  <c r="X483" i="3"/>
  <c r="Y483" i="3"/>
  <c r="Z483" i="3"/>
  <c r="AA483" i="3"/>
  <c r="AB483" i="3"/>
  <c r="X484" i="3"/>
  <c r="Y484" i="3"/>
  <c r="Z484" i="3"/>
  <c r="AA484" i="3"/>
  <c r="AB484" i="3"/>
  <c r="X485" i="3"/>
  <c r="Y485" i="3"/>
  <c r="Z485" i="3"/>
  <c r="AA485" i="3"/>
  <c r="AB485" i="3"/>
  <c r="X486" i="3"/>
  <c r="Y486" i="3"/>
  <c r="Z486" i="3"/>
  <c r="AA486" i="3"/>
  <c r="AB486" i="3"/>
  <c r="X487" i="3"/>
  <c r="Y487" i="3"/>
  <c r="Z487" i="3"/>
  <c r="AA487" i="3"/>
  <c r="AB487" i="3"/>
  <c r="X488" i="3"/>
  <c r="Y488" i="3"/>
  <c r="Z488" i="3"/>
  <c r="AA488" i="3"/>
  <c r="AB488" i="3"/>
  <c r="X489" i="3"/>
  <c r="Y489" i="3"/>
  <c r="Z489" i="3"/>
  <c r="AA489" i="3"/>
  <c r="AB489" i="3"/>
  <c r="Y10" i="42"/>
  <c r="Z10" i="42"/>
  <c r="AA10" i="42"/>
  <c r="AB10" i="42"/>
  <c r="Y10" i="3"/>
  <c r="Z10" i="3"/>
  <c r="AA10" i="3"/>
  <c r="AB10" i="3"/>
  <c r="X10" i="42"/>
  <c r="X10" i="3"/>
  <c r="AC10" i="3"/>
  <c r="AA45" i="26"/>
  <c r="N3001" i="21" s="1"/>
  <c r="O3001" i="21" l="1"/>
  <c r="AD3001" i="21"/>
  <c r="Y28" i="26"/>
  <c r="E10" i="51"/>
  <c r="G10" i="51" s="1"/>
  <c r="E9" i="51"/>
  <c r="G9" i="51" s="1"/>
  <c r="D3" i="51" l="1"/>
  <c r="BI51" i="14" s="1"/>
  <c r="E12" i="51"/>
  <c r="E13" i="51"/>
  <c r="M4" i="27"/>
  <c r="Z11" i="26" l="1"/>
  <c r="DE9" i="14"/>
  <c r="W6" i="46"/>
  <c r="V7" i="46"/>
  <c r="W8" i="46"/>
  <c r="W9" i="46"/>
  <c r="W10" i="46"/>
  <c r="W11" i="46"/>
  <c r="W12" i="46"/>
  <c r="W13" i="46"/>
  <c r="W14" i="46"/>
  <c r="W15" i="46"/>
  <c r="W16" i="46"/>
  <c r="W17" i="46"/>
  <c r="W18" i="46"/>
  <c r="W19" i="46"/>
  <c r="W20" i="46"/>
  <c r="W21" i="46"/>
  <c r="W22" i="46"/>
  <c r="W23" i="46"/>
  <c r="W24" i="46"/>
  <c r="W25" i="46"/>
  <c r="W26" i="46"/>
  <c r="W27" i="46"/>
  <c r="W28" i="46"/>
  <c r="W29" i="46"/>
  <c r="W30" i="46"/>
  <c r="W31" i="46"/>
  <c r="W32" i="46"/>
  <c r="W33" i="46"/>
  <c r="W34" i="46"/>
  <c r="W35" i="46"/>
  <c r="W36" i="46"/>
  <c r="W37" i="46"/>
  <c r="W38" i="46"/>
  <c r="W39" i="46"/>
  <c r="W40" i="46"/>
  <c r="W41" i="46"/>
  <c r="W42" i="46"/>
  <c r="W43" i="46"/>
  <c r="W44" i="46"/>
  <c r="W45" i="46"/>
  <c r="W46" i="46"/>
  <c r="W5" i="46"/>
  <c r="H3001" i="21"/>
  <c r="AA56" i="26"/>
  <c r="AA53" i="26" s="1"/>
  <c r="R72" i="47"/>
  <c r="R86" i="47"/>
  <c r="R66" i="47"/>
  <c r="R84" i="47"/>
  <c r="R80" i="47"/>
  <c r="R98" i="47"/>
  <c r="R77" i="47"/>
  <c r="R79" i="47"/>
  <c r="R71" i="47"/>
  <c r="R91" i="47"/>
  <c r="R97" i="47"/>
  <c r="R82" i="47"/>
  <c r="R89" i="47"/>
  <c r="R100" i="47"/>
  <c r="R104" i="47"/>
  <c r="R75" i="47"/>
  <c r="R87" i="47"/>
  <c r="R73" i="47"/>
  <c r="R105" i="47"/>
  <c r="R67" i="47"/>
  <c r="R90" i="47"/>
  <c r="R70" i="47"/>
  <c r="R103" i="47"/>
  <c r="R106" i="47"/>
  <c r="R102" i="47"/>
  <c r="R92" i="47"/>
  <c r="R101" i="47"/>
  <c r="R74" i="47"/>
  <c r="R78" i="47"/>
  <c r="R81" i="47"/>
  <c r="R93" i="47"/>
  <c r="R83" i="47"/>
  <c r="R76" i="47"/>
  <c r="R88" i="47"/>
  <c r="R94" i="47"/>
  <c r="R68" i="47"/>
  <c r="R69" i="47"/>
  <c r="R96" i="47"/>
  <c r="R85" i="47"/>
  <c r="R99" i="47"/>
  <c r="R95" i="47"/>
  <c r="R107" i="47"/>
  <c r="AA29" i="26"/>
  <c r="AA28" i="26"/>
  <c r="Z29" i="26"/>
  <c r="Z28" i="26"/>
  <c r="B94" i="46"/>
  <c r="E2" i="47"/>
  <c r="D2" i="47"/>
  <c r="Y35" i="26" l="1"/>
  <c r="DE15" i="14" s="1"/>
  <c r="V35" i="46"/>
  <c r="V42" i="46"/>
  <c r="V34" i="46"/>
  <c r="V26" i="46"/>
  <c r="V18" i="46"/>
  <c r="V10" i="46"/>
  <c r="V41" i="46"/>
  <c r="V33" i="46"/>
  <c r="V25" i="46"/>
  <c r="V17" i="46"/>
  <c r="V9" i="46"/>
  <c r="V24" i="46"/>
  <c r="V46" i="46"/>
  <c r="V30" i="46"/>
  <c r="V22" i="46"/>
  <c r="V14" i="46"/>
  <c r="V6" i="46"/>
  <c r="V19" i="46"/>
  <c r="V32" i="46"/>
  <c r="V8" i="46"/>
  <c r="V45" i="46"/>
  <c r="V37" i="46"/>
  <c r="V29" i="46"/>
  <c r="V21" i="46"/>
  <c r="V13" i="46"/>
  <c r="V43" i="46"/>
  <c r="V40" i="46"/>
  <c r="V16" i="46"/>
  <c r="V39" i="46"/>
  <c r="V15" i="46"/>
  <c r="V44" i="46"/>
  <c r="V36" i="46"/>
  <c r="V28" i="46"/>
  <c r="V20" i="46"/>
  <c r="V12" i="46"/>
  <c r="V5" i="46"/>
  <c r="V31" i="46"/>
  <c r="V27" i="46"/>
  <c r="V23" i="46"/>
  <c r="V11" i="46"/>
  <c r="V38" i="46"/>
  <c r="Q60" i="47"/>
  <c r="Q59" i="47"/>
  <c r="R59" i="47" s="1"/>
  <c r="Q58" i="47"/>
  <c r="R58" i="47" s="1"/>
  <c r="Q57" i="47"/>
  <c r="R57" i="47" s="1"/>
  <c r="Q56" i="47"/>
  <c r="R56" i="47" s="1"/>
  <c r="Q55" i="47"/>
  <c r="L3" i="47"/>
  <c r="W11" i="47" s="1"/>
  <c r="N43" i="47" l="1"/>
  <c r="N38" i="47"/>
  <c r="N44" i="47"/>
  <c r="N39" i="47"/>
  <c r="Y57" i="46"/>
  <c r="N19" i="47"/>
  <c r="N12" i="47"/>
  <c r="X55" i="46"/>
  <c r="N27" i="47"/>
  <c r="N30" i="47"/>
  <c r="N47" i="47"/>
  <c r="N29" i="47"/>
  <c r="N48" i="47"/>
  <c r="N42" i="47"/>
  <c r="N20" i="47"/>
  <c r="R55" i="47"/>
  <c r="W14" i="47"/>
  <c r="W15" i="47"/>
  <c r="N23" i="47"/>
  <c r="N24" i="47"/>
  <c r="N37" i="47"/>
  <c r="N40" i="47"/>
  <c r="N28" i="47"/>
  <c r="N41" i="47"/>
  <c r="N32" i="47"/>
  <c r="N31" i="47"/>
  <c r="N49" i="47"/>
  <c r="N45" i="47"/>
  <c r="N26" i="47"/>
  <c r="N36" i="47"/>
  <c r="D17" i="51"/>
  <c r="E17" i="51" s="1"/>
  <c r="F17" i="51" s="1"/>
  <c r="T60" i="47"/>
  <c r="S60" i="47" s="1"/>
  <c r="D22" i="51"/>
  <c r="E22" i="51" s="1"/>
  <c r="T59" i="47"/>
  <c r="S59" i="47" s="1"/>
  <c r="D21" i="51"/>
  <c r="E21" i="51" s="1"/>
  <c r="T56" i="47"/>
  <c r="S56" i="47" s="1"/>
  <c r="D18" i="51"/>
  <c r="E18" i="51" s="1"/>
  <c r="T57" i="47"/>
  <c r="U57" i="47" s="1"/>
  <c r="D19" i="51"/>
  <c r="E19" i="51" s="1"/>
  <c r="T58" i="47"/>
  <c r="U58" i="47" s="1"/>
  <c r="D20" i="51"/>
  <c r="E20" i="51" s="1"/>
  <c r="F20" i="51" s="1"/>
  <c r="G20" i="51" s="1"/>
  <c r="H20" i="51" s="1"/>
  <c r="U303" i="51" s="1"/>
  <c r="N16" i="47"/>
  <c r="N10" i="47"/>
  <c r="N18" i="47"/>
  <c r="N34" i="47"/>
  <c r="N46" i="47"/>
  <c r="N22" i="47"/>
  <c r="N21" i="47"/>
  <c r="N14" i="47"/>
  <c r="N9" i="47"/>
  <c r="N17" i="47"/>
  <c r="N35" i="47"/>
  <c r="N15" i="47"/>
  <c r="N11" i="47"/>
  <c r="N13" i="47"/>
  <c r="N25" i="47"/>
  <c r="N33" i="47"/>
  <c r="W27" i="47"/>
  <c r="M3" i="47"/>
  <c r="N2" i="47" s="1"/>
  <c r="W20" i="47"/>
  <c r="W28" i="47"/>
  <c r="W24" i="47"/>
  <c r="W26" i="47"/>
  <c r="W29" i="47"/>
  <c r="W30" i="47"/>
  <c r="W49" i="47"/>
  <c r="W23" i="47"/>
  <c r="W47" i="47"/>
  <c r="W12" i="47"/>
  <c r="W10" i="47"/>
  <c r="W9" i="47"/>
  <c r="W38" i="47"/>
  <c r="W17" i="47"/>
  <c r="W43" i="47"/>
  <c r="W46" i="47"/>
  <c r="W16" i="47"/>
  <c r="W39" i="47"/>
  <c r="W44" i="47"/>
  <c r="W48" i="47"/>
  <c r="W40" i="47"/>
  <c r="W45" i="47"/>
  <c r="W18" i="47"/>
  <c r="W13" i="47"/>
  <c r="W22" i="47"/>
  <c r="W19" i="47"/>
  <c r="W25" i="47"/>
  <c r="W34" i="47"/>
  <c r="W42" i="47"/>
  <c r="W21" i="47"/>
  <c r="W31" i="47"/>
  <c r="W32" i="47"/>
  <c r="W35" i="47"/>
  <c r="W36" i="47"/>
  <c r="W50" i="47"/>
  <c r="W37" i="47"/>
  <c r="W33" i="47"/>
  <c r="W41" i="47"/>
  <c r="Y55" i="46"/>
  <c r="Y59" i="46"/>
  <c r="Y58" i="46"/>
  <c r="X56" i="46"/>
  <c r="Y54" i="46"/>
  <c r="Y56" i="46"/>
  <c r="X54" i="46"/>
  <c r="X57" i="46"/>
  <c r="X58" i="46"/>
  <c r="X59" i="46"/>
  <c r="T55" i="47"/>
  <c r="S55" i="47" s="1"/>
  <c r="R60" i="47" s="1"/>
  <c r="AB29" i="26"/>
  <c r="Y29" i="26" s="1"/>
  <c r="N50" i="47"/>
  <c r="K1" i="21"/>
  <c r="L1" i="21"/>
  <c r="M1" i="21"/>
  <c r="N1" i="21"/>
  <c r="O1" i="21"/>
  <c r="P1" i="21"/>
  <c r="Q1" i="21"/>
  <c r="R1" i="21"/>
  <c r="S1" i="21"/>
  <c r="T1" i="21"/>
  <c r="U1" i="21"/>
  <c r="V1" i="21"/>
  <c r="W1" i="21"/>
  <c r="X1" i="21"/>
  <c r="Y1" i="21"/>
  <c r="Z1" i="21"/>
  <c r="AA1" i="21"/>
  <c r="AB1" i="21"/>
  <c r="AC1" i="21"/>
  <c r="D10" i="47"/>
  <c r="A5" i="47"/>
  <c r="D23" i="51" l="1"/>
  <c r="D24" i="51" s="1"/>
  <c r="E24" i="51" s="1"/>
  <c r="F24" i="51" s="1"/>
  <c r="M3001" i="21"/>
  <c r="L3001" i="21"/>
  <c r="D30" i="51"/>
  <c r="E30" i="51" s="1"/>
  <c r="D4" i="51"/>
  <c r="A56" i="22" s="1"/>
  <c r="E9" i="50"/>
  <c r="E8" i="50"/>
  <c r="F22" i="51"/>
  <c r="G22" i="51" s="1"/>
  <c r="H22" i="51" s="1"/>
  <c r="W303" i="51" s="1"/>
  <c r="F21" i="51"/>
  <c r="G21" i="51" s="1"/>
  <c r="H21" i="51" s="1"/>
  <c r="V303" i="51" s="1"/>
  <c r="F19" i="51"/>
  <c r="F18" i="51"/>
  <c r="AA60" i="46"/>
  <c r="AA65" i="46"/>
  <c r="X65" i="46"/>
  <c r="X63" i="46"/>
  <c r="AA63" i="46"/>
  <c r="X60" i="46"/>
  <c r="Z61" i="46"/>
  <c r="Y61" i="46"/>
  <c r="Y62" i="46"/>
  <c r="Z62" i="46"/>
  <c r="AA61" i="46"/>
  <c r="X61" i="46"/>
  <c r="Z63" i="46"/>
  <c r="Y63" i="46"/>
  <c r="Y64" i="46"/>
  <c r="Z64" i="46"/>
  <c r="Y60" i="46"/>
  <c r="Z60" i="46"/>
  <c r="X62" i="46"/>
  <c r="AA62" i="46"/>
  <c r="X64" i="46"/>
  <c r="AA64" i="46"/>
  <c r="Z65" i="46"/>
  <c r="Y65" i="46"/>
  <c r="U59" i="47"/>
  <c r="U56" i="47"/>
  <c r="U60" i="47"/>
  <c r="S58" i="47"/>
  <c r="S57" i="47"/>
  <c r="N5" i="47"/>
  <c r="O59" i="47"/>
  <c r="U55" i="47"/>
  <c r="AC64" i="26"/>
  <c r="AC66" i="26" s="1"/>
  <c r="AD64" i="26"/>
  <c r="I4" i="47"/>
  <c r="N3" i="47"/>
  <c r="C60" i="46"/>
  <c r="B62" i="46"/>
  <c r="B61" i="46"/>
  <c r="B63" i="46"/>
  <c r="AC11" i="42"/>
  <c r="AC12" i="42"/>
  <c r="AC13" i="42"/>
  <c r="AC14" i="42"/>
  <c r="AC15" i="42"/>
  <c r="AC16" i="42"/>
  <c r="AC17" i="42"/>
  <c r="AC18" i="42"/>
  <c r="AC19" i="42"/>
  <c r="AC20" i="42"/>
  <c r="AC21" i="42"/>
  <c r="AC22" i="42"/>
  <c r="AC23" i="42"/>
  <c r="AC24" i="42"/>
  <c r="AC25" i="42"/>
  <c r="AC26" i="42"/>
  <c r="AC27" i="42"/>
  <c r="AC28" i="42"/>
  <c r="AC29" i="42"/>
  <c r="AC30" i="42"/>
  <c r="AC31" i="42"/>
  <c r="AC32" i="42"/>
  <c r="AC33" i="42"/>
  <c r="AC34" i="42"/>
  <c r="AC35" i="42"/>
  <c r="AC36" i="42"/>
  <c r="AC37" i="42"/>
  <c r="AC38" i="42"/>
  <c r="AC39" i="42"/>
  <c r="AC40" i="42"/>
  <c r="AC41" i="42"/>
  <c r="AC42" i="42"/>
  <c r="AC43" i="42"/>
  <c r="AC44" i="42"/>
  <c r="AC45" i="42"/>
  <c r="AC46" i="42"/>
  <c r="AC47" i="42"/>
  <c r="AC48" i="42"/>
  <c r="AC49" i="42"/>
  <c r="AC50" i="42"/>
  <c r="AC51" i="42"/>
  <c r="AC52" i="42"/>
  <c r="AC53" i="42"/>
  <c r="AC54" i="42"/>
  <c r="AC55" i="42"/>
  <c r="AC56" i="42"/>
  <c r="AC57" i="42"/>
  <c r="AC58" i="42"/>
  <c r="AC59" i="42"/>
  <c r="AC60" i="42"/>
  <c r="AC61" i="42"/>
  <c r="AC62" i="42"/>
  <c r="AC63" i="42"/>
  <c r="AC64" i="42"/>
  <c r="AC65" i="42"/>
  <c r="AC66" i="42"/>
  <c r="AC67" i="42"/>
  <c r="AC68" i="42"/>
  <c r="AC69" i="42"/>
  <c r="AC70" i="42"/>
  <c r="AC71" i="42"/>
  <c r="AC72" i="42"/>
  <c r="AC73" i="42"/>
  <c r="AC74" i="42"/>
  <c r="AC75" i="42"/>
  <c r="AC76" i="42"/>
  <c r="AC77" i="42"/>
  <c r="AC78" i="42"/>
  <c r="AC79" i="42"/>
  <c r="AC80" i="42"/>
  <c r="AC81" i="42"/>
  <c r="AC82" i="42"/>
  <c r="AC83" i="42"/>
  <c r="AC84" i="42"/>
  <c r="AC85" i="42"/>
  <c r="AC86" i="42"/>
  <c r="AC87" i="42"/>
  <c r="AC88" i="42"/>
  <c r="AC89" i="42"/>
  <c r="AC90" i="42"/>
  <c r="AC91" i="42"/>
  <c r="AC92" i="42"/>
  <c r="AC93" i="42"/>
  <c r="AC94" i="42"/>
  <c r="AC95" i="42"/>
  <c r="AC96" i="42"/>
  <c r="AC97" i="42"/>
  <c r="AC98" i="42"/>
  <c r="AC99" i="42"/>
  <c r="AC100" i="42"/>
  <c r="AC101" i="42"/>
  <c r="AC102" i="42"/>
  <c r="AC103" i="42"/>
  <c r="AC104" i="42"/>
  <c r="AC105" i="42"/>
  <c r="AC106" i="42"/>
  <c r="AC107" i="42"/>
  <c r="AC108" i="42"/>
  <c r="AC109" i="42"/>
  <c r="AC110" i="42"/>
  <c r="AC111" i="42"/>
  <c r="AC112" i="42"/>
  <c r="AC113" i="42"/>
  <c r="AC114" i="42"/>
  <c r="AC115" i="42"/>
  <c r="AC116" i="42"/>
  <c r="AC117" i="42"/>
  <c r="AC118" i="42"/>
  <c r="AC119" i="42"/>
  <c r="AC120" i="42"/>
  <c r="AC121" i="42"/>
  <c r="AC122" i="42"/>
  <c r="AC123" i="42"/>
  <c r="AC124" i="42"/>
  <c r="AC125" i="42"/>
  <c r="AC126" i="42"/>
  <c r="AC127" i="42"/>
  <c r="AC128" i="42"/>
  <c r="AC129" i="42"/>
  <c r="AC130" i="42"/>
  <c r="AC131" i="42"/>
  <c r="AC132" i="42"/>
  <c r="AC133" i="42"/>
  <c r="AC134" i="42"/>
  <c r="AC135" i="42"/>
  <c r="AC136" i="42"/>
  <c r="AC137" i="42"/>
  <c r="AC138" i="42"/>
  <c r="AC139" i="42"/>
  <c r="AC140" i="42"/>
  <c r="AC141" i="42"/>
  <c r="AC142" i="42"/>
  <c r="AC144" i="42"/>
  <c r="AC145" i="42"/>
  <c r="AC146" i="42"/>
  <c r="AC147" i="42"/>
  <c r="AC148" i="42"/>
  <c r="AC149" i="42"/>
  <c r="AC150" i="42"/>
  <c r="AC151" i="42"/>
  <c r="AC153" i="42"/>
  <c r="AC154" i="42"/>
  <c r="AC155" i="42"/>
  <c r="AC156" i="42"/>
  <c r="AC157" i="42"/>
  <c r="AC158" i="42"/>
  <c r="AC159" i="42"/>
  <c r="AC160" i="42"/>
  <c r="AC161" i="42"/>
  <c r="AC162" i="42"/>
  <c r="AC163" i="42"/>
  <c r="AC164" i="42"/>
  <c r="AC165" i="42"/>
  <c r="AC166" i="42"/>
  <c r="AC167" i="42"/>
  <c r="AC168" i="42"/>
  <c r="AC169" i="42"/>
  <c r="AC170" i="42"/>
  <c r="AC171" i="42"/>
  <c r="AC172" i="42"/>
  <c r="AC173" i="42"/>
  <c r="AC174" i="42"/>
  <c r="AC175" i="42"/>
  <c r="AC176" i="42"/>
  <c r="AC177" i="42"/>
  <c r="AC178" i="42"/>
  <c r="AC179" i="42"/>
  <c r="AC180" i="42"/>
  <c r="AC181" i="42"/>
  <c r="AC182" i="42"/>
  <c r="AC183" i="42"/>
  <c r="AC184" i="42"/>
  <c r="AC185" i="42"/>
  <c r="AC186" i="42"/>
  <c r="AC187" i="42"/>
  <c r="AC188" i="42"/>
  <c r="AC189" i="42"/>
  <c r="AC190" i="42"/>
  <c r="AC191" i="42"/>
  <c r="AC192" i="42"/>
  <c r="AC193" i="42"/>
  <c r="AC194" i="42"/>
  <c r="AC195" i="42"/>
  <c r="AC196" i="42"/>
  <c r="AC197" i="42"/>
  <c r="AC198" i="42"/>
  <c r="AC199" i="42"/>
  <c r="AC200" i="42"/>
  <c r="AC201" i="42"/>
  <c r="AC202" i="42"/>
  <c r="AC203" i="42"/>
  <c r="AC204" i="42"/>
  <c r="AC205" i="42"/>
  <c r="AC206" i="42"/>
  <c r="AC207" i="42"/>
  <c r="AC208" i="42"/>
  <c r="AC209" i="42"/>
  <c r="AC210" i="42"/>
  <c r="AC211" i="42"/>
  <c r="AC212" i="42"/>
  <c r="AC213" i="42"/>
  <c r="AC214" i="42"/>
  <c r="AC215" i="42"/>
  <c r="AC216" i="42"/>
  <c r="AC217" i="42"/>
  <c r="AC218" i="42"/>
  <c r="AC219" i="42"/>
  <c r="AC220" i="42"/>
  <c r="AC221" i="42"/>
  <c r="AC222" i="42"/>
  <c r="AC223" i="42"/>
  <c r="AC224" i="42"/>
  <c r="AC225" i="42"/>
  <c r="AC226" i="42"/>
  <c r="AC227" i="42"/>
  <c r="AC228" i="42"/>
  <c r="AC229" i="42"/>
  <c r="AC230" i="42"/>
  <c r="AC231" i="42"/>
  <c r="AC232" i="42"/>
  <c r="AC233" i="42"/>
  <c r="AC234" i="42"/>
  <c r="AC235" i="42"/>
  <c r="AC236" i="42"/>
  <c r="AC237" i="42"/>
  <c r="AC238" i="42"/>
  <c r="AC239" i="42"/>
  <c r="AC240" i="42"/>
  <c r="AC241" i="42"/>
  <c r="AC242" i="42"/>
  <c r="AC243" i="42"/>
  <c r="AC244" i="42"/>
  <c r="AC245" i="42"/>
  <c r="AC246" i="42"/>
  <c r="AC247" i="42"/>
  <c r="AC248" i="42"/>
  <c r="AC249" i="42"/>
  <c r="AC250" i="42"/>
  <c r="AC251" i="42"/>
  <c r="AC252" i="42"/>
  <c r="AC253" i="42"/>
  <c r="AC254" i="42"/>
  <c r="AC255" i="42"/>
  <c r="AC256" i="42"/>
  <c r="AC257" i="42"/>
  <c r="AC258" i="42"/>
  <c r="AC259" i="42"/>
  <c r="AC260" i="42"/>
  <c r="AC261" i="42"/>
  <c r="AC262" i="42"/>
  <c r="AC263" i="42"/>
  <c r="AC264" i="42"/>
  <c r="AC265" i="42"/>
  <c r="AC266" i="42"/>
  <c r="AC267" i="42"/>
  <c r="AC268" i="42"/>
  <c r="AC269" i="42"/>
  <c r="AC270" i="42"/>
  <c r="AC271" i="42"/>
  <c r="AC272" i="42"/>
  <c r="AC273" i="42"/>
  <c r="AC274" i="42"/>
  <c r="AC275" i="42"/>
  <c r="AC276" i="42"/>
  <c r="AC277" i="42"/>
  <c r="AC278" i="42"/>
  <c r="AC279" i="42"/>
  <c r="AC280" i="42"/>
  <c r="AC281" i="42"/>
  <c r="AC282" i="42"/>
  <c r="AC283" i="42"/>
  <c r="AC284" i="42"/>
  <c r="AC285" i="42"/>
  <c r="AC286" i="42"/>
  <c r="AC287" i="42"/>
  <c r="AC288" i="42"/>
  <c r="AC289" i="42"/>
  <c r="AC290" i="42"/>
  <c r="AC291" i="42"/>
  <c r="AC292" i="42"/>
  <c r="AC293" i="42"/>
  <c r="AC294" i="42"/>
  <c r="AC295" i="42"/>
  <c r="AC296" i="42"/>
  <c r="AC297" i="42"/>
  <c r="AC298" i="42"/>
  <c r="AC299" i="42"/>
  <c r="AC300" i="42"/>
  <c r="AC301" i="42"/>
  <c r="AC302" i="42"/>
  <c r="AC303" i="42"/>
  <c r="AC304" i="42"/>
  <c r="AC305" i="42"/>
  <c r="AC306" i="42"/>
  <c r="AC307" i="42"/>
  <c r="AC308" i="42"/>
  <c r="AC309" i="42"/>
  <c r="AC310" i="42"/>
  <c r="AC311" i="42"/>
  <c r="AC312" i="42"/>
  <c r="AC313" i="42"/>
  <c r="AC314" i="42"/>
  <c r="AC315" i="42"/>
  <c r="AC316" i="42"/>
  <c r="AC317" i="42"/>
  <c r="AC318" i="42"/>
  <c r="AC319" i="42"/>
  <c r="AC320" i="42"/>
  <c r="AC321" i="42"/>
  <c r="AC322" i="42"/>
  <c r="AC323" i="42"/>
  <c r="AC324" i="42"/>
  <c r="AC325" i="42"/>
  <c r="AC326" i="42"/>
  <c r="AC327" i="42"/>
  <c r="AC328" i="42"/>
  <c r="AC329" i="42"/>
  <c r="AC330" i="42"/>
  <c r="AC331" i="42"/>
  <c r="AC332" i="42"/>
  <c r="AC333" i="42"/>
  <c r="AC334" i="42"/>
  <c r="AC335" i="42"/>
  <c r="AC336" i="42"/>
  <c r="AC337" i="42"/>
  <c r="AC338" i="42"/>
  <c r="AC339" i="42"/>
  <c r="AC340" i="42"/>
  <c r="AC341" i="42"/>
  <c r="AC342" i="42"/>
  <c r="AC343" i="42"/>
  <c r="AC344" i="42"/>
  <c r="AC345" i="42"/>
  <c r="AC346" i="42"/>
  <c r="AC347" i="42"/>
  <c r="AC348" i="42"/>
  <c r="AC349" i="42"/>
  <c r="AC350" i="42"/>
  <c r="AC351" i="42"/>
  <c r="AC352" i="42"/>
  <c r="AC353" i="42"/>
  <c r="AC354" i="42"/>
  <c r="AC355" i="42"/>
  <c r="AC356" i="42"/>
  <c r="AC357" i="42"/>
  <c r="AC358" i="42"/>
  <c r="AC359" i="42"/>
  <c r="AC360" i="42"/>
  <c r="AC361" i="42"/>
  <c r="AC362" i="42"/>
  <c r="AC363" i="42"/>
  <c r="AC364" i="42"/>
  <c r="AC365" i="42"/>
  <c r="AC366" i="42"/>
  <c r="AC367" i="42"/>
  <c r="AC368" i="42"/>
  <c r="AC369" i="42"/>
  <c r="AC370" i="42"/>
  <c r="AC371" i="42"/>
  <c r="AC372" i="42"/>
  <c r="AC373" i="42"/>
  <c r="AC374" i="42"/>
  <c r="AC375" i="42"/>
  <c r="AC376" i="42"/>
  <c r="AC377" i="42"/>
  <c r="AC378" i="42"/>
  <c r="AC379" i="42"/>
  <c r="AC380" i="42"/>
  <c r="AC381" i="42"/>
  <c r="AC382" i="42"/>
  <c r="AC383" i="42"/>
  <c r="AC384" i="42"/>
  <c r="AC385" i="42"/>
  <c r="AC386" i="42"/>
  <c r="AC387" i="42"/>
  <c r="AC388" i="42"/>
  <c r="AC389" i="42"/>
  <c r="AC390" i="42"/>
  <c r="AC391" i="42"/>
  <c r="AC392" i="42"/>
  <c r="AC393" i="42"/>
  <c r="AC394" i="42"/>
  <c r="AC395" i="42"/>
  <c r="AC396" i="42"/>
  <c r="AC397" i="42"/>
  <c r="AC398" i="42"/>
  <c r="AC399" i="42"/>
  <c r="AC400" i="42"/>
  <c r="AC401" i="42"/>
  <c r="AC402" i="42"/>
  <c r="AC403" i="42"/>
  <c r="AC404" i="42"/>
  <c r="AC405" i="42"/>
  <c r="AC406" i="42"/>
  <c r="AC407" i="42"/>
  <c r="AC408" i="42"/>
  <c r="AC409" i="42"/>
  <c r="AC410" i="42"/>
  <c r="AC411" i="42"/>
  <c r="AC412" i="42"/>
  <c r="AC413" i="42"/>
  <c r="AC414" i="42"/>
  <c r="AC415" i="42"/>
  <c r="AC416" i="42"/>
  <c r="AC417" i="42"/>
  <c r="AC418" i="42"/>
  <c r="AC419" i="42"/>
  <c r="AC420" i="42"/>
  <c r="AC421" i="42"/>
  <c r="AC422" i="42"/>
  <c r="AC423" i="42"/>
  <c r="AC424" i="42"/>
  <c r="AC425" i="42"/>
  <c r="AC426" i="42"/>
  <c r="AC427" i="42"/>
  <c r="AC428" i="42"/>
  <c r="AC429" i="42"/>
  <c r="AC430" i="42"/>
  <c r="AC431" i="42"/>
  <c r="AC432" i="42"/>
  <c r="AC433" i="42"/>
  <c r="AC434" i="42"/>
  <c r="AC435" i="42"/>
  <c r="AC436" i="42"/>
  <c r="AC437" i="42"/>
  <c r="AC438" i="42"/>
  <c r="AC439" i="42"/>
  <c r="AC440" i="42"/>
  <c r="AC441" i="42"/>
  <c r="AC442" i="42"/>
  <c r="AC443" i="42"/>
  <c r="AC444" i="42"/>
  <c r="AC445" i="42"/>
  <c r="AC446" i="42"/>
  <c r="AC447" i="42"/>
  <c r="AC448" i="42"/>
  <c r="AC449" i="42"/>
  <c r="AC450" i="42"/>
  <c r="AC451" i="42"/>
  <c r="AC452" i="42"/>
  <c r="AC453" i="42"/>
  <c r="AC454" i="42"/>
  <c r="AC455" i="42"/>
  <c r="AC456" i="42"/>
  <c r="AC457" i="42"/>
  <c r="AC458" i="42"/>
  <c r="AC459" i="42"/>
  <c r="AC460" i="42"/>
  <c r="AC461" i="42"/>
  <c r="AC462" i="42"/>
  <c r="AC463" i="42"/>
  <c r="AC464" i="42"/>
  <c r="AC465" i="42"/>
  <c r="AC466" i="42"/>
  <c r="AC467" i="42"/>
  <c r="AC468" i="42"/>
  <c r="AC469" i="42"/>
  <c r="AC470" i="42"/>
  <c r="AC471" i="42"/>
  <c r="AC472" i="42"/>
  <c r="AC473" i="42"/>
  <c r="AC474" i="42"/>
  <c r="AC475" i="42"/>
  <c r="AC476" i="42"/>
  <c r="AC477" i="42"/>
  <c r="AC478" i="42"/>
  <c r="AC479" i="42"/>
  <c r="AC480" i="42"/>
  <c r="AC481" i="42"/>
  <c r="AC482" i="42"/>
  <c r="AC483" i="42"/>
  <c r="AC484" i="42"/>
  <c r="AC485" i="42"/>
  <c r="AC486" i="42"/>
  <c r="AC487" i="42"/>
  <c r="AC488" i="42"/>
  <c r="AC489" i="42"/>
  <c r="AC284" i="3"/>
  <c r="AC285" i="3"/>
  <c r="AC286" i="3"/>
  <c r="AC287" i="3"/>
  <c r="AC288" i="3"/>
  <c r="AC289" i="3"/>
  <c r="AC290" i="3"/>
  <c r="AC291" i="3"/>
  <c r="AC292" i="3"/>
  <c r="AC293" i="3"/>
  <c r="AC294" i="3"/>
  <c r="AC295" i="3"/>
  <c r="AC296" i="3"/>
  <c r="AC297" i="3"/>
  <c r="AC298" i="3"/>
  <c r="AC299" i="3"/>
  <c r="AC300" i="3"/>
  <c r="AC301" i="3"/>
  <c r="AC302" i="3"/>
  <c r="AC303" i="3"/>
  <c r="AC304" i="3"/>
  <c r="AC305" i="3"/>
  <c r="AC306" i="3"/>
  <c r="AC307" i="3"/>
  <c r="AC308" i="3"/>
  <c r="AC309" i="3"/>
  <c r="AC310" i="3"/>
  <c r="AC311" i="3"/>
  <c r="AC312" i="3"/>
  <c r="AC313" i="3"/>
  <c r="AC314" i="3"/>
  <c r="AC315" i="3"/>
  <c r="AC316" i="3"/>
  <c r="AC317" i="3"/>
  <c r="AC318" i="3"/>
  <c r="AC319" i="3"/>
  <c r="AC320" i="3"/>
  <c r="AC321" i="3"/>
  <c r="AC322" i="3"/>
  <c r="AC323" i="3"/>
  <c r="AC324" i="3"/>
  <c r="AC325" i="3"/>
  <c r="AC326" i="3"/>
  <c r="AC327" i="3"/>
  <c r="AC328" i="3"/>
  <c r="AC329" i="3"/>
  <c r="AC330" i="3"/>
  <c r="AC331" i="3"/>
  <c r="AC332" i="3"/>
  <c r="AC333" i="3"/>
  <c r="AC334" i="3"/>
  <c r="AC335" i="3"/>
  <c r="AC336" i="3"/>
  <c r="AC337" i="3"/>
  <c r="AC338" i="3"/>
  <c r="AC339" i="3"/>
  <c r="AC340" i="3"/>
  <c r="AC341" i="3"/>
  <c r="AC342" i="3"/>
  <c r="AC343" i="3"/>
  <c r="AC344" i="3"/>
  <c r="AC345" i="3"/>
  <c r="AC346" i="3"/>
  <c r="AC347" i="3"/>
  <c r="AC348" i="3"/>
  <c r="AC349" i="3"/>
  <c r="AC350" i="3"/>
  <c r="AC351" i="3"/>
  <c r="AC352" i="3"/>
  <c r="AC353" i="3"/>
  <c r="AC354" i="3"/>
  <c r="AC355" i="3"/>
  <c r="AC356" i="3"/>
  <c r="AC357" i="3"/>
  <c r="AC358" i="3"/>
  <c r="AC359" i="3"/>
  <c r="AC360" i="3"/>
  <c r="AC361" i="3"/>
  <c r="AC362" i="3"/>
  <c r="AC363" i="3"/>
  <c r="AC364" i="3"/>
  <c r="AC365" i="3"/>
  <c r="AC366" i="3"/>
  <c r="AC367" i="3"/>
  <c r="AC368" i="3"/>
  <c r="AC369" i="3"/>
  <c r="AC370" i="3"/>
  <c r="AC371" i="3"/>
  <c r="AC372" i="3"/>
  <c r="AC373" i="3"/>
  <c r="AC374" i="3"/>
  <c r="AC375" i="3"/>
  <c r="AC376" i="3"/>
  <c r="AC377" i="3"/>
  <c r="AC378" i="3"/>
  <c r="AC379" i="3"/>
  <c r="AC380" i="3"/>
  <c r="AC381" i="3"/>
  <c r="AC382" i="3"/>
  <c r="AC383" i="3"/>
  <c r="AC384" i="3"/>
  <c r="AC385" i="3"/>
  <c r="AC386" i="3"/>
  <c r="AC387" i="3"/>
  <c r="AC388" i="3"/>
  <c r="AC389" i="3"/>
  <c r="AC390" i="3"/>
  <c r="AC391" i="3"/>
  <c r="AC392" i="3"/>
  <c r="AC393" i="3"/>
  <c r="AC394" i="3"/>
  <c r="AC395" i="3"/>
  <c r="AC396" i="3"/>
  <c r="AC397" i="3"/>
  <c r="AC398" i="3"/>
  <c r="AC399" i="3"/>
  <c r="AC400" i="3"/>
  <c r="AC401" i="3"/>
  <c r="AC402" i="3"/>
  <c r="AC403" i="3"/>
  <c r="AC404" i="3"/>
  <c r="AC405" i="3"/>
  <c r="AC406" i="3"/>
  <c r="AC407" i="3"/>
  <c r="AC408" i="3"/>
  <c r="AC409" i="3"/>
  <c r="AC410" i="3"/>
  <c r="AC411" i="3"/>
  <c r="AC412" i="3"/>
  <c r="AC413" i="3"/>
  <c r="AC414" i="3"/>
  <c r="AC415" i="3"/>
  <c r="AC416" i="3"/>
  <c r="AC417" i="3"/>
  <c r="AC418" i="3"/>
  <c r="AC419" i="3"/>
  <c r="AC420" i="3"/>
  <c r="AC421" i="3"/>
  <c r="AC422" i="3"/>
  <c r="AC423" i="3"/>
  <c r="AC424" i="3"/>
  <c r="AC425" i="3"/>
  <c r="AC426" i="3"/>
  <c r="AC427" i="3"/>
  <c r="AC428" i="3"/>
  <c r="AC429" i="3"/>
  <c r="AC430" i="3"/>
  <c r="AC431" i="3"/>
  <c r="AC432" i="3"/>
  <c r="AC433" i="3"/>
  <c r="AC434" i="3"/>
  <c r="AC435" i="3"/>
  <c r="AC436" i="3"/>
  <c r="AC437" i="3"/>
  <c r="AC438" i="3"/>
  <c r="AC439" i="3"/>
  <c r="AC440" i="3"/>
  <c r="AC441" i="3"/>
  <c r="AC442" i="3"/>
  <c r="AC443" i="3"/>
  <c r="AC444" i="3"/>
  <c r="AC445" i="3"/>
  <c r="AC446" i="3"/>
  <c r="AC447" i="3"/>
  <c r="AC448" i="3"/>
  <c r="AC449" i="3"/>
  <c r="AC450" i="3"/>
  <c r="AC451" i="3"/>
  <c r="AC452" i="3"/>
  <c r="AC453" i="3"/>
  <c r="AC454" i="3"/>
  <c r="AC455" i="3"/>
  <c r="AC456" i="3"/>
  <c r="AC457" i="3"/>
  <c r="AC458" i="3"/>
  <c r="AC459" i="3"/>
  <c r="AC460" i="3"/>
  <c r="AC461" i="3"/>
  <c r="AC462" i="3"/>
  <c r="AC463" i="3"/>
  <c r="AC464" i="3"/>
  <c r="AC465" i="3"/>
  <c r="AC466" i="3"/>
  <c r="AC467" i="3"/>
  <c r="AC468" i="3"/>
  <c r="AC469" i="3"/>
  <c r="AC470" i="3"/>
  <c r="AC471" i="3"/>
  <c r="AC472" i="3"/>
  <c r="AC473" i="3"/>
  <c r="AC474" i="3"/>
  <c r="AC475" i="3"/>
  <c r="AC476" i="3"/>
  <c r="AC477" i="3"/>
  <c r="AC478" i="3"/>
  <c r="AC479" i="3"/>
  <c r="AC480" i="3"/>
  <c r="AC481" i="3"/>
  <c r="AC482" i="3"/>
  <c r="AC483" i="3"/>
  <c r="AC484" i="3"/>
  <c r="AC485" i="3"/>
  <c r="AC486" i="3"/>
  <c r="AC487" i="3"/>
  <c r="AC488" i="3"/>
  <c r="AC489" i="3"/>
  <c r="AC10" i="42"/>
  <c r="E23" i="51" l="1"/>
  <c r="G23" i="51" s="1"/>
  <c r="H23" i="51" s="1"/>
  <c r="P303" i="51"/>
  <c r="N303" i="51"/>
  <c r="K52" i="47"/>
  <c r="C19" i="50"/>
  <c r="C24" i="50"/>
  <c r="C23" i="50"/>
  <c r="G33" i="50"/>
  <c r="C22" i="50"/>
  <c r="C21" i="50"/>
  <c r="C15" i="50"/>
  <c r="D15" i="50" s="1"/>
  <c r="E13" i="22" s="1"/>
  <c r="C20" i="50"/>
  <c r="E5" i="50"/>
  <c r="Q33" i="50"/>
  <c r="C16" i="50"/>
  <c r="D16" i="50" s="1"/>
  <c r="AN13" i="22" s="1"/>
  <c r="AA54" i="46"/>
  <c r="AA58" i="46"/>
  <c r="V65" i="46"/>
  <c r="Z59" i="46"/>
  <c r="S11" i="50" s="1"/>
  <c r="W65" i="46"/>
  <c r="AA59" i="46"/>
  <c r="V61" i="46"/>
  <c r="Z55" i="46"/>
  <c r="W11" i="50" s="1"/>
  <c r="W61" i="46"/>
  <c r="AA55" i="46"/>
  <c r="Z57" i="46"/>
  <c r="X11" i="50" s="1"/>
  <c r="Z56" i="46"/>
  <c r="V11" i="50" s="1"/>
  <c r="W63" i="46"/>
  <c r="AA57" i="46"/>
  <c r="Z54" i="46"/>
  <c r="U11" i="50" s="1"/>
  <c r="V64" i="46"/>
  <c r="Z58" i="46"/>
  <c r="T11" i="50" s="1"/>
  <c r="AA56" i="46"/>
  <c r="AC65" i="46"/>
  <c r="Y60" i="47" s="1"/>
  <c r="V60" i="46"/>
  <c r="X51" i="46"/>
  <c r="F8" i="50" s="1"/>
  <c r="W60" i="46"/>
  <c r="Y51" i="46"/>
  <c r="AC64" i="46"/>
  <c r="Y59" i="47" s="1"/>
  <c r="AC60" i="46"/>
  <c r="Y55" i="47" s="1"/>
  <c r="AC55" i="47" s="1"/>
  <c r="AC63" i="46"/>
  <c r="Y58" i="47" s="1"/>
  <c r="AC61" i="46"/>
  <c r="AC62" i="46"/>
  <c r="Y57" i="47" s="1"/>
  <c r="T3001" i="21"/>
  <c r="S3001" i="21"/>
  <c r="AJ60" i="26"/>
  <c r="E43" i="48"/>
  <c r="AD66" i="26"/>
  <c r="AD65" i="26"/>
  <c r="AC65" i="26"/>
  <c r="B113" i="46"/>
  <c r="C110" i="46"/>
  <c r="D110" i="46"/>
  <c r="C111" i="46"/>
  <c r="D111" i="46"/>
  <c r="AB3001" i="21"/>
  <c r="AG3001" i="21" s="1"/>
  <c r="Z3001" i="21"/>
  <c r="AF3001" i="21" s="1"/>
  <c r="A55" i="22"/>
  <c r="D109" i="46"/>
  <c r="M43" i="22"/>
  <c r="AV43" i="22"/>
  <c r="Y56" i="47" l="1"/>
  <c r="AA56" i="47" s="1"/>
  <c r="AC59" i="47"/>
  <c r="AC60" i="47"/>
  <c r="AC58" i="47"/>
  <c r="AA58" i="47"/>
  <c r="F9" i="50"/>
  <c r="E12" i="50" s="1"/>
  <c r="W60" i="47"/>
  <c r="P33" i="50"/>
  <c r="M33" i="50"/>
  <c r="K33" i="50"/>
  <c r="H33" i="50"/>
  <c r="W57" i="46"/>
  <c r="X12" i="50"/>
  <c r="L15" i="50"/>
  <c r="S15" i="50"/>
  <c r="V15" i="50"/>
  <c r="O15" i="50" s="1"/>
  <c r="X15" i="50"/>
  <c r="Q15" i="50" s="1"/>
  <c r="T15" i="50"/>
  <c r="M15" i="50"/>
  <c r="W55" i="46"/>
  <c r="W12" i="50"/>
  <c r="P12" i="50" s="1"/>
  <c r="W58" i="46"/>
  <c r="W64" i="46" s="1"/>
  <c r="T12" i="50"/>
  <c r="M12" i="50" s="1"/>
  <c r="W59" i="46"/>
  <c r="S12" i="50"/>
  <c r="L12" i="50" s="1"/>
  <c r="W56" i="46"/>
  <c r="W62" i="46" s="1"/>
  <c r="V12" i="50"/>
  <c r="O12" i="50" s="1"/>
  <c r="N15" i="50"/>
  <c r="U15" i="50"/>
  <c r="P15" i="50"/>
  <c r="W15" i="50"/>
  <c r="W54" i="46"/>
  <c r="U12" i="50"/>
  <c r="N12" i="50" s="1"/>
  <c r="D20" i="50"/>
  <c r="D21" i="50"/>
  <c r="D22" i="50"/>
  <c r="D23" i="50"/>
  <c r="D24" i="50"/>
  <c r="D19" i="50"/>
  <c r="A59" i="22"/>
  <c r="Y1" i="22"/>
  <c r="AA60" i="47"/>
  <c r="V51" i="46"/>
  <c r="DE14" i="14" s="1"/>
  <c r="AD57" i="46"/>
  <c r="AB32" i="35" s="1"/>
  <c r="V57" i="46"/>
  <c r="V63" i="46" s="1"/>
  <c r="AD55" i="46"/>
  <c r="V55" i="46"/>
  <c r="V59" i="46"/>
  <c r="AD59" i="46"/>
  <c r="AD56" i="46"/>
  <c r="V56" i="46"/>
  <c r="V62" i="46" s="1"/>
  <c r="AD58" i="46"/>
  <c r="V58" i="46"/>
  <c r="V54" i="46"/>
  <c r="AD54" i="46"/>
  <c r="W59" i="47"/>
  <c r="AA59" i="47"/>
  <c r="AC57" i="47"/>
  <c r="W58" i="47"/>
  <c r="AB25" i="26"/>
  <c r="AB26" i="26"/>
  <c r="H4" i="46" s="1"/>
  <c r="R3001" i="21" s="1"/>
  <c r="AD43" i="22"/>
  <c r="C7" i="48"/>
  <c r="C109" i="46"/>
  <c r="DE30" i="14" l="1"/>
  <c r="D52" i="14" s="1"/>
  <c r="DE29" i="14"/>
  <c r="D51" i="14" s="1"/>
  <c r="DE28" i="14"/>
  <c r="D50" i="14" s="1"/>
  <c r="DE26" i="14"/>
  <c r="D48" i="14" s="1"/>
  <c r="AD60" i="47"/>
  <c r="AD59" i="47"/>
  <c r="AD58" i="47"/>
  <c r="AD56" i="47"/>
  <c r="W56" i="47"/>
  <c r="AC56" i="47"/>
  <c r="AC61" i="47" s="1"/>
  <c r="E44" i="48"/>
  <c r="E40" i="48"/>
  <c r="W66" i="46"/>
  <c r="E83" i="48"/>
  <c r="E89" i="48"/>
  <c r="Z10" i="47"/>
  <c r="Z9" i="47"/>
  <c r="E56" i="48"/>
  <c r="E80" i="48"/>
  <c r="U16" i="50"/>
  <c r="N16" i="50"/>
  <c r="S16" i="50"/>
  <c r="L16" i="50"/>
  <c r="W16" i="50"/>
  <c r="P16" i="50"/>
  <c r="T16" i="50"/>
  <c r="M16" i="50" s="1"/>
  <c r="V16" i="50"/>
  <c r="O16" i="50" s="1"/>
  <c r="X16" i="50"/>
  <c r="Q16" i="50" s="1"/>
  <c r="Q12" i="50"/>
  <c r="G4" i="50"/>
  <c r="G3" i="50"/>
  <c r="I2" i="50"/>
  <c r="Q8" i="50"/>
  <c r="Q7" i="50"/>
  <c r="V66" i="46"/>
  <c r="AB34" i="35"/>
  <c r="AC32" i="35"/>
  <c r="AB8" i="35"/>
  <c r="AB2" i="35"/>
  <c r="AB14" i="35"/>
  <c r="AB20" i="35"/>
  <c r="AB26" i="35"/>
  <c r="W55" i="47"/>
  <c r="W57" i="47"/>
  <c r="AA57" i="47"/>
  <c r="AA55" i="47"/>
  <c r="Z46" i="47"/>
  <c r="Z49" i="47"/>
  <c r="E16" i="48"/>
  <c r="E84" i="48"/>
  <c r="E54" i="48"/>
  <c r="E21" i="48"/>
  <c r="Z12" i="47"/>
  <c r="Z45" i="47"/>
  <c r="Z25" i="47"/>
  <c r="Z27" i="47"/>
  <c r="Z42" i="47"/>
  <c r="Z32" i="47"/>
  <c r="Z38" i="47"/>
  <c r="Z44" i="47"/>
  <c r="Z41" i="47"/>
  <c r="Z28" i="47"/>
  <c r="Z37" i="47"/>
  <c r="Z48" i="47"/>
  <c r="Z15" i="47"/>
  <c r="Z26" i="47"/>
  <c r="Z16" i="47"/>
  <c r="Z43" i="47"/>
  <c r="Z47" i="47"/>
  <c r="Z29" i="47"/>
  <c r="Z11" i="47"/>
  <c r="Z17" i="47"/>
  <c r="Z14" i="47"/>
  <c r="Z39" i="47"/>
  <c r="Z19" i="47"/>
  <c r="Z34" i="47"/>
  <c r="Z40" i="47"/>
  <c r="Z13" i="47"/>
  <c r="Z30" i="47"/>
  <c r="Z31" i="47"/>
  <c r="Z18" i="47"/>
  <c r="Z24" i="47"/>
  <c r="Z36" i="47"/>
  <c r="Z21" i="47"/>
  <c r="Z22" i="47"/>
  <c r="Z33" i="47"/>
  <c r="Z23" i="47"/>
  <c r="Z20" i="47"/>
  <c r="Z35" i="47"/>
  <c r="Z50" i="47"/>
  <c r="E45" i="48"/>
  <c r="E42" i="48"/>
  <c r="E41" i="48"/>
  <c r="E19" i="48"/>
  <c r="E47" i="48"/>
  <c r="E67" i="48"/>
  <c r="E4" i="47"/>
  <c r="C9" i="48"/>
  <c r="E17" i="48"/>
  <c r="H1" i="21"/>
  <c r="I1" i="21"/>
  <c r="J1" i="21"/>
  <c r="G1" i="21"/>
  <c r="G3001" i="21"/>
  <c r="AA46" i="26" s="1"/>
  <c r="Z15" i="26"/>
  <c r="CM12" i="14"/>
  <c r="CA20" i="14"/>
  <c r="BX31" i="14"/>
  <c r="BX38" i="14"/>
  <c r="N15" i="14"/>
  <c r="X22" i="14"/>
  <c r="AJ7" i="14"/>
  <c r="W16" i="14"/>
  <c r="F25" i="46"/>
  <c r="F26" i="46"/>
  <c r="F27" i="46"/>
  <c r="U31" i="14" s="1"/>
  <c r="F28" i="46"/>
  <c r="W49" i="14" s="1"/>
  <c r="F29" i="46"/>
  <c r="BE46" i="14" s="1"/>
  <c r="F30" i="46"/>
  <c r="AT40" i="14" s="1"/>
  <c r="F31" i="46"/>
  <c r="BA35" i="14" s="1"/>
  <c r="F32" i="46"/>
  <c r="AL24" i="14" s="1"/>
  <c r="F33" i="46"/>
  <c r="AF14" i="14" s="1"/>
  <c r="F34" i="46"/>
  <c r="F35" i="46"/>
  <c r="BC15" i="14" s="1"/>
  <c r="F36" i="46"/>
  <c r="AU23" i="14" s="1"/>
  <c r="F37" i="46"/>
  <c r="BJ21" i="14" s="1"/>
  <c r="F38" i="46"/>
  <c r="BR12" i="14" s="1"/>
  <c r="F39" i="46"/>
  <c r="F40" i="46"/>
  <c r="F41" i="46"/>
  <c r="BT25" i="14" s="1"/>
  <c r="F42" i="46"/>
  <c r="F43" i="46"/>
  <c r="CI37" i="14" s="1"/>
  <c r="F44" i="46"/>
  <c r="BX47" i="14" s="1"/>
  <c r="F24" i="46"/>
  <c r="C11" i="14" s="1"/>
  <c r="F4" i="46"/>
  <c r="F5" i="46"/>
  <c r="M20" i="14" s="1"/>
  <c r="F6" i="46"/>
  <c r="S27" i="14" s="1"/>
  <c r="F7" i="46"/>
  <c r="S39" i="14" s="1"/>
  <c r="F8" i="46"/>
  <c r="AB37" i="14" s="1"/>
  <c r="F9" i="46"/>
  <c r="AT47" i="14" s="1"/>
  <c r="F10" i="46"/>
  <c r="AN34" i="14" s="1"/>
  <c r="F11" i="46"/>
  <c r="AU29" i="14" s="1"/>
  <c r="F12" i="46"/>
  <c r="AK18" i="14" s="1"/>
  <c r="F13" i="46"/>
  <c r="AO13" i="14" s="1"/>
  <c r="F14" i="46"/>
  <c r="AW9" i="14" s="1"/>
  <c r="F15" i="46"/>
  <c r="AT19" i="14" s="1"/>
  <c r="F16" i="46"/>
  <c r="BD28" i="14" s="1"/>
  <c r="F17" i="46"/>
  <c r="BM16" i="14" s="1"/>
  <c r="F18" i="46"/>
  <c r="CB11" i="14" s="1"/>
  <c r="F19" i="46"/>
  <c r="BY16" i="14" s="1"/>
  <c r="F20" i="46"/>
  <c r="CJ23" i="14" s="1"/>
  <c r="F21" i="46"/>
  <c r="BN31" i="14" s="1"/>
  <c r="F22" i="46"/>
  <c r="F23" i="46"/>
  <c r="CI44" i="14" s="1"/>
  <c r="F3" i="46"/>
  <c r="O9" i="14" s="1"/>
  <c r="DL5" i="14"/>
  <c r="DL7" i="14"/>
  <c r="DL8" i="14"/>
  <c r="DL9" i="14"/>
  <c r="DL10" i="14"/>
  <c r="DL11" i="14"/>
  <c r="DL12" i="14"/>
  <c r="DL13" i="14"/>
  <c r="DL14" i="14"/>
  <c r="DL15" i="14"/>
  <c r="DL16" i="14"/>
  <c r="DL17" i="14"/>
  <c r="DL18" i="14"/>
  <c r="DL19" i="14"/>
  <c r="DL20" i="14"/>
  <c r="DL21" i="14"/>
  <c r="DL22" i="14"/>
  <c r="DL23" i="14"/>
  <c r="DL24" i="14"/>
  <c r="DL25" i="14"/>
  <c r="DL26" i="14"/>
  <c r="DL27" i="14"/>
  <c r="DL28" i="14"/>
  <c r="DL29" i="14"/>
  <c r="DL30" i="14"/>
  <c r="DL31" i="14"/>
  <c r="DL32" i="14"/>
  <c r="DL33" i="14"/>
  <c r="DL34" i="14"/>
  <c r="DL35" i="14"/>
  <c r="DL36" i="14"/>
  <c r="DL37" i="14"/>
  <c r="DL38" i="14"/>
  <c r="DL39" i="14"/>
  <c r="DL40" i="14"/>
  <c r="DL41" i="14"/>
  <c r="DL42" i="14"/>
  <c r="DL43" i="14"/>
  <c r="DL44" i="14"/>
  <c r="DL45" i="14"/>
  <c r="DL46" i="14"/>
  <c r="DL47" i="14"/>
  <c r="DL6" i="14"/>
  <c r="DM5" i="14"/>
  <c r="D11" i="47"/>
  <c r="D12" i="47"/>
  <c r="D13" i="47"/>
  <c r="D14" i="47"/>
  <c r="D15" i="47"/>
  <c r="D16" i="47"/>
  <c r="D17" i="47"/>
  <c r="D18" i="47"/>
  <c r="D19" i="47"/>
  <c r="D20" i="47"/>
  <c r="D21" i="47"/>
  <c r="D22" i="47"/>
  <c r="D23" i="47"/>
  <c r="D24" i="47"/>
  <c r="D25" i="47"/>
  <c r="D26" i="47"/>
  <c r="D27" i="47"/>
  <c r="D28" i="47"/>
  <c r="D29" i="47"/>
  <c r="D30" i="47"/>
  <c r="D31" i="47"/>
  <c r="D32" i="47"/>
  <c r="D33" i="47"/>
  <c r="D34" i="47"/>
  <c r="D35" i="47"/>
  <c r="D36" i="47"/>
  <c r="D37" i="47"/>
  <c r="D38" i="47"/>
  <c r="D39" i="47"/>
  <c r="D40" i="47"/>
  <c r="D41" i="47"/>
  <c r="D42" i="47"/>
  <c r="D43" i="47"/>
  <c r="D44" i="47"/>
  <c r="D45" i="47"/>
  <c r="D46" i="47"/>
  <c r="D47" i="47"/>
  <c r="D48" i="47"/>
  <c r="D49" i="47"/>
  <c r="D50" i="47"/>
  <c r="DE25" i="14" l="1"/>
  <c r="D47" i="14" s="1"/>
  <c r="DE27" i="14"/>
  <c r="D49" i="14" s="1"/>
  <c r="AD55" i="47"/>
  <c r="AD57" i="47"/>
  <c r="AD52" i="47" s="1"/>
  <c r="Q34" i="50"/>
  <c r="M34" i="50" s="1"/>
  <c r="W51" i="46"/>
  <c r="A60" i="35" s="1"/>
  <c r="AP2" i="35" s="1"/>
  <c r="G34" i="50"/>
  <c r="H34" i="50" s="1"/>
  <c r="Q21" i="50"/>
  <c r="AM18" i="22" s="1"/>
  <c r="I15" i="50"/>
  <c r="I10" i="50"/>
  <c r="I16" i="50"/>
  <c r="I17" i="50"/>
  <c r="I6" i="50"/>
  <c r="I7" i="50"/>
  <c r="I4" i="50"/>
  <c r="I5" i="50"/>
  <c r="I12" i="50"/>
  <c r="I19" i="50"/>
  <c r="I14" i="50"/>
  <c r="I18" i="50"/>
  <c r="I13" i="50"/>
  <c r="I11" i="50"/>
  <c r="I8" i="50"/>
  <c r="I9" i="50"/>
  <c r="AB28" i="35"/>
  <c r="AC26" i="35"/>
  <c r="AB10" i="35"/>
  <c r="AC8" i="35"/>
  <c r="AB22" i="35"/>
  <c r="AC20" i="35"/>
  <c r="AB16" i="35"/>
  <c r="AC14" i="35"/>
  <c r="AB4" i="35"/>
  <c r="AC2" i="35"/>
  <c r="C10" i="48"/>
  <c r="Q3" i="33" s="1"/>
  <c r="B2" i="33" s="1"/>
  <c r="C18" i="48"/>
  <c r="AE3001" i="21" s="1"/>
  <c r="T2" i="47"/>
  <c r="T3" i="47"/>
  <c r="AA47" i="26"/>
  <c r="AA48" i="26" s="1"/>
  <c r="AB21" i="26" s="1"/>
  <c r="A1" i="26"/>
  <c r="AD53" i="47" l="1"/>
  <c r="AC53" i="47" s="1"/>
  <c r="E7" i="50"/>
  <c r="F7" i="50" s="1"/>
  <c r="D11" i="50" s="1"/>
  <c r="E11" i="50" s="1"/>
  <c r="N34" i="50"/>
  <c r="N41" i="50" s="1"/>
  <c r="N42" i="50" s="1"/>
  <c r="O34" i="50"/>
  <c r="O41" i="50" s="1"/>
  <c r="O42" i="50" s="1"/>
  <c r="P34" i="50"/>
  <c r="P43" i="50" s="1"/>
  <c r="AM10" i="22" s="1"/>
  <c r="K34" i="50"/>
  <c r="K43" i="50" s="1"/>
  <c r="V10" i="22" s="1"/>
  <c r="I34" i="50"/>
  <c r="I41" i="50" s="1"/>
  <c r="I42" i="50" s="1"/>
  <c r="J34" i="50"/>
  <c r="J41" i="50" s="1"/>
  <c r="J42" i="50" s="1"/>
  <c r="G16" i="50"/>
  <c r="O8" i="50" s="1"/>
  <c r="O21" i="50" s="1"/>
  <c r="BE18" i="22" s="1"/>
  <c r="AA53" i="47"/>
  <c r="C12" i="48"/>
  <c r="Z13" i="26"/>
  <c r="E3" i="47"/>
  <c r="E5" i="47"/>
  <c r="I7" i="47" s="1"/>
  <c r="F58" i="47"/>
  <c r="F57" i="47"/>
  <c r="AB48" i="26"/>
  <c r="AA49" i="26"/>
  <c r="AB49" i="26" s="1"/>
  <c r="Q9" i="26"/>
  <c r="P9" i="26" s="1"/>
  <c r="Q17" i="26"/>
  <c r="P17" i="26" s="1"/>
  <c r="Q25" i="26"/>
  <c r="P25" i="26" s="1"/>
  <c r="Q33" i="26"/>
  <c r="P33" i="26" s="1"/>
  <c r="Q41" i="26"/>
  <c r="P41" i="26" s="1"/>
  <c r="Q49" i="26"/>
  <c r="P49" i="26" s="1"/>
  <c r="Q42" i="26"/>
  <c r="P42" i="26" s="1"/>
  <c r="Q13" i="26"/>
  <c r="P13" i="26" s="1"/>
  <c r="Q37" i="26"/>
  <c r="P37" i="26" s="1"/>
  <c r="Q30" i="26"/>
  <c r="P30" i="26" s="1"/>
  <c r="Q10" i="26"/>
  <c r="P10" i="26" s="1"/>
  <c r="Q18" i="26"/>
  <c r="P18" i="26" s="1"/>
  <c r="Q34" i="26"/>
  <c r="P34" i="26" s="1"/>
  <c r="Q38" i="26"/>
  <c r="P38" i="26" s="1"/>
  <c r="Q11" i="26"/>
  <c r="P11" i="26" s="1"/>
  <c r="Q19" i="26"/>
  <c r="P19" i="26" s="1"/>
  <c r="Q27" i="26"/>
  <c r="P27" i="26" s="1"/>
  <c r="Q35" i="26"/>
  <c r="P35" i="26" s="1"/>
  <c r="Q43" i="26"/>
  <c r="P43" i="26" s="1"/>
  <c r="Q12" i="26"/>
  <c r="P12" i="26" s="1"/>
  <c r="Q20" i="26"/>
  <c r="P20" i="26" s="1"/>
  <c r="Q28" i="26"/>
  <c r="P28" i="26" s="1"/>
  <c r="Q36" i="26"/>
  <c r="P36" i="26" s="1"/>
  <c r="Q29" i="26"/>
  <c r="P29" i="26" s="1"/>
  <c r="Q45" i="26"/>
  <c r="P45" i="26" s="1"/>
  <c r="Q14" i="26"/>
  <c r="P14" i="26" s="1"/>
  <c r="Q15" i="26"/>
  <c r="P15" i="26" s="1"/>
  <c r="Q23" i="26"/>
  <c r="P23" i="26" s="1"/>
  <c r="Q31" i="26"/>
  <c r="P31" i="26" s="1"/>
  <c r="Q39" i="26"/>
  <c r="P39" i="26" s="1"/>
  <c r="Q47" i="26"/>
  <c r="P47" i="26" s="1"/>
  <c r="Q16" i="26"/>
  <c r="P16" i="26" s="1"/>
  <c r="Q24" i="26"/>
  <c r="P24" i="26" s="1"/>
  <c r="Q32" i="26"/>
  <c r="P32" i="26" s="1"/>
  <c r="Q40" i="26"/>
  <c r="P40" i="26" s="1"/>
  <c r="Q48" i="26"/>
  <c r="P48" i="26" s="1"/>
  <c r="Q26" i="26"/>
  <c r="P26" i="26" s="1"/>
  <c r="Q8" i="26"/>
  <c r="Q44" i="26"/>
  <c r="P44" i="26" s="1"/>
  <c r="Q21" i="26"/>
  <c r="P21" i="26" s="1"/>
  <c r="Q22" i="26"/>
  <c r="P22" i="26" s="1"/>
  <c r="Q46" i="26"/>
  <c r="P46" i="26" s="1"/>
  <c r="AA54" i="26"/>
  <c r="F80" i="46" l="1"/>
  <c r="DE16" i="14"/>
  <c r="N43" i="50"/>
  <c r="AV10" i="22" s="1"/>
  <c r="N8" i="50"/>
  <c r="N21" i="50" s="1"/>
  <c r="AM16" i="22" s="1"/>
  <c r="P8" i="50"/>
  <c r="P21" i="50" s="1"/>
  <c r="AV18" i="22" s="1"/>
  <c r="N7" i="50"/>
  <c r="AD5" i="22"/>
  <c r="AD2" i="22"/>
  <c r="A58" i="22"/>
  <c r="I43" i="50"/>
  <c r="M10" i="22" s="1"/>
  <c r="M8" i="50"/>
  <c r="M21" i="50" s="1"/>
  <c r="AV16" i="22" s="1"/>
  <c r="L8" i="50"/>
  <c r="L21" i="50" s="1"/>
  <c r="BE16" i="22" s="1"/>
  <c r="L7" i="50"/>
  <c r="X54" i="47"/>
  <c r="E6" i="47" s="1"/>
  <c r="B3" i="33"/>
  <c r="B31" i="33" s="1"/>
  <c r="P8" i="26"/>
  <c r="I3" i="47" s="1"/>
  <c r="T28" i="47" s="1"/>
  <c r="E58" i="47"/>
  <c r="AA50" i="26"/>
  <c r="O16" i="46"/>
  <c r="M16" i="46" s="1"/>
  <c r="O15" i="46"/>
  <c r="M15" i="46" s="1"/>
  <c r="O12" i="46"/>
  <c r="M12" i="46" s="1"/>
  <c r="O25" i="46"/>
  <c r="M25" i="46" s="1"/>
  <c r="O18" i="46"/>
  <c r="M18" i="46" s="1"/>
  <c r="O45" i="46"/>
  <c r="M45" i="46" s="1"/>
  <c r="O38" i="46"/>
  <c r="M38" i="46" s="1"/>
  <c r="O10" i="46"/>
  <c r="M10" i="46" s="1"/>
  <c r="O26" i="46"/>
  <c r="M26" i="46" s="1"/>
  <c r="O9" i="46"/>
  <c r="M9" i="46" s="1"/>
  <c r="O36" i="46"/>
  <c r="M36" i="46" s="1"/>
  <c r="O27" i="46"/>
  <c r="M27" i="46" s="1"/>
  <c r="O17" i="46"/>
  <c r="M17" i="46" s="1"/>
  <c r="O35" i="46"/>
  <c r="M35" i="46" s="1"/>
  <c r="O21" i="46"/>
  <c r="M21" i="46" s="1"/>
  <c r="O22" i="46"/>
  <c r="M22" i="46" s="1"/>
  <c r="O7" i="46"/>
  <c r="M7" i="46" s="1"/>
  <c r="O6" i="46"/>
  <c r="M6" i="46" s="1"/>
  <c r="O5" i="46"/>
  <c r="M5" i="46" s="1"/>
  <c r="O42" i="46"/>
  <c r="M42" i="46" s="1"/>
  <c r="O23" i="46"/>
  <c r="M23" i="46" s="1"/>
  <c r="O28" i="46"/>
  <c r="M28" i="46" s="1"/>
  <c r="O31" i="46"/>
  <c r="M31" i="46" s="1"/>
  <c r="O29" i="46"/>
  <c r="M29" i="46" s="1"/>
  <c r="O34" i="46"/>
  <c r="M34" i="46" s="1"/>
  <c r="O11" i="46"/>
  <c r="M11" i="46" s="1"/>
  <c r="O14" i="46"/>
  <c r="M14" i="46" s="1"/>
  <c r="O37" i="46"/>
  <c r="M37" i="46" s="1"/>
  <c r="O44" i="46"/>
  <c r="M44" i="46" s="1"/>
  <c r="O39" i="46"/>
  <c r="M39" i="46" s="1"/>
  <c r="O24" i="46"/>
  <c r="M24" i="46" s="1"/>
  <c r="O41" i="46"/>
  <c r="M41" i="46" s="1"/>
  <c r="O13" i="46"/>
  <c r="M13" i="46" s="1"/>
  <c r="O20" i="46"/>
  <c r="M20" i="46" s="1"/>
  <c r="O43" i="46"/>
  <c r="M43" i="46" s="1"/>
  <c r="O46" i="46"/>
  <c r="M46" i="46" s="1"/>
  <c r="O32" i="46"/>
  <c r="M32" i="46" s="1"/>
  <c r="O33" i="46"/>
  <c r="M33" i="46" s="1"/>
  <c r="O19" i="46"/>
  <c r="M19" i="46" s="1"/>
  <c r="O30" i="46"/>
  <c r="M30" i="46" s="1"/>
  <c r="O8" i="46"/>
  <c r="M8" i="46" s="1"/>
  <c r="O40" i="46"/>
  <c r="M40" i="46" s="1"/>
  <c r="AB22" i="26"/>
  <c r="AA21" i="26"/>
  <c r="Y21" i="26" s="1"/>
  <c r="X21" i="26" s="1"/>
  <c r="T23" i="47"/>
  <c r="W3001" i="21"/>
  <c r="Y3001" i="21"/>
  <c r="X3001" i="21"/>
  <c r="V3001" i="21"/>
  <c r="AH3001" i="21" s="1"/>
  <c r="AC3001" i="21"/>
  <c r="AA3001" i="21"/>
  <c r="M35" i="50" l="1"/>
  <c r="M43" i="50" s="1"/>
  <c r="BE10" i="22" s="1"/>
  <c r="J28" i="47"/>
  <c r="J23" i="47"/>
  <c r="T32" i="47"/>
  <c r="J32" i="47" s="1"/>
  <c r="T45" i="47"/>
  <c r="J45" i="47" s="1"/>
  <c r="T50" i="47"/>
  <c r="J50" i="47" s="1"/>
  <c r="T48" i="47"/>
  <c r="J48" i="47" s="1"/>
  <c r="T29" i="47"/>
  <c r="J29" i="47" s="1"/>
  <c r="T33" i="47"/>
  <c r="J33" i="47" s="1"/>
  <c r="T47" i="47"/>
  <c r="J47" i="47" s="1"/>
  <c r="T30" i="47"/>
  <c r="J30" i="47" s="1"/>
  <c r="T21" i="47"/>
  <c r="J21" i="47" s="1"/>
  <c r="T11" i="47"/>
  <c r="J11" i="47" s="1"/>
  <c r="T35" i="47"/>
  <c r="J35" i="47" s="1"/>
  <c r="T34" i="47"/>
  <c r="J34" i="47" s="1"/>
  <c r="T46" i="47"/>
  <c r="J46" i="47" s="1"/>
  <c r="T40" i="47"/>
  <c r="J40" i="47" s="1"/>
  <c r="T27" i="47"/>
  <c r="J27" i="47" s="1"/>
  <c r="T20" i="47"/>
  <c r="J20" i="47" s="1"/>
  <c r="T19" i="47"/>
  <c r="J19" i="47" s="1"/>
  <c r="T22" i="47"/>
  <c r="J22" i="47" s="1"/>
  <c r="T26" i="47"/>
  <c r="J26" i="47" s="1"/>
  <c r="T18" i="47"/>
  <c r="J18" i="47" s="1"/>
  <c r="T17" i="47"/>
  <c r="J17" i="47" s="1"/>
  <c r="T16" i="47"/>
  <c r="J16" i="47" s="1"/>
  <c r="T25" i="47"/>
  <c r="J25" i="47" s="1"/>
  <c r="T24" i="47"/>
  <c r="J24" i="47" s="1"/>
  <c r="T31" i="47"/>
  <c r="J31" i="47" s="1"/>
  <c r="T15" i="47"/>
  <c r="J15" i="47" s="1"/>
  <c r="T36" i="47"/>
  <c r="J36" i="47" s="1"/>
  <c r="T42" i="47"/>
  <c r="J42" i="47" s="1"/>
  <c r="T10" i="47"/>
  <c r="J10" i="47" s="1"/>
  <c r="T37" i="47"/>
  <c r="J37" i="47" s="1"/>
  <c r="T13" i="47"/>
  <c r="J13" i="47" s="1"/>
  <c r="T12" i="47"/>
  <c r="J12" i="47" s="1"/>
  <c r="T9" i="47"/>
  <c r="J9" i="47" s="1"/>
  <c r="T41" i="47"/>
  <c r="J41" i="47" s="1"/>
  <c r="T14" i="47"/>
  <c r="J14" i="47" s="1"/>
  <c r="T49" i="47"/>
  <c r="J49" i="47" s="1"/>
  <c r="T43" i="47"/>
  <c r="J43" i="47" s="1"/>
  <c r="T44" i="47"/>
  <c r="J44" i="47" s="1"/>
  <c r="T39" i="47"/>
  <c r="J39" i="47" s="1"/>
  <c r="E56" i="47"/>
  <c r="F56" i="47" s="1"/>
  <c r="T38" i="47"/>
  <c r="J38" i="47" s="1"/>
  <c r="O58" i="47"/>
  <c r="O55" i="47" s="1"/>
  <c r="AB15" i="26" s="1"/>
  <c r="G12" i="47"/>
  <c r="G28" i="47"/>
  <c r="G43" i="47"/>
  <c r="G34" i="47"/>
  <c r="G31" i="47"/>
  <c r="G37" i="47"/>
  <c r="G9" i="47"/>
  <c r="G38" i="47"/>
  <c r="G48" i="47"/>
  <c r="G36" i="47"/>
  <c r="G47" i="47"/>
  <c r="G24" i="47"/>
  <c r="G10" i="47"/>
  <c r="G15" i="47"/>
  <c r="G13" i="47"/>
  <c r="G14" i="47"/>
  <c r="G50" i="47"/>
  <c r="G33" i="47"/>
  <c r="G29" i="47"/>
  <c r="G22" i="47"/>
  <c r="G26" i="47"/>
  <c r="G40" i="47"/>
  <c r="G35" i="47"/>
  <c r="G27" i="47"/>
  <c r="G17" i="47"/>
  <c r="G44" i="47"/>
  <c r="G39" i="47"/>
  <c r="G45" i="47"/>
  <c r="G19" i="47"/>
  <c r="G46" i="47"/>
  <c r="G23" i="47"/>
  <c r="G18" i="47"/>
  <c r="G32" i="47"/>
  <c r="G30" i="47"/>
  <c r="G25" i="47"/>
  <c r="G20" i="47"/>
  <c r="G49" i="47"/>
  <c r="G21" i="47"/>
  <c r="G16" i="47"/>
  <c r="G11" i="47"/>
  <c r="G41" i="47"/>
  <c r="G42" i="47"/>
  <c r="E67" i="44"/>
  <c r="E66" i="44"/>
  <c r="E65" i="44"/>
  <c r="E64" i="44"/>
  <c r="E63" i="44"/>
  <c r="E62" i="44"/>
  <c r="E61" i="44"/>
  <c r="E60" i="44"/>
  <c r="E59" i="44"/>
  <c r="E58" i="44"/>
  <c r="E57" i="44"/>
  <c r="E56" i="44"/>
  <c r="E55" i="44"/>
  <c r="E54" i="44"/>
  <c r="E53" i="44"/>
  <c r="E52" i="44"/>
  <c r="E51" i="44"/>
  <c r="E50" i="44"/>
  <c r="E49" i="44"/>
  <c r="E48" i="44"/>
  <c r="E47" i="44"/>
  <c r="E46" i="44"/>
  <c r="E45" i="44"/>
  <c r="E44" i="44"/>
  <c r="E43" i="44"/>
  <c r="E42" i="44"/>
  <c r="E41" i="44"/>
  <c r="E40" i="44"/>
  <c r="E39" i="44"/>
  <c r="E38" i="44"/>
  <c r="E37" i="44"/>
  <c r="E36" i="44"/>
  <c r="E35" i="44"/>
  <c r="E34" i="44"/>
  <c r="E33" i="44"/>
  <c r="E32" i="44"/>
  <c r="E31" i="44"/>
  <c r="E30" i="44"/>
  <c r="E29" i="44"/>
  <c r="E28" i="44"/>
  <c r="E27" i="44"/>
  <c r="E26" i="44"/>
  <c r="E25" i="44"/>
  <c r="E24" i="44"/>
  <c r="E23" i="44"/>
  <c r="E22" i="44"/>
  <c r="E21" i="44"/>
  <c r="E20" i="44"/>
  <c r="E19" i="44"/>
  <c r="E18" i="44"/>
  <c r="E17" i="44"/>
  <c r="E16" i="44"/>
  <c r="E15" i="44"/>
  <c r="E14" i="44"/>
  <c r="E13" i="44"/>
  <c r="E12" i="44"/>
  <c r="E11" i="44"/>
  <c r="E10" i="44"/>
  <c r="E9" i="44"/>
  <c r="E8" i="44"/>
  <c r="E7" i="44"/>
  <c r="E6" i="44"/>
  <c r="E5" i="44"/>
  <c r="E59" i="38"/>
  <c r="E60" i="38"/>
  <c r="E61" i="38"/>
  <c r="E62" i="38"/>
  <c r="E63" i="38"/>
  <c r="E64" i="38"/>
  <c r="E65" i="38"/>
  <c r="E66" i="38"/>
  <c r="E67" i="38"/>
  <c r="E6" i="38"/>
  <c r="E7" i="38"/>
  <c r="E8" i="38"/>
  <c r="E9" i="38"/>
  <c r="E10" i="38"/>
  <c r="E11" i="38"/>
  <c r="E12" i="38"/>
  <c r="E13" i="38"/>
  <c r="E14" i="38"/>
  <c r="E15" i="38"/>
  <c r="E16" i="38"/>
  <c r="E17" i="38"/>
  <c r="E18" i="38"/>
  <c r="E19" i="38"/>
  <c r="E20" i="38"/>
  <c r="E21" i="38"/>
  <c r="E22" i="38"/>
  <c r="E23" i="38"/>
  <c r="E24" i="38"/>
  <c r="E25" i="38"/>
  <c r="E26" i="38"/>
  <c r="E27" i="38"/>
  <c r="E28" i="38"/>
  <c r="E29" i="38"/>
  <c r="E30" i="38"/>
  <c r="E31" i="38"/>
  <c r="E32" i="38"/>
  <c r="E33" i="38"/>
  <c r="E34" i="38"/>
  <c r="E35" i="38"/>
  <c r="E36" i="38"/>
  <c r="E37" i="38"/>
  <c r="E38" i="38"/>
  <c r="E39" i="38"/>
  <c r="E40" i="38"/>
  <c r="E41" i="38"/>
  <c r="E42" i="38"/>
  <c r="E43" i="38"/>
  <c r="E44" i="38"/>
  <c r="E45" i="38"/>
  <c r="E46" i="38"/>
  <c r="E47" i="38"/>
  <c r="E48" i="38"/>
  <c r="E49" i="38"/>
  <c r="E50" i="38"/>
  <c r="E51" i="38"/>
  <c r="E52" i="38"/>
  <c r="E53" i="38"/>
  <c r="E54" i="38"/>
  <c r="E55" i="38"/>
  <c r="E56" i="38"/>
  <c r="E57" i="38"/>
  <c r="E58" i="38"/>
  <c r="E5" i="38"/>
  <c r="L4" i="26" l="1"/>
  <c r="M4" i="26" s="1"/>
  <c r="L67" i="26"/>
  <c r="M67" i="26" s="1"/>
  <c r="L5" i="26"/>
  <c r="M5" i="26" s="1"/>
  <c r="L68" i="26"/>
  <c r="M68" i="26" s="1"/>
  <c r="L6" i="26"/>
  <c r="L69" i="26"/>
  <c r="M69" i="26" s="1"/>
  <c r="L7" i="26"/>
  <c r="L70" i="26"/>
  <c r="M70" i="26" s="1"/>
  <c r="L8" i="26"/>
  <c r="L71" i="26"/>
  <c r="M71" i="26" s="1"/>
  <c r="L9" i="26"/>
  <c r="M9" i="26" s="1"/>
  <c r="L72" i="26"/>
  <c r="M72" i="26" s="1"/>
  <c r="L10" i="26"/>
  <c r="L73" i="26"/>
  <c r="M73" i="26" s="1"/>
  <c r="L11" i="26"/>
  <c r="M11" i="26" s="1"/>
  <c r="L74" i="26"/>
  <c r="M74" i="26" s="1"/>
  <c r="L12" i="26"/>
  <c r="L75" i="26"/>
  <c r="M75" i="26" s="1"/>
  <c r="L13" i="26"/>
  <c r="L76" i="26"/>
  <c r="M76" i="26" s="1"/>
  <c r="L14" i="26"/>
  <c r="L77" i="26"/>
  <c r="M77" i="26" s="1"/>
  <c r="L15" i="26"/>
  <c r="L78" i="26"/>
  <c r="M78" i="26" s="1"/>
  <c r="E73" i="47" s="1"/>
  <c r="L16" i="26"/>
  <c r="M16" i="26" s="1"/>
  <c r="L79" i="26"/>
  <c r="M79" i="26" s="1"/>
  <c r="L17" i="26"/>
  <c r="L80" i="26"/>
  <c r="M80" i="26" s="1"/>
  <c r="L18" i="26"/>
  <c r="L81" i="26"/>
  <c r="M81" i="26" s="1"/>
  <c r="L19" i="26"/>
  <c r="L82" i="26"/>
  <c r="M82" i="26" s="1"/>
  <c r="L20" i="26"/>
  <c r="M20" i="26" s="1"/>
  <c r="L83" i="26"/>
  <c r="M83" i="26" s="1"/>
  <c r="L21" i="26"/>
  <c r="L84" i="26"/>
  <c r="M84" i="26" s="1"/>
  <c r="L22" i="26"/>
  <c r="L85" i="26"/>
  <c r="M85" i="26" s="1"/>
  <c r="L23" i="26"/>
  <c r="L86" i="26"/>
  <c r="M86" i="26" s="1"/>
  <c r="L24" i="26"/>
  <c r="L87" i="26"/>
  <c r="M87" i="26" s="1"/>
  <c r="L25" i="26"/>
  <c r="M25" i="26" s="1"/>
  <c r="L88" i="26"/>
  <c r="M88" i="26" s="1"/>
  <c r="L26" i="26"/>
  <c r="M26" i="26" s="1"/>
  <c r="L89" i="26"/>
  <c r="M89" i="26" s="1"/>
  <c r="L27" i="26"/>
  <c r="L90" i="26"/>
  <c r="M90" i="26" s="1"/>
  <c r="L28" i="26"/>
  <c r="M28" i="26" s="1"/>
  <c r="L91" i="26"/>
  <c r="M91" i="26" s="1"/>
  <c r="L29" i="26"/>
  <c r="L92" i="26"/>
  <c r="M92" i="26" s="1"/>
  <c r="L30" i="26"/>
  <c r="L93" i="26"/>
  <c r="M93" i="26" s="1"/>
  <c r="L31" i="26"/>
  <c r="L94" i="26"/>
  <c r="M94" i="26" s="1"/>
  <c r="L32" i="26"/>
  <c r="M32" i="26" s="1"/>
  <c r="L95" i="26"/>
  <c r="M95" i="26" s="1"/>
  <c r="L33" i="26"/>
  <c r="L96" i="26"/>
  <c r="M96" i="26" s="1"/>
  <c r="L34" i="26"/>
  <c r="M34" i="26" s="1"/>
  <c r="L97" i="26"/>
  <c r="L35" i="26"/>
  <c r="L98" i="26"/>
  <c r="L36" i="26"/>
  <c r="L99" i="26"/>
  <c r="M99" i="26" s="1"/>
  <c r="L37" i="26"/>
  <c r="M37" i="26" s="1"/>
  <c r="L100" i="26"/>
  <c r="M100" i="26" s="1"/>
  <c r="L38" i="26"/>
  <c r="L101" i="26"/>
  <c r="M101" i="26" s="1"/>
  <c r="L39" i="26"/>
  <c r="L102" i="26"/>
  <c r="M102" i="26" s="1"/>
  <c r="L40" i="26"/>
  <c r="L103" i="26"/>
  <c r="M103" i="26" s="1"/>
  <c r="L41" i="26"/>
  <c r="L104" i="26"/>
  <c r="M104" i="26" s="1"/>
  <c r="L42" i="26"/>
  <c r="M42" i="26" s="1"/>
  <c r="L105" i="26"/>
  <c r="M105" i="26" s="1"/>
  <c r="L43" i="26"/>
  <c r="L106" i="26"/>
  <c r="M106" i="26" s="1"/>
  <c r="L44" i="26"/>
  <c r="L107" i="26"/>
  <c r="M107" i="26" s="1"/>
  <c r="L45" i="26"/>
  <c r="M45" i="26" s="1"/>
  <c r="L108" i="26"/>
  <c r="M108" i="26" s="1"/>
  <c r="L46" i="26"/>
  <c r="L109" i="26"/>
  <c r="L47" i="26"/>
  <c r="L110" i="26"/>
  <c r="L48" i="26"/>
  <c r="M48" i="26" s="1"/>
  <c r="L111" i="26"/>
  <c r="M111" i="26" s="1"/>
  <c r="L49" i="26"/>
  <c r="L112" i="26"/>
  <c r="M112" i="26" s="1"/>
  <c r="L50" i="26"/>
  <c r="L113" i="26"/>
  <c r="M113" i="26" s="1"/>
  <c r="L51" i="26"/>
  <c r="L114" i="26"/>
  <c r="M114" i="26" s="1"/>
  <c r="L52" i="26"/>
  <c r="M52" i="26" s="1"/>
  <c r="L115" i="26"/>
  <c r="M115" i="26" s="1"/>
  <c r="L53" i="26"/>
  <c r="L116" i="26"/>
  <c r="M116" i="26" s="1"/>
  <c r="L54" i="26"/>
  <c r="L117" i="26"/>
  <c r="M117" i="26" s="1"/>
  <c r="L55" i="26"/>
  <c r="L118" i="26"/>
  <c r="M118" i="26" s="1"/>
  <c r="L56" i="26"/>
  <c r="L119" i="26"/>
  <c r="M119" i="26" s="1"/>
  <c r="L57" i="26"/>
  <c r="L120" i="26"/>
  <c r="M120" i="26" s="1"/>
  <c r="L58" i="26"/>
  <c r="M58" i="26" s="1"/>
  <c r="L121" i="26"/>
  <c r="M121" i="26" s="1"/>
  <c r="L59" i="26"/>
  <c r="L122" i="26"/>
  <c r="M122" i="26" s="1"/>
  <c r="L60" i="26"/>
  <c r="L123" i="26"/>
  <c r="L61" i="26"/>
  <c r="M61" i="26" s="1"/>
  <c r="L124" i="26"/>
  <c r="L62" i="26"/>
  <c r="L125" i="26"/>
  <c r="M125" i="26" s="1"/>
  <c r="L63" i="26"/>
  <c r="L126" i="26"/>
  <c r="M126" i="26" s="1"/>
  <c r="L64" i="26"/>
  <c r="L127" i="26"/>
  <c r="M127" i="26" s="1"/>
  <c r="L65" i="26"/>
  <c r="L128" i="26"/>
  <c r="M128" i="26" s="1"/>
  <c r="L66" i="26"/>
  <c r="M66" i="26" s="1"/>
  <c r="L3" i="26"/>
  <c r="M124" i="26" l="1"/>
  <c r="G24" i="51"/>
  <c r="H24" i="51" s="1"/>
  <c r="G18" i="51"/>
  <c r="H18" i="51" s="1"/>
  <c r="S303" i="51" s="1"/>
  <c r="M123" i="26"/>
  <c r="G19" i="51"/>
  <c r="H19" i="51" s="1"/>
  <c r="T303" i="51" s="1"/>
  <c r="DE21" i="14"/>
  <c r="E65" i="47"/>
  <c r="M63" i="26"/>
  <c r="G16" i="51"/>
  <c r="H16" i="51" s="1"/>
  <c r="Q303" i="51" s="1"/>
  <c r="G17" i="51"/>
  <c r="H17" i="51" s="1"/>
  <c r="R303" i="51" s="1"/>
  <c r="M8" i="26"/>
  <c r="AC60" i="26"/>
  <c r="AC62" i="26"/>
  <c r="M98" i="26"/>
  <c r="AD61" i="26"/>
  <c r="AB20" i="26" s="1"/>
  <c r="M97" i="26"/>
  <c r="AD62" i="26"/>
  <c r="M13" i="26"/>
  <c r="AC61" i="26"/>
  <c r="M110" i="26"/>
  <c r="AD60" i="26"/>
  <c r="AA20" i="26" s="1"/>
  <c r="M109" i="26"/>
  <c r="M3" i="26"/>
  <c r="D112" i="46" s="1"/>
  <c r="F61" i="44"/>
  <c r="F49" i="44"/>
  <c r="F37" i="44"/>
  <c r="F25" i="44"/>
  <c r="F21" i="44"/>
  <c r="F60" i="44"/>
  <c r="F48" i="44"/>
  <c r="F36" i="44"/>
  <c r="F28" i="44"/>
  <c r="F20" i="44"/>
  <c r="F16" i="44"/>
  <c r="F12" i="44"/>
  <c r="F8" i="44"/>
  <c r="F65" i="44"/>
  <c r="F45" i="44"/>
  <c r="F33" i="44"/>
  <c r="F17" i="44"/>
  <c r="F52" i="44"/>
  <c r="F32" i="44"/>
  <c r="F67" i="44"/>
  <c r="F59" i="44"/>
  <c r="F47" i="44"/>
  <c r="F39" i="44"/>
  <c r="F31" i="44"/>
  <c r="F23" i="44"/>
  <c r="F19" i="44"/>
  <c r="F15" i="44"/>
  <c r="F11" i="44"/>
  <c r="F7" i="44"/>
  <c r="F57" i="44"/>
  <c r="F41" i="44"/>
  <c r="F13" i="44"/>
  <c r="F64" i="44"/>
  <c r="F44" i="44"/>
  <c r="F24" i="44"/>
  <c r="F63" i="44"/>
  <c r="F51" i="44"/>
  <c r="F43" i="44"/>
  <c r="F35" i="44"/>
  <c r="F27" i="44"/>
  <c r="F66" i="44"/>
  <c r="F62" i="44"/>
  <c r="F58" i="44"/>
  <c r="F54" i="44"/>
  <c r="F50" i="44"/>
  <c r="F46" i="44"/>
  <c r="F42" i="44"/>
  <c r="F38" i="44"/>
  <c r="F34" i="44"/>
  <c r="F30" i="44"/>
  <c r="F26" i="44"/>
  <c r="F22" i="44"/>
  <c r="F18" i="44"/>
  <c r="F14" i="44"/>
  <c r="F10" i="44"/>
  <c r="F6" i="44"/>
  <c r="F53" i="44"/>
  <c r="F29" i="44"/>
  <c r="F9" i="44"/>
  <c r="F56" i="44"/>
  <c r="F40" i="44"/>
  <c r="F55" i="44"/>
  <c r="F57" i="38"/>
  <c r="F45" i="38"/>
  <c r="F33" i="38"/>
  <c r="F21" i="38"/>
  <c r="F9" i="38"/>
  <c r="F56" i="38"/>
  <c r="F44" i="38"/>
  <c r="F40" i="38"/>
  <c r="F36" i="38"/>
  <c r="F32" i="38"/>
  <c r="F28" i="38"/>
  <c r="F24" i="38"/>
  <c r="F20" i="38"/>
  <c r="F16" i="38"/>
  <c r="F12" i="38"/>
  <c r="F8" i="38"/>
  <c r="F61" i="38"/>
  <c r="F49" i="38"/>
  <c r="F41" i="38"/>
  <c r="F29" i="38"/>
  <c r="F17" i="38"/>
  <c r="F64" i="38"/>
  <c r="F52" i="38"/>
  <c r="F67" i="38"/>
  <c r="F59" i="38"/>
  <c r="F47" i="38"/>
  <c r="F35" i="38"/>
  <c r="F11" i="38"/>
  <c r="F65" i="38"/>
  <c r="F53" i="38"/>
  <c r="F37" i="38"/>
  <c r="F25" i="38"/>
  <c r="F13" i="38"/>
  <c r="F60" i="38"/>
  <c r="F48" i="38"/>
  <c r="F63" i="38"/>
  <c r="F55" i="38"/>
  <c r="F51" i="38"/>
  <c r="F43" i="38"/>
  <c r="F39" i="38"/>
  <c r="F31" i="38"/>
  <c r="F27" i="38"/>
  <c r="F23" i="38"/>
  <c r="F19" i="38"/>
  <c r="F15" i="38"/>
  <c r="F7" i="38"/>
  <c r="F66" i="38"/>
  <c r="F62" i="38"/>
  <c r="F58" i="38"/>
  <c r="F54" i="38"/>
  <c r="F50" i="38"/>
  <c r="F46" i="38"/>
  <c r="F42" i="38"/>
  <c r="F38" i="38"/>
  <c r="F34" i="38"/>
  <c r="F30" i="38"/>
  <c r="F26" i="38"/>
  <c r="F22" i="38"/>
  <c r="F18" i="38"/>
  <c r="F14" i="38"/>
  <c r="F10" i="38"/>
  <c r="F6" i="38"/>
  <c r="F5" i="44"/>
  <c r="F5" i="38"/>
  <c r="H10" i="42"/>
  <c r="H489" i="42"/>
  <c r="G482" i="26" s="1"/>
  <c r="F482" i="26" s="1"/>
  <c r="B489" i="42"/>
  <c r="H488" i="42"/>
  <c r="G481" i="26" s="1"/>
  <c r="F481" i="26" s="1"/>
  <c r="B488" i="42"/>
  <c r="H487" i="42"/>
  <c r="G480" i="26" s="1"/>
  <c r="F480" i="26" s="1"/>
  <c r="B487" i="42"/>
  <c r="H486" i="42"/>
  <c r="G479" i="26" s="1"/>
  <c r="F479" i="26" s="1"/>
  <c r="B486" i="42"/>
  <c r="H485" i="42"/>
  <c r="G478" i="26" s="1"/>
  <c r="F478" i="26" s="1"/>
  <c r="B485" i="42"/>
  <c r="H484" i="42"/>
  <c r="G477" i="26" s="1"/>
  <c r="F477" i="26" s="1"/>
  <c r="B484" i="42"/>
  <c r="H483" i="42"/>
  <c r="G476" i="26" s="1"/>
  <c r="F476" i="26" s="1"/>
  <c r="B483" i="42"/>
  <c r="H482" i="42"/>
  <c r="G475" i="26" s="1"/>
  <c r="F475" i="26" s="1"/>
  <c r="B482" i="42"/>
  <c r="H481" i="42"/>
  <c r="G474" i="26" s="1"/>
  <c r="F474" i="26" s="1"/>
  <c r="B481" i="42"/>
  <c r="H480" i="42"/>
  <c r="G473" i="26" s="1"/>
  <c r="F473" i="26" s="1"/>
  <c r="B480" i="42"/>
  <c r="H479" i="42"/>
  <c r="G472" i="26" s="1"/>
  <c r="F472" i="26" s="1"/>
  <c r="B479" i="42"/>
  <c r="H478" i="42"/>
  <c r="G471" i="26" s="1"/>
  <c r="F471" i="26" s="1"/>
  <c r="B478" i="42"/>
  <c r="H477" i="42"/>
  <c r="G470" i="26" s="1"/>
  <c r="F470" i="26" s="1"/>
  <c r="B477" i="42"/>
  <c r="H476" i="42"/>
  <c r="G469" i="26" s="1"/>
  <c r="F469" i="26" s="1"/>
  <c r="B476" i="42"/>
  <c r="H475" i="42"/>
  <c r="G468" i="26" s="1"/>
  <c r="F468" i="26" s="1"/>
  <c r="B475" i="42"/>
  <c r="H474" i="42"/>
  <c r="G467" i="26" s="1"/>
  <c r="F467" i="26" s="1"/>
  <c r="B474" i="42"/>
  <c r="H473" i="42"/>
  <c r="G466" i="26" s="1"/>
  <c r="F466" i="26" s="1"/>
  <c r="B473" i="42"/>
  <c r="H472" i="42"/>
  <c r="G465" i="26" s="1"/>
  <c r="F465" i="26" s="1"/>
  <c r="B472" i="42"/>
  <c r="H471" i="42"/>
  <c r="G464" i="26" s="1"/>
  <c r="F464" i="26" s="1"/>
  <c r="B471" i="42"/>
  <c r="H470" i="42"/>
  <c r="G463" i="26" s="1"/>
  <c r="F463" i="26" s="1"/>
  <c r="B470" i="42"/>
  <c r="H469" i="42"/>
  <c r="G462" i="26" s="1"/>
  <c r="F462" i="26" s="1"/>
  <c r="B469" i="42"/>
  <c r="H468" i="42"/>
  <c r="G461" i="26" s="1"/>
  <c r="F461" i="26" s="1"/>
  <c r="B468" i="42"/>
  <c r="H467" i="42"/>
  <c r="G460" i="26" s="1"/>
  <c r="F460" i="26" s="1"/>
  <c r="B467" i="42"/>
  <c r="H466" i="42"/>
  <c r="G459" i="26" s="1"/>
  <c r="F459" i="26" s="1"/>
  <c r="B466" i="42"/>
  <c r="H465" i="42"/>
  <c r="G458" i="26" s="1"/>
  <c r="F458" i="26" s="1"/>
  <c r="B465" i="42"/>
  <c r="H464" i="42"/>
  <c r="G457" i="26" s="1"/>
  <c r="F457" i="26" s="1"/>
  <c r="B464" i="42"/>
  <c r="H463" i="42"/>
  <c r="G456" i="26" s="1"/>
  <c r="F456" i="26" s="1"/>
  <c r="B463" i="42"/>
  <c r="H462" i="42"/>
  <c r="G455" i="26" s="1"/>
  <c r="F455" i="26" s="1"/>
  <c r="B462" i="42"/>
  <c r="H461" i="42"/>
  <c r="G454" i="26" s="1"/>
  <c r="F454" i="26" s="1"/>
  <c r="B461" i="42"/>
  <c r="H460" i="42"/>
  <c r="G453" i="26" s="1"/>
  <c r="F453" i="26" s="1"/>
  <c r="B460" i="42"/>
  <c r="H459" i="42"/>
  <c r="G452" i="26" s="1"/>
  <c r="F452" i="26" s="1"/>
  <c r="B459" i="42"/>
  <c r="H458" i="42"/>
  <c r="G451" i="26" s="1"/>
  <c r="F451" i="26" s="1"/>
  <c r="B458" i="42"/>
  <c r="H457" i="42"/>
  <c r="G450" i="26" s="1"/>
  <c r="F450" i="26" s="1"/>
  <c r="B457" i="42"/>
  <c r="H456" i="42"/>
  <c r="G449" i="26" s="1"/>
  <c r="F449" i="26" s="1"/>
  <c r="B456" i="42"/>
  <c r="H455" i="42"/>
  <c r="G448" i="26" s="1"/>
  <c r="F448" i="26" s="1"/>
  <c r="B455" i="42"/>
  <c r="H454" i="42"/>
  <c r="G447" i="26" s="1"/>
  <c r="F447" i="26" s="1"/>
  <c r="B454" i="42"/>
  <c r="H453" i="42"/>
  <c r="G446" i="26" s="1"/>
  <c r="F446" i="26" s="1"/>
  <c r="B453" i="42"/>
  <c r="H452" i="42"/>
  <c r="G445" i="26" s="1"/>
  <c r="F445" i="26" s="1"/>
  <c r="B452" i="42"/>
  <c r="H451" i="42"/>
  <c r="G444" i="26" s="1"/>
  <c r="F444" i="26" s="1"/>
  <c r="B451" i="42"/>
  <c r="H450" i="42"/>
  <c r="G443" i="26" s="1"/>
  <c r="F443" i="26" s="1"/>
  <c r="B450" i="42"/>
  <c r="H449" i="42"/>
  <c r="G442" i="26" s="1"/>
  <c r="F442" i="26" s="1"/>
  <c r="B449" i="42"/>
  <c r="H448" i="42"/>
  <c r="G441" i="26" s="1"/>
  <c r="F441" i="26" s="1"/>
  <c r="B448" i="42"/>
  <c r="H447" i="42"/>
  <c r="G440" i="26" s="1"/>
  <c r="F440" i="26" s="1"/>
  <c r="B447" i="42"/>
  <c r="H446" i="42"/>
  <c r="G439" i="26" s="1"/>
  <c r="F439" i="26" s="1"/>
  <c r="B446" i="42"/>
  <c r="H445" i="42"/>
  <c r="G438" i="26" s="1"/>
  <c r="F438" i="26" s="1"/>
  <c r="B445" i="42"/>
  <c r="H444" i="42"/>
  <c r="G437" i="26" s="1"/>
  <c r="F437" i="26" s="1"/>
  <c r="B444" i="42"/>
  <c r="H443" i="42"/>
  <c r="G436" i="26" s="1"/>
  <c r="F436" i="26" s="1"/>
  <c r="B443" i="42"/>
  <c r="H442" i="42"/>
  <c r="G435" i="26" s="1"/>
  <c r="F435" i="26" s="1"/>
  <c r="B442" i="42"/>
  <c r="H441" i="42"/>
  <c r="G434" i="26" s="1"/>
  <c r="F434" i="26" s="1"/>
  <c r="B441" i="42"/>
  <c r="H440" i="42"/>
  <c r="G433" i="26" s="1"/>
  <c r="F433" i="26" s="1"/>
  <c r="B440" i="42"/>
  <c r="H439" i="42"/>
  <c r="G432" i="26" s="1"/>
  <c r="F432" i="26" s="1"/>
  <c r="B439" i="42"/>
  <c r="H438" i="42"/>
  <c r="G431" i="26" s="1"/>
  <c r="F431" i="26" s="1"/>
  <c r="B438" i="42"/>
  <c r="H437" i="42"/>
  <c r="G430" i="26" s="1"/>
  <c r="F430" i="26" s="1"/>
  <c r="B437" i="42"/>
  <c r="H436" i="42"/>
  <c r="G429" i="26" s="1"/>
  <c r="F429" i="26" s="1"/>
  <c r="B436" i="42"/>
  <c r="H435" i="42"/>
  <c r="G428" i="26" s="1"/>
  <c r="F428" i="26" s="1"/>
  <c r="B435" i="42"/>
  <c r="H434" i="42"/>
  <c r="G427" i="26" s="1"/>
  <c r="F427" i="26" s="1"/>
  <c r="B434" i="42"/>
  <c r="H433" i="42"/>
  <c r="G426" i="26" s="1"/>
  <c r="F426" i="26" s="1"/>
  <c r="B433" i="42"/>
  <c r="H432" i="42"/>
  <c r="G425" i="26" s="1"/>
  <c r="F425" i="26" s="1"/>
  <c r="B432" i="42"/>
  <c r="H431" i="42"/>
  <c r="G424" i="26" s="1"/>
  <c r="F424" i="26" s="1"/>
  <c r="B431" i="42"/>
  <c r="H430" i="42"/>
  <c r="G423" i="26" s="1"/>
  <c r="F423" i="26" s="1"/>
  <c r="B430" i="42"/>
  <c r="H429" i="42"/>
  <c r="G422" i="26" s="1"/>
  <c r="F422" i="26" s="1"/>
  <c r="B429" i="42"/>
  <c r="H428" i="42"/>
  <c r="G421" i="26" s="1"/>
  <c r="F421" i="26" s="1"/>
  <c r="B428" i="42"/>
  <c r="H427" i="42"/>
  <c r="G420" i="26" s="1"/>
  <c r="F420" i="26" s="1"/>
  <c r="B427" i="42"/>
  <c r="H426" i="42"/>
  <c r="G419" i="26" s="1"/>
  <c r="F419" i="26" s="1"/>
  <c r="B426" i="42"/>
  <c r="H425" i="42"/>
  <c r="G418" i="26" s="1"/>
  <c r="F418" i="26" s="1"/>
  <c r="B425" i="42"/>
  <c r="H424" i="42"/>
  <c r="G417" i="26" s="1"/>
  <c r="F417" i="26" s="1"/>
  <c r="B424" i="42"/>
  <c r="H423" i="42"/>
  <c r="G416" i="26" s="1"/>
  <c r="F416" i="26" s="1"/>
  <c r="B423" i="42"/>
  <c r="H422" i="42"/>
  <c r="G415" i="26" s="1"/>
  <c r="F415" i="26" s="1"/>
  <c r="B422" i="42"/>
  <c r="H421" i="42"/>
  <c r="G414" i="26" s="1"/>
  <c r="F414" i="26" s="1"/>
  <c r="B421" i="42"/>
  <c r="H420" i="42"/>
  <c r="G413" i="26" s="1"/>
  <c r="F413" i="26" s="1"/>
  <c r="B420" i="42"/>
  <c r="H419" i="42"/>
  <c r="G412" i="26" s="1"/>
  <c r="F412" i="26" s="1"/>
  <c r="B419" i="42"/>
  <c r="H418" i="42"/>
  <c r="G411" i="26" s="1"/>
  <c r="F411" i="26" s="1"/>
  <c r="B418" i="42"/>
  <c r="H417" i="42"/>
  <c r="G410" i="26" s="1"/>
  <c r="F410" i="26" s="1"/>
  <c r="B417" i="42"/>
  <c r="H416" i="42"/>
  <c r="G409" i="26" s="1"/>
  <c r="F409" i="26" s="1"/>
  <c r="B416" i="42"/>
  <c r="H415" i="42"/>
  <c r="G408" i="26" s="1"/>
  <c r="F408" i="26" s="1"/>
  <c r="B415" i="42"/>
  <c r="H414" i="42"/>
  <c r="G407" i="26" s="1"/>
  <c r="F407" i="26" s="1"/>
  <c r="B414" i="42"/>
  <c r="H413" i="42"/>
  <c r="G406" i="26" s="1"/>
  <c r="F406" i="26" s="1"/>
  <c r="B413" i="42"/>
  <c r="H412" i="42"/>
  <c r="G405" i="26" s="1"/>
  <c r="F405" i="26" s="1"/>
  <c r="B412" i="42"/>
  <c r="H411" i="42"/>
  <c r="G404" i="26" s="1"/>
  <c r="F404" i="26" s="1"/>
  <c r="B411" i="42"/>
  <c r="H410" i="42"/>
  <c r="G403" i="26" s="1"/>
  <c r="F403" i="26" s="1"/>
  <c r="B410" i="42"/>
  <c r="H409" i="42"/>
  <c r="G402" i="26" s="1"/>
  <c r="F402" i="26" s="1"/>
  <c r="B409" i="42"/>
  <c r="H408" i="42"/>
  <c r="G401" i="26" s="1"/>
  <c r="F401" i="26" s="1"/>
  <c r="B408" i="42"/>
  <c r="H407" i="42"/>
  <c r="G400" i="26" s="1"/>
  <c r="F400" i="26" s="1"/>
  <c r="B407" i="42"/>
  <c r="H406" i="42"/>
  <c r="G399" i="26" s="1"/>
  <c r="F399" i="26" s="1"/>
  <c r="B406" i="42"/>
  <c r="H405" i="42"/>
  <c r="G398" i="26" s="1"/>
  <c r="F398" i="26" s="1"/>
  <c r="B405" i="42"/>
  <c r="H404" i="42"/>
  <c r="G397" i="26" s="1"/>
  <c r="F397" i="26" s="1"/>
  <c r="B404" i="42"/>
  <c r="H403" i="42"/>
  <c r="G396" i="26" s="1"/>
  <c r="F396" i="26" s="1"/>
  <c r="B403" i="42"/>
  <c r="H402" i="42"/>
  <c r="G395" i="26" s="1"/>
  <c r="F395" i="26" s="1"/>
  <c r="B402" i="42"/>
  <c r="H401" i="42"/>
  <c r="G394" i="26" s="1"/>
  <c r="F394" i="26" s="1"/>
  <c r="B401" i="42"/>
  <c r="H400" i="42"/>
  <c r="G393" i="26" s="1"/>
  <c r="F393" i="26" s="1"/>
  <c r="B400" i="42"/>
  <c r="H399" i="42"/>
  <c r="G392" i="26" s="1"/>
  <c r="F392" i="26" s="1"/>
  <c r="B399" i="42"/>
  <c r="H398" i="42"/>
  <c r="G391" i="26" s="1"/>
  <c r="F391" i="26" s="1"/>
  <c r="B398" i="42"/>
  <c r="H397" i="42"/>
  <c r="G390" i="26" s="1"/>
  <c r="F390" i="26" s="1"/>
  <c r="B397" i="42"/>
  <c r="H396" i="42"/>
  <c r="G389" i="26" s="1"/>
  <c r="F389" i="26" s="1"/>
  <c r="B396" i="42"/>
  <c r="H395" i="42"/>
  <c r="G388" i="26" s="1"/>
  <c r="F388" i="26" s="1"/>
  <c r="B395" i="42"/>
  <c r="H394" i="42"/>
  <c r="G387" i="26" s="1"/>
  <c r="F387" i="26" s="1"/>
  <c r="B394" i="42"/>
  <c r="H393" i="42"/>
  <c r="G386" i="26" s="1"/>
  <c r="F386" i="26" s="1"/>
  <c r="B393" i="42"/>
  <c r="H392" i="42"/>
  <c r="G385" i="26" s="1"/>
  <c r="F385" i="26" s="1"/>
  <c r="B392" i="42"/>
  <c r="H391" i="42"/>
  <c r="G384" i="26" s="1"/>
  <c r="F384" i="26" s="1"/>
  <c r="B391" i="42"/>
  <c r="H390" i="42"/>
  <c r="G383" i="26" s="1"/>
  <c r="F383" i="26" s="1"/>
  <c r="B390" i="42"/>
  <c r="H389" i="42"/>
  <c r="G382" i="26" s="1"/>
  <c r="F382" i="26" s="1"/>
  <c r="B389" i="42"/>
  <c r="H388" i="42"/>
  <c r="G381" i="26" s="1"/>
  <c r="F381" i="26" s="1"/>
  <c r="B388" i="42"/>
  <c r="H387" i="42"/>
  <c r="G380" i="26" s="1"/>
  <c r="F380" i="26" s="1"/>
  <c r="B387" i="42"/>
  <c r="H386" i="42"/>
  <c r="G379" i="26" s="1"/>
  <c r="F379" i="26" s="1"/>
  <c r="B386" i="42"/>
  <c r="H385" i="42"/>
  <c r="G378" i="26" s="1"/>
  <c r="F378" i="26" s="1"/>
  <c r="B385" i="42"/>
  <c r="H384" i="42"/>
  <c r="G377" i="26" s="1"/>
  <c r="F377" i="26" s="1"/>
  <c r="B384" i="42"/>
  <c r="H383" i="42"/>
  <c r="G376" i="26" s="1"/>
  <c r="F376" i="26" s="1"/>
  <c r="B383" i="42"/>
  <c r="H382" i="42"/>
  <c r="G375" i="26" s="1"/>
  <c r="F375" i="26" s="1"/>
  <c r="B382" i="42"/>
  <c r="H381" i="42"/>
  <c r="G374" i="26" s="1"/>
  <c r="F374" i="26" s="1"/>
  <c r="B381" i="42"/>
  <c r="H380" i="42"/>
  <c r="G373" i="26" s="1"/>
  <c r="F373" i="26" s="1"/>
  <c r="B380" i="42"/>
  <c r="H379" i="42"/>
  <c r="G372" i="26" s="1"/>
  <c r="F372" i="26" s="1"/>
  <c r="B379" i="42"/>
  <c r="H378" i="42"/>
  <c r="G371" i="26" s="1"/>
  <c r="F371" i="26" s="1"/>
  <c r="B378" i="42"/>
  <c r="H377" i="42"/>
  <c r="G370" i="26" s="1"/>
  <c r="F370" i="26" s="1"/>
  <c r="B377" i="42"/>
  <c r="H376" i="42"/>
  <c r="G369" i="26" s="1"/>
  <c r="F369" i="26" s="1"/>
  <c r="B376" i="42"/>
  <c r="H375" i="42"/>
  <c r="G368" i="26" s="1"/>
  <c r="F368" i="26" s="1"/>
  <c r="B375" i="42"/>
  <c r="H374" i="42"/>
  <c r="G367" i="26" s="1"/>
  <c r="F367" i="26" s="1"/>
  <c r="B374" i="42"/>
  <c r="H373" i="42"/>
  <c r="G366" i="26" s="1"/>
  <c r="F366" i="26" s="1"/>
  <c r="B373" i="42"/>
  <c r="H372" i="42"/>
  <c r="G365" i="26" s="1"/>
  <c r="F365" i="26" s="1"/>
  <c r="B372" i="42"/>
  <c r="H371" i="42"/>
  <c r="G364" i="26" s="1"/>
  <c r="F364" i="26" s="1"/>
  <c r="B371" i="42"/>
  <c r="H370" i="42"/>
  <c r="G363" i="26" s="1"/>
  <c r="F363" i="26" s="1"/>
  <c r="B370" i="42"/>
  <c r="H369" i="42"/>
  <c r="G362" i="26" s="1"/>
  <c r="F362" i="26" s="1"/>
  <c r="B369" i="42"/>
  <c r="H368" i="42"/>
  <c r="G361" i="26" s="1"/>
  <c r="F361" i="26" s="1"/>
  <c r="B368" i="42"/>
  <c r="H367" i="42"/>
  <c r="G360" i="26" s="1"/>
  <c r="F360" i="26" s="1"/>
  <c r="B367" i="42"/>
  <c r="H366" i="42"/>
  <c r="G359" i="26" s="1"/>
  <c r="F359" i="26" s="1"/>
  <c r="B366" i="42"/>
  <c r="H365" i="42"/>
  <c r="G358" i="26" s="1"/>
  <c r="F358" i="26" s="1"/>
  <c r="B365" i="42"/>
  <c r="H364" i="42"/>
  <c r="G357" i="26" s="1"/>
  <c r="F357" i="26" s="1"/>
  <c r="B364" i="42"/>
  <c r="H363" i="42"/>
  <c r="G356" i="26" s="1"/>
  <c r="F356" i="26" s="1"/>
  <c r="B363" i="42"/>
  <c r="H362" i="42"/>
  <c r="G355" i="26" s="1"/>
  <c r="F355" i="26" s="1"/>
  <c r="B362" i="42"/>
  <c r="H361" i="42"/>
  <c r="G354" i="26" s="1"/>
  <c r="F354" i="26" s="1"/>
  <c r="B361" i="42"/>
  <c r="H360" i="42"/>
  <c r="G353" i="26" s="1"/>
  <c r="F353" i="26" s="1"/>
  <c r="B360" i="42"/>
  <c r="H359" i="42"/>
  <c r="G352" i="26" s="1"/>
  <c r="F352" i="26" s="1"/>
  <c r="B359" i="42"/>
  <c r="H358" i="42"/>
  <c r="G351" i="26" s="1"/>
  <c r="F351" i="26" s="1"/>
  <c r="B358" i="42"/>
  <c r="H357" i="42"/>
  <c r="G350" i="26" s="1"/>
  <c r="F350" i="26" s="1"/>
  <c r="B357" i="42"/>
  <c r="H356" i="42"/>
  <c r="G349" i="26" s="1"/>
  <c r="F349" i="26" s="1"/>
  <c r="B356" i="42"/>
  <c r="H355" i="42"/>
  <c r="G348" i="26" s="1"/>
  <c r="F348" i="26" s="1"/>
  <c r="B355" i="42"/>
  <c r="H354" i="42"/>
  <c r="G347" i="26" s="1"/>
  <c r="F347" i="26" s="1"/>
  <c r="B354" i="42"/>
  <c r="H353" i="42"/>
  <c r="G346" i="26" s="1"/>
  <c r="F346" i="26" s="1"/>
  <c r="B353" i="42"/>
  <c r="H352" i="42"/>
  <c r="G345" i="26" s="1"/>
  <c r="F345" i="26" s="1"/>
  <c r="B352" i="42"/>
  <c r="H351" i="42"/>
  <c r="G344" i="26" s="1"/>
  <c r="F344" i="26" s="1"/>
  <c r="B351" i="42"/>
  <c r="H350" i="42"/>
  <c r="G343" i="26" s="1"/>
  <c r="F343" i="26" s="1"/>
  <c r="B350" i="42"/>
  <c r="H349" i="42"/>
  <c r="G342" i="26" s="1"/>
  <c r="F342" i="26" s="1"/>
  <c r="B349" i="42"/>
  <c r="H348" i="42"/>
  <c r="G341" i="26" s="1"/>
  <c r="F341" i="26" s="1"/>
  <c r="B348" i="42"/>
  <c r="H347" i="42"/>
  <c r="G340" i="26" s="1"/>
  <c r="F340" i="26" s="1"/>
  <c r="B347" i="42"/>
  <c r="H346" i="42"/>
  <c r="G339" i="26" s="1"/>
  <c r="F339" i="26" s="1"/>
  <c r="B346" i="42"/>
  <c r="H345" i="42"/>
  <c r="G338" i="26" s="1"/>
  <c r="F338" i="26" s="1"/>
  <c r="B345" i="42"/>
  <c r="H344" i="42"/>
  <c r="G337" i="26" s="1"/>
  <c r="F337" i="26" s="1"/>
  <c r="B344" i="42"/>
  <c r="H343" i="42"/>
  <c r="G336" i="26" s="1"/>
  <c r="F336" i="26" s="1"/>
  <c r="B343" i="42"/>
  <c r="H342" i="42"/>
  <c r="G335" i="26" s="1"/>
  <c r="F335" i="26" s="1"/>
  <c r="B342" i="42"/>
  <c r="H341" i="42"/>
  <c r="G334" i="26" s="1"/>
  <c r="F334" i="26" s="1"/>
  <c r="B341" i="42"/>
  <c r="H340" i="42"/>
  <c r="G333" i="26" s="1"/>
  <c r="F333" i="26" s="1"/>
  <c r="B340" i="42"/>
  <c r="H339" i="42"/>
  <c r="G332" i="26" s="1"/>
  <c r="F332" i="26" s="1"/>
  <c r="B339" i="42"/>
  <c r="H338" i="42"/>
  <c r="G331" i="26" s="1"/>
  <c r="F331" i="26" s="1"/>
  <c r="B338" i="42"/>
  <c r="H337" i="42"/>
  <c r="G330" i="26" s="1"/>
  <c r="F330" i="26" s="1"/>
  <c r="B337" i="42"/>
  <c r="H336" i="42"/>
  <c r="G329" i="26" s="1"/>
  <c r="F329" i="26" s="1"/>
  <c r="B336" i="42"/>
  <c r="H335" i="42"/>
  <c r="G328" i="26" s="1"/>
  <c r="F328" i="26" s="1"/>
  <c r="B335" i="42"/>
  <c r="H334" i="42"/>
  <c r="G327" i="26" s="1"/>
  <c r="F327" i="26" s="1"/>
  <c r="B334" i="42"/>
  <c r="H333" i="42"/>
  <c r="G326" i="26" s="1"/>
  <c r="F326" i="26" s="1"/>
  <c r="B333" i="42"/>
  <c r="H332" i="42"/>
  <c r="G325" i="26" s="1"/>
  <c r="F325" i="26" s="1"/>
  <c r="B332" i="42"/>
  <c r="H331" i="42"/>
  <c r="G324" i="26" s="1"/>
  <c r="F324" i="26" s="1"/>
  <c r="B331" i="42"/>
  <c r="H330" i="42"/>
  <c r="G323" i="26" s="1"/>
  <c r="F323" i="26" s="1"/>
  <c r="B330" i="42"/>
  <c r="H329" i="42"/>
  <c r="G322" i="26" s="1"/>
  <c r="F322" i="26" s="1"/>
  <c r="B329" i="42"/>
  <c r="H328" i="42"/>
  <c r="G321" i="26" s="1"/>
  <c r="F321" i="26" s="1"/>
  <c r="B328" i="42"/>
  <c r="H327" i="42"/>
  <c r="G320" i="26" s="1"/>
  <c r="F320" i="26" s="1"/>
  <c r="B327" i="42"/>
  <c r="H326" i="42"/>
  <c r="G319" i="26" s="1"/>
  <c r="F319" i="26" s="1"/>
  <c r="B326" i="42"/>
  <c r="H325" i="42"/>
  <c r="G318" i="26" s="1"/>
  <c r="F318" i="26" s="1"/>
  <c r="B325" i="42"/>
  <c r="H324" i="42"/>
  <c r="G317" i="26" s="1"/>
  <c r="F317" i="26" s="1"/>
  <c r="B324" i="42"/>
  <c r="H323" i="42"/>
  <c r="G316" i="26" s="1"/>
  <c r="F316" i="26" s="1"/>
  <c r="B323" i="42"/>
  <c r="H322" i="42"/>
  <c r="G315" i="26" s="1"/>
  <c r="F315" i="26" s="1"/>
  <c r="B322" i="42"/>
  <c r="H321" i="42"/>
  <c r="G314" i="26" s="1"/>
  <c r="F314" i="26" s="1"/>
  <c r="B321" i="42"/>
  <c r="H320" i="42"/>
  <c r="G313" i="26" s="1"/>
  <c r="F313" i="26" s="1"/>
  <c r="B320" i="42"/>
  <c r="H319" i="42"/>
  <c r="G312" i="26" s="1"/>
  <c r="F312" i="26" s="1"/>
  <c r="B319" i="42"/>
  <c r="H318" i="42"/>
  <c r="G311" i="26" s="1"/>
  <c r="F311" i="26" s="1"/>
  <c r="B318" i="42"/>
  <c r="H317" i="42"/>
  <c r="G310" i="26" s="1"/>
  <c r="F310" i="26" s="1"/>
  <c r="B317" i="42"/>
  <c r="H316" i="42"/>
  <c r="G309" i="26" s="1"/>
  <c r="F309" i="26" s="1"/>
  <c r="B316" i="42"/>
  <c r="H315" i="42"/>
  <c r="G308" i="26" s="1"/>
  <c r="F308" i="26" s="1"/>
  <c r="B315" i="42"/>
  <c r="H314" i="42"/>
  <c r="G307" i="26" s="1"/>
  <c r="F307" i="26" s="1"/>
  <c r="B314" i="42"/>
  <c r="H313" i="42"/>
  <c r="G306" i="26" s="1"/>
  <c r="F306" i="26" s="1"/>
  <c r="B313" i="42"/>
  <c r="H312" i="42"/>
  <c r="G305" i="26" s="1"/>
  <c r="F305" i="26" s="1"/>
  <c r="B312" i="42"/>
  <c r="H311" i="42"/>
  <c r="G304" i="26" s="1"/>
  <c r="F304" i="26" s="1"/>
  <c r="B311" i="42"/>
  <c r="H310" i="42"/>
  <c r="G303" i="26" s="1"/>
  <c r="F303" i="26" s="1"/>
  <c r="B310" i="42"/>
  <c r="H309" i="42"/>
  <c r="G302" i="26" s="1"/>
  <c r="F302" i="26" s="1"/>
  <c r="B309" i="42"/>
  <c r="H308" i="42"/>
  <c r="G301" i="26" s="1"/>
  <c r="F301" i="26" s="1"/>
  <c r="B308" i="42"/>
  <c r="H307" i="42"/>
  <c r="G300" i="26" s="1"/>
  <c r="F300" i="26" s="1"/>
  <c r="B307" i="42"/>
  <c r="H306" i="42"/>
  <c r="G299" i="26" s="1"/>
  <c r="F299" i="26" s="1"/>
  <c r="B306" i="42"/>
  <c r="H305" i="42"/>
  <c r="G298" i="26" s="1"/>
  <c r="F298" i="26" s="1"/>
  <c r="B305" i="42"/>
  <c r="H304" i="42"/>
  <c r="G297" i="26" s="1"/>
  <c r="F297" i="26" s="1"/>
  <c r="B304" i="42"/>
  <c r="H303" i="42"/>
  <c r="G296" i="26" s="1"/>
  <c r="F296" i="26" s="1"/>
  <c r="B303" i="42"/>
  <c r="H302" i="42"/>
  <c r="G295" i="26" s="1"/>
  <c r="F295" i="26" s="1"/>
  <c r="B302" i="42"/>
  <c r="H301" i="42"/>
  <c r="G294" i="26" s="1"/>
  <c r="F294" i="26" s="1"/>
  <c r="B301" i="42"/>
  <c r="H300" i="42"/>
  <c r="G293" i="26" s="1"/>
  <c r="F293" i="26" s="1"/>
  <c r="B300" i="42"/>
  <c r="H299" i="42"/>
  <c r="G292" i="26" s="1"/>
  <c r="F292" i="26" s="1"/>
  <c r="B299" i="42"/>
  <c r="H298" i="42"/>
  <c r="G291" i="26" s="1"/>
  <c r="F291" i="26" s="1"/>
  <c r="B298" i="42"/>
  <c r="H297" i="42"/>
  <c r="G290" i="26" s="1"/>
  <c r="F290" i="26" s="1"/>
  <c r="B297" i="42"/>
  <c r="H296" i="42"/>
  <c r="G289" i="26" s="1"/>
  <c r="F289" i="26" s="1"/>
  <c r="B296" i="42"/>
  <c r="H295" i="42"/>
  <c r="G288" i="26" s="1"/>
  <c r="F288" i="26" s="1"/>
  <c r="B295" i="42"/>
  <c r="H294" i="42"/>
  <c r="G287" i="26" s="1"/>
  <c r="F287" i="26" s="1"/>
  <c r="B294" i="42"/>
  <c r="H293" i="42"/>
  <c r="G286" i="26" s="1"/>
  <c r="F286" i="26" s="1"/>
  <c r="B293" i="42"/>
  <c r="H292" i="42"/>
  <c r="G285" i="26" s="1"/>
  <c r="F285" i="26" s="1"/>
  <c r="B292" i="42"/>
  <c r="H291" i="42"/>
  <c r="G284" i="26" s="1"/>
  <c r="F284" i="26" s="1"/>
  <c r="B291" i="42"/>
  <c r="H290" i="42"/>
  <c r="G283" i="26" s="1"/>
  <c r="F283" i="26" s="1"/>
  <c r="B290" i="42"/>
  <c r="H289" i="42"/>
  <c r="G282" i="26" s="1"/>
  <c r="F282" i="26" s="1"/>
  <c r="B289" i="42"/>
  <c r="H288" i="42"/>
  <c r="G281" i="26" s="1"/>
  <c r="F281" i="26" s="1"/>
  <c r="B288" i="42"/>
  <c r="H287" i="42"/>
  <c r="G280" i="26" s="1"/>
  <c r="F280" i="26" s="1"/>
  <c r="B287" i="42"/>
  <c r="H286" i="42"/>
  <c r="G279" i="26" s="1"/>
  <c r="F279" i="26" s="1"/>
  <c r="B286" i="42"/>
  <c r="H285" i="42"/>
  <c r="G278" i="26" s="1"/>
  <c r="F278" i="26" s="1"/>
  <c r="B285" i="42"/>
  <c r="H284" i="42"/>
  <c r="G277" i="26" s="1"/>
  <c r="F277" i="26" s="1"/>
  <c r="B284" i="42"/>
  <c r="H283" i="42"/>
  <c r="G276" i="26" s="1"/>
  <c r="F276" i="26" s="1"/>
  <c r="B283" i="42"/>
  <c r="H282" i="42"/>
  <c r="G275" i="26" s="1"/>
  <c r="F275" i="26" s="1"/>
  <c r="B282" i="42"/>
  <c r="H281" i="42"/>
  <c r="G274" i="26" s="1"/>
  <c r="F274" i="26" s="1"/>
  <c r="B281" i="42"/>
  <c r="H280" i="42"/>
  <c r="G273" i="26" s="1"/>
  <c r="F273" i="26" s="1"/>
  <c r="B280" i="42"/>
  <c r="H279" i="42"/>
  <c r="G272" i="26" s="1"/>
  <c r="F272" i="26" s="1"/>
  <c r="B279" i="42"/>
  <c r="H278" i="42"/>
  <c r="G271" i="26" s="1"/>
  <c r="F271" i="26" s="1"/>
  <c r="B278" i="42"/>
  <c r="H277" i="42"/>
  <c r="G270" i="26" s="1"/>
  <c r="F270" i="26" s="1"/>
  <c r="B277" i="42"/>
  <c r="H276" i="42"/>
  <c r="G269" i="26" s="1"/>
  <c r="F269" i="26" s="1"/>
  <c r="B276" i="42"/>
  <c r="H275" i="42"/>
  <c r="G268" i="26" s="1"/>
  <c r="F268" i="26" s="1"/>
  <c r="B275" i="42"/>
  <c r="H274" i="42"/>
  <c r="G267" i="26" s="1"/>
  <c r="F267" i="26" s="1"/>
  <c r="B274" i="42"/>
  <c r="H273" i="42"/>
  <c r="G266" i="26" s="1"/>
  <c r="F266" i="26" s="1"/>
  <c r="B273" i="42"/>
  <c r="H272" i="42"/>
  <c r="G265" i="26" s="1"/>
  <c r="F265" i="26" s="1"/>
  <c r="B272" i="42"/>
  <c r="H271" i="42"/>
  <c r="G264" i="26" s="1"/>
  <c r="F264" i="26" s="1"/>
  <c r="B271" i="42"/>
  <c r="H270" i="42"/>
  <c r="G263" i="26" s="1"/>
  <c r="F263" i="26" s="1"/>
  <c r="B270" i="42"/>
  <c r="H269" i="42"/>
  <c r="G262" i="26" s="1"/>
  <c r="F262" i="26" s="1"/>
  <c r="B269" i="42"/>
  <c r="H268" i="42"/>
  <c r="G261" i="26" s="1"/>
  <c r="F261" i="26" s="1"/>
  <c r="B268" i="42"/>
  <c r="H267" i="42"/>
  <c r="G260" i="26" s="1"/>
  <c r="F260" i="26" s="1"/>
  <c r="B267" i="42"/>
  <c r="H266" i="42"/>
  <c r="G259" i="26" s="1"/>
  <c r="F259" i="26" s="1"/>
  <c r="B266" i="42"/>
  <c r="H265" i="42"/>
  <c r="G258" i="26" s="1"/>
  <c r="F258" i="26" s="1"/>
  <c r="B265" i="42"/>
  <c r="H264" i="42"/>
  <c r="G257" i="26" s="1"/>
  <c r="F257" i="26" s="1"/>
  <c r="B264" i="42"/>
  <c r="H263" i="42"/>
  <c r="G256" i="26" s="1"/>
  <c r="F256" i="26" s="1"/>
  <c r="B263" i="42"/>
  <c r="H262" i="42"/>
  <c r="G255" i="26" s="1"/>
  <c r="F255" i="26" s="1"/>
  <c r="B262" i="42"/>
  <c r="H261" i="42"/>
  <c r="G254" i="26" s="1"/>
  <c r="F254" i="26" s="1"/>
  <c r="B261" i="42"/>
  <c r="H260" i="42"/>
  <c r="G253" i="26" s="1"/>
  <c r="F253" i="26" s="1"/>
  <c r="B260" i="42"/>
  <c r="H259" i="42"/>
  <c r="G252" i="26" s="1"/>
  <c r="F252" i="26" s="1"/>
  <c r="B259" i="42"/>
  <c r="H258" i="42"/>
  <c r="G251" i="26" s="1"/>
  <c r="F251" i="26" s="1"/>
  <c r="B258" i="42"/>
  <c r="H257" i="42"/>
  <c r="G250" i="26" s="1"/>
  <c r="F250" i="26" s="1"/>
  <c r="B257" i="42"/>
  <c r="H256" i="42"/>
  <c r="G249" i="26" s="1"/>
  <c r="F249" i="26" s="1"/>
  <c r="B256" i="42"/>
  <c r="H255" i="42"/>
  <c r="G248" i="26" s="1"/>
  <c r="F248" i="26" s="1"/>
  <c r="B255" i="42"/>
  <c r="H254" i="42"/>
  <c r="G247" i="26" s="1"/>
  <c r="F247" i="26" s="1"/>
  <c r="B254" i="42"/>
  <c r="H253" i="42"/>
  <c r="G246" i="26" s="1"/>
  <c r="F246" i="26" s="1"/>
  <c r="B253" i="42"/>
  <c r="H252" i="42"/>
  <c r="G245" i="26" s="1"/>
  <c r="F245" i="26" s="1"/>
  <c r="B252" i="42"/>
  <c r="H251" i="42"/>
  <c r="G244" i="26" s="1"/>
  <c r="F244" i="26" s="1"/>
  <c r="B251" i="42"/>
  <c r="H250" i="42"/>
  <c r="G243" i="26" s="1"/>
  <c r="F243" i="26" s="1"/>
  <c r="B250" i="42"/>
  <c r="H249" i="42"/>
  <c r="G242" i="26" s="1"/>
  <c r="F242" i="26" s="1"/>
  <c r="B249" i="42"/>
  <c r="H248" i="42"/>
  <c r="G241" i="26" s="1"/>
  <c r="F241" i="26" s="1"/>
  <c r="B248" i="42"/>
  <c r="H247" i="42"/>
  <c r="G240" i="26" s="1"/>
  <c r="F240" i="26" s="1"/>
  <c r="B247" i="42"/>
  <c r="H246" i="42"/>
  <c r="G239" i="26" s="1"/>
  <c r="F239" i="26" s="1"/>
  <c r="B246" i="42"/>
  <c r="H245" i="42"/>
  <c r="G238" i="26" s="1"/>
  <c r="F238" i="26" s="1"/>
  <c r="B245" i="42"/>
  <c r="H244" i="42"/>
  <c r="G237" i="26" s="1"/>
  <c r="F237" i="26" s="1"/>
  <c r="B244" i="42"/>
  <c r="H243" i="42"/>
  <c r="G236" i="26" s="1"/>
  <c r="F236" i="26" s="1"/>
  <c r="B243" i="42"/>
  <c r="H242" i="42"/>
  <c r="G235" i="26" s="1"/>
  <c r="F235" i="26" s="1"/>
  <c r="B242" i="42"/>
  <c r="H241" i="42"/>
  <c r="G234" i="26" s="1"/>
  <c r="F234" i="26" s="1"/>
  <c r="B241" i="42"/>
  <c r="H240" i="42"/>
  <c r="G233" i="26" s="1"/>
  <c r="F233" i="26" s="1"/>
  <c r="B240" i="42"/>
  <c r="H239" i="42"/>
  <c r="G232" i="26" s="1"/>
  <c r="F232" i="26" s="1"/>
  <c r="B239" i="42"/>
  <c r="H238" i="42"/>
  <c r="G231" i="26" s="1"/>
  <c r="F231" i="26" s="1"/>
  <c r="B238" i="42"/>
  <c r="H237" i="42"/>
  <c r="G230" i="26" s="1"/>
  <c r="F230" i="26" s="1"/>
  <c r="B237" i="42"/>
  <c r="H236" i="42"/>
  <c r="G229" i="26" s="1"/>
  <c r="F229" i="26" s="1"/>
  <c r="B236" i="42"/>
  <c r="H235" i="42"/>
  <c r="G228" i="26" s="1"/>
  <c r="F228" i="26" s="1"/>
  <c r="B235" i="42"/>
  <c r="H234" i="42"/>
  <c r="G227" i="26" s="1"/>
  <c r="F227" i="26" s="1"/>
  <c r="B234" i="42"/>
  <c r="H233" i="42"/>
  <c r="G226" i="26" s="1"/>
  <c r="F226" i="26" s="1"/>
  <c r="B233" i="42"/>
  <c r="H232" i="42"/>
  <c r="G225" i="26" s="1"/>
  <c r="F225" i="26" s="1"/>
  <c r="B232" i="42"/>
  <c r="H231" i="42"/>
  <c r="G224" i="26" s="1"/>
  <c r="F224" i="26" s="1"/>
  <c r="B231" i="42"/>
  <c r="H230" i="42"/>
  <c r="G223" i="26" s="1"/>
  <c r="F223" i="26" s="1"/>
  <c r="B230" i="42"/>
  <c r="H229" i="42"/>
  <c r="G222" i="26" s="1"/>
  <c r="F222" i="26" s="1"/>
  <c r="B229" i="42"/>
  <c r="H228" i="42"/>
  <c r="G221" i="26" s="1"/>
  <c r="F221" i="26" s="1"/>
  <c r="B228" i="42"/>
  <c r="H227" i="42"/>
  <c r="G220" i="26" s="1"/>
  <c r="F220" i="26" s="1"/>
  <c r="B227" i="42"/>
  <c r="H226" i="42"/>
  <c r="G219" i="26" s="1"/>
  <c r="F219" i="26" s="1"/>
  <c r="B226" i="42"/>
  <c r="H225" i="42"/>
  <c r="G218" i="26" s="1"/>
  <c r="F218" i="26" s="1"/>
  <c r="B225" i="42"/>
  <c r="H224" i="42"/>
  <c r="G217" i="26" s="1"/>
  <c r="F217" i="26" s="1"/>
  <c r="B224" i="42"/>
  <c r="H223" i="42"/>
  <c r="G216" i="26" s="1"/>
  <c r="F216" i="26" s="1"/>
  <c r="B223" i="42"/>
  <c r="H222" i="42"/>
  <c r="G215" i="26" s="1"/>
  <c r="F215" i="26" s="1"/>
  <c r="B222" i="42"/>
  <c r="H221" i="42"/>
  <c r="G214" i="26" s="1"/>
  <c r="F214" i="26" s="1"/>
  <c r="B221" i="42"/>
  <c r="H220" i="42"/>
  <c r="G213" i="26" s="1"/>
  <c r="F213" i="26" s="1"/>
  <c r="B220" i="42"/>
  <c r="H219" i="42"/>
  <c r="G212" i="26" s="1"/>
  <c r="F212" i="26" s="1"/>
  <c r="B219" i="42"/>
  <c r="H218" i="42"/>
  <c r="G211" i="26" s="1"/>
  <c r="F211" i="26" s="1"/>
  <c r="B218" i="42"/>
  <c r="H217" i="42"/>
  <c r="G210" i="26" s="1"/>
  <c r="F210" i="26" s="1"/>
  <c r="B217" i="42"/>
  <c r="H216" i="42"/>
  <c r="G209" i="26" s="1"/>
  <c r="F209" i="26" s="1"/>
  <c r="B216" i="42"/>
  <c r="H215" i="42"/>
  <c r="G208" i="26" s="1"/>
  <c r="F208" i="26" s="1"/>
  <c r="B215" i="42"/>
  <c r="H214" i="42"/>
  <c r="G207" i="26" s="1"/>
  <c r="F207" i="26" s="1"/>
  <c r="B214" i="42"/>
  <c r="H213" i="42"/>
  <c r="G206" i="26" s="1"/>
  <c r="F206" i="26" s="1"/>
  <c r="B213" i="42"/>
  <c r="H212" i="42"/>
  <c r="G205" i="26" s="1"/>
  <c r="F205" i="26" s="1"/>
  <c r="B212" i="42"/>
  <c r="H211" i="42"/>
  <c r="G204" i="26" s="1"/>
  <c r="F204" i="26" s="1"/>
  <c r="B211" i="42"/>
  <c r="H210" i="42"/>
  <c r="G203" i="26" s="1"/>
  <c r="F203" i="26" s="1"/>
  <c r="B210" i="42"/>
  <c r="H209" i="42"/>
  <c r="G202" i="26" s="1"/>
  <c r="F202" i="26" s="1"/>
  <c r="B209" i="42"/>
  <c r="H208" i="42"/>
  <c r="G201" i="26" s="1"/>
  <c r="F201" i="26" s="1"/>
  <c r="B208" i="42"/>
  <c r="H207" i="42"/>
  <c r="G200" i="26" s="1"/>
  <c r="F200" i="26" s="1"/>
  <c r="B207" i="42"/>
  <c r="H206" i="42"/>
  <c r="G199" i="26" s="1"/>
  <c r="F199" i="26" s="1"/>
  <c r="B206" i="42"/>
  <c r="H205" i="42"/>
  <c r="G198" i="26" s="1"/>
  <c r="F198" i="26" s="1"/>
  <c r="B205" i="42"/>
  <c r="H204" i="42"/>
  <c r="G197" i="26" s="1"/>
  <c r="F197" i="26" s="1"/>
  <c r="B204" i="42"/>
  <c r="H203" i="42"/>
  <c r="G196" i="26" s="1"/>
  <c r="F196" i="26" s="1"/>
  <c r="B203" i="42"/>
  <c r="H202" i="42"/>
  <c r="G195" i="26" s="1"/>
  <c r="F195" i="26" s="1"/>
  <c r="B202" i="42"/>
  <c r="H201" i="42"/>
  <c r="G194" i="26" s="1"/>
  <c r="F194" i="26" s="1"/>
  <c r="B201" i="42"/>
  <c r="H200" i="42"/>
  <c r="G193" i="26" s="1"/>
  <c r="F193" i="26" s="1"/>
  <c r="B200" i="42"/>
  <c r="H199" i="42"/>
  <c r="G192" i="26" s="1"/>
  <c r="F192" i="26" s="1"/>
  <c r="B199" i="42"/>
  <c r="H198" i="42"/>
  <c r="G191" i="26" s="1"/>
  <c r="F191" i="26" s="1"/>
  <c r="B198" i="42"/>
  <c r="H197" i="42"/>
  <c r="G190" i="26" s="1"/>
  <c r="F190" i="26" s="1"/>
  <c r="B197" i="42"/>
  <c r="H196" i="42"/>
  <c r="G189" i="26" s="1"/>
  <c r="F189" i="26" s="1"/>
  <c r="B196" i="42"/>
  <c r="H195" i="42"/>
  <c r="G188" i="26" s="1"/>
  <c r="F188" i="26" s="1"/>
  <c r="B195" i="42"/>
  <c r="H194" i="42"/>
  <c r="G187" i="26" s="1"/>
  <c r="F187" i="26" s="1"/>
  <c r="B194" i="42"/>
  <c r="H193" i="42"/>
  <c r="G186" i="26" s="1"/>
  <c r="F186" i="26" s="1"/>
  <c r="B193" i="42"/>
  <c r="H192" i="42"/>
  <c r="G185" i="26" s="1"/>
  <c r="F185" i="26" s="1"/>
  <c r="B192" i="42"/>
  <c r="H191" i="42"/>
  <c r="G184" i="26" s="1"/>
  <c r="F184" i="26" s="1"/>
  <c r="B191" i="42"/>
  <c r="H190" i="42"/>
  <c r="G183" i="26" s="1"/>
  <c r="F183" i="26" s="1"/>
  <c r="B190" i="42"/>
  <c r="H189" i="42"/>
  <c r="G182" i="26" s="1"/>
  <c r="F182" i="26" s="1"/>
  <c r="B189" i="42"/>
  <c r="H188" i="42"/>
  <c r="G181" i="26" s="1"/>
  <c r="F181" i="26" s="1"/>
  <c r="B188" i="42"/>
  <c r="H187" i="42"/>
  <c r="G180" i="26" s="1"/>
  <c r="F180" i="26" s="1"/>
  <c r="B187" i="42"/>
  <c r="H186" i="42"/>
  <c r="G179" i="26" s="1"/>
  <c r="F179" i="26" s="1"/>
  <c r="B186" i="42"/>
  <c r="H185" i="42"/>
  <c r="G178" i="26" s="1"/>
  <c r="F178" i="26" s="1"/>
  <c r="B185" i="42"/>
  <c r="H184" i="42"/>
  <c r="G177" i="26" s="1"/>
  <c r="F177" i="26" s="1"/>
  <c r="B184" i="42"/>
  <c r="H183" i="42"/>
  <c r="G176" i="26" s="1"/>
  <c r="F176" i="26" s="1"/>
  <c r="B183" i="42"/>
  <c r="H182" i="42"/>
  <c r="G175" i="26" s="1"/>
  <c r="F175" i="26" s="1"/>
  <c r="B182" i="42"/>
  <c r="H181" i="42"/>
  <c r="G174" i="26" s="1"/>
  <c r="F174" i="26" s="1"/>
  <c r="B181" i="42"/>
  <c r="H180" i="42"/>
  <c r="G173" i="26" s="1"/>
  <c r="F173" i="26" s="1"/>
  <c r="B180" i="42"/>
  <c r="H179" i="42"/>
  <c r="G172" i="26" s="1"/>
  <c r="F172" i="26" s="1"/>
  <c r="B179" i="42"/>
  <c r="H178" i="42"/>
  <c r="G171" i="26" s="1"/>
  <c r="F171" i="26" s="1"/>
  <c r="B178" i="42"/>
  <c r="H177" i="42"/>
  <c r="G170" i="26" s="1"/>
  <c r="F170" i="26" s="1"/>
  <c r="B177" i="42"/>
  <c r="H176" i="42"/>
  <c r="G169" i="26" s="1"/>
  <c r="F169" i="26" s="1"/>
  <c r="B176" i="42"/>
  <c r="H175" i="42"/>
  <c r="G168" i="26" s="1"/>
  <c r="F168" i="26" s="1"/>
  <c r="B175" i="42"/>
  <c r="H174" i="42"/>
  <c r="G167" i="26" s="1"/>
  <c r="F167" i="26" s="1"/>
  <c r="B174" i="42"/>
  <c r="H173" i="42"/>
  <c r="G166" i="26" s="1"/>
  <c r="F166" i="26" s="1"/>
  <c r="B173" i="42"/>
  <c r="H172" i="42"/>
  <c r="G165" i="26" s="1"/>
  <c r="F165" i="26" s="1"/>
  <c r="B172" i="42"/>
  <c r="H171" i="42"/>
  <c r="G164" i="26" s="1"/>
  <c r="F164" i="26" s="1"/>
  <c r="B171" i="42"/>
  <c r="H170" i="42"/>
  <c r="B170" i="42"/>
  <c r="H169" i="42"/>
  <c r="G162" i="26" s="1"/>
  <c r="F162" i="26" s="1"/>
  <c r="B169" i="42"/>
  <c r="H168" i="42"/>
  <c r="G161" i="26" s="1"/>
  <c r="F161" i="26" s="1"/>
  <c r="B168" i="42"/>
  <c r="H167" i="42"/>
  <c r="G160" i="26" s="1"/>
  <c r="F160" i="26" s="1"/>
  <c r="B167" i="42"/>
  <c r="H166" i="42"/>
  <c r="G159" i="26" s="1"/>
  <c r="F159" i="26" s="1"/>
  <c r="B166" i="42"/>
  <c r="H165" i="42"/>
  <c r="G158" i="26" s="1"/>
  <c r="F158" i="26" s="1"/>
  <c r="B165" i="42"/>
  <c r="H164" i="42"/>
  <c r="G157" i="26" s="1"/>
  <c r="F157" i="26" s="1"/>
  <c r="B164" i="42"/>
  <c r="H163" i="42"/>
  <c r="G156" i="26" s="1"/>
  <c r="F156" i="26" s="1"/>
  <c r="B163" i="42"/>
  <c r="H162" i="42"/>
  <c r="G155" i="26" s="1"/>
  <c r="F155" i="26" s="1"/>
  <c r="B162" i="42"/>
  <c r="H161" i="42"/>
  <c r="G154" i="26" s="1"/>
  <c r="F154" i="26" s="1"/>
  <c r="B161" i="42"/>
  <c r="H160" i="42"/>
  <c r="G153" i="26" s="1"/>
  <c r="F153" i="26" s="1"/>
  <c r="B160" i="42"/>
  <c r="H159" i="42"/>
  <c r="G152" i="26" s="1"/>
  <c r="F152" i="26" s="1"/>
  <c r="B159" i="42"/>
  <c r="H158" i="42"/>
  <c r="G151" i="26" s="1"/>
  <c r="F151" i="26" s="1"/>
  <c r="B158" i="42"/>
  <c r="H157" i="42"/>
  <c r="G150" i="26" s="1"/>
  <c r="F150" i="26" s="1"/>
  <c r="B157" i="42"/>
  <c r="H156" i="42"/>
  <c r="G149" i="26" s="1"/>
  <c r="F149" i="26" s="1"/>
  <c r="B156" i="42"/>
  <c r="H155" i="42"/>
  <c r="G148" i="26" s="1"/>
  <c r="F148" i="26" s="1"/>
  <c r="B155" i="42"/>
  <c r="H154" i="42"/>
  <c r="G147" i="26" s="1"/>
  <c r="F147" i="26" s="1"/>
  <c r="B154" i="42"/>
  <c r="H153" i="42"/>
  <c r="G146" i="26" s="1"/>
  <c r="F146" i="26" s="1"/>
  <c r="B153" i="42"/>
  <c r="H152" i="42"/>
  <c r="B152" i="42"/>
  <c r="H151" i="42"/>
  <c r="G144" i="26" s="1"/>
  <c r="F144" i="26" s="1"/>
  <c r="B151" i="42"/>
  <c r="H150" i="42"/>
  <c r="G143" i="26" s="1"/>
  <c r="F143" i="26" s="1"/>
  <c r="B150" i="42"/>
  <c r="H149" i="42"/>
  <c r="G142" i="26" s="1"/>
  <c r="F142" i="26" s="1"/>
  <c r="B149" i="42"/>
  <c r="H148" i="42"/>
  <c r="G141" i="26" s="1"/>
  <c r="F141" i="26" s="1"/>
  <c r="B148" i="42"/>
  <c r="H147" i="42"/>
  <c r="G140" i="26" s="1"/>
  <c r="F140" i="26" s="1"/>
  <c r="B147" i="42"/>
  <c r="H146" i="42"/>
  <c r="G139" i="26" s="1"/>
  <c r="F139" i="26" s="1"/>
  <c r="B146" i="42"/>
  <c r="H145" i="42"/>
  <c r="G138" i="26" s="1"/>
  <c r="F138" i="26" s="1"/>
  <c r="B145" i="42"/>
  <c r="H144" i="42"/>
  <c r="G137" i="26" s="1"/>
  <c r="F137" i="26" s="1"/>
  <c r="B144" i="42"/>
  <c r="H143" i="42"/>
  <c r="G136" i="26" s="1"/>
  <c r="F136" i="26" s="1"/>
  <c r="B143" i="42"/>
  <c r="H142" i="42"/>
  <c r="G135" i="26" s="1"/>
  <c r="F135" i="26" s="1"/>
  <c r="B142" i="42"/>
  <c r="H141" i="42"/>
  <c r="G134" i="26" s="1"/>
  <c r="F134" i="26" s="1"/>
  <c r="B141" i="42"/>
  <c r="H140" i="42"/>
  <c r="G133" i="26" s="1"/>
  <c r="F133" i="26" s="1"/>
  <c r="B140" i="42"/>
  <c r="H139" i="42"/>
  <c r="G132" i="26" s="1"/>
  <c r="F132" i="26" s="1"/>
  <c r="B139" i="42"/>
  <c r="H138" i="42"/>
  <c r="G131" i="26" s="1"/>
  <c r="F131" i="26" s="1"/>
  <c r="B138" i="42"/>
  <c r="H137" i="42"/>
  <c r="G130" i="26" s="1"/>
  <c r="F130" i="26" s="1"/>
  <c r="B137" i="42"/>
  <c r="H136" i="42"/>
  <c r="G129" i="26" s="1"/>
  <c r="F129" i="26" s="1"/>
  <c r="B136" i="42"/>
  <c r="H135" i="42"/>
  <c r="G128" i="26" s="1"/>
  <c r="F128" i="26" s="1"/>
  <c r="B135" i="42"/>
  <c r="H134" i="42"/>
  <c r="G127" i="26" s="1"/>
  <c r="F127" i="26" s="1"/>
  <c r="B134" i="42"/>
  <c r="H133" i="42"/>
  <c r="G126" i="26" s="1"/>
  <c r="F126" i="26" s="1"/>
  <c r="B133" i="42"/>
  <c r="H132" i="42"/>
  <c r="G125" i="26" s="1"/>
  <c r="F125" i="26" s="1"/>
  <c r="B132" i="42"/>
  <c r="H131" i="42"/>
  <c r="G124" i="26" s="1"/>
  <c r="F124" i="26" s="1"/>
  <c r="B131" i="42"/>
  <c r="H130" i="42"/>
  <c r="G123" i="26" s="1"/>
  <c r="F123" i="26" s="1"/>
  <c r="B130" i="42"/>
  <c r="H129" i="42"/>
  <c r="G122" i="26" s="1"/>
  <c r="F122" i="26" s="1"/>
  <c r="B129" i="42"/>
  <c r="H128" i="42"/>
  <c r="G121" i="26" s="1"/>
  <c r="F121" i="26" s="1"/>
  <c r="B128" i="42"/>
  <c r="H127" i="42"/>
  <c r="G120" i="26" s="1"/>
  <c r="F120" i="26" s="1"/>
  <c r="B127" i="42"/>
  <c r="H126" i="42"/>
  <c r="G119" i="26" s="1"/>
  <c r="F119" i="26" s="1"/>
  <c r="B126" i="42"/>
  <c r="H125" i="42"/>
  <c r="G118" i="26" s="1"/>
  <c r="F118" i="26" s="1"/>
  <c r="B125" i="42"/>
  <c r="H124" i="42"/>
  <c r="G117" i="26" s="1"/>
  <c r="F117" i="26" s="1"/>
  <c r="B124" i="42"/>
  <c r="H123" i="42"/>
  <c r="G116" i="26" s="1"/>
  <c r="F116" i="26" s="1"/>
  <c r="B123" i="42"/>
  <c r="H122" i="42"/>
  <c r="G115" i="26" s="1"/>
  <c r="F115" i="26" s="1"/>
  <c r="B122" i="42"/>
  <c r="H121" i="42"/>
  <c r="G114" i="26" s="1"/>
  <c r="F114" i="26" s="1"/>
  <c r="B121" i="42"/>
  <c r="H120" i="42"/>
  <c r="G113" i="26" s="1"/>
  <c r="F113" i="26" s="1"/>
  <c r="B120" i="42"/>
  <c r="H119" i="42"/>
  <c r="G112" i="26" s="1"/>
  <c r="F112" i="26" s="1"/>
  <c r="B119" i="42"/>
  <c r="H118" i="42"/>
  <c r="G111" i="26" s="1"/>
  <c r="F111" i="26" s="1"/>
  <c r="B118" i="42"/>
  <c r="H117" i="42"/>
  <c r="G110" i="26" s="1"/>
  <c r="F110" i="26" s="1"/>
  <c r="B117" i="42"/>
  <c r="H116" i="42"/>
  <c r="G109" i="26" s="1"/>
  <c r="F109" i="26" s="1"/>
  <c r="B116" i="42"/>
  <c r="H115" i="42"/>
  <c r="G108" i="26" s="1"/>
  <c r="F108" i="26" s="1"/>
  <c r="B115" i="42"/>
  <c r="H114" i="42"/>
  <c r="G107" i="26" s="1"/>
  <c r="F107" i="26" s="1"/>
  <c r="B114" i="42"/>
  <c r="H113" i="42"/>
  <c r="G106" i="26" s="1"/>
  <c r="F106" i="26" s="1"/>
  <c r="B113" i="42"/>
  <c r="H112" i="42"/>
  <c r="G105" i="26" s="1"/>
  <c r="F105" i="26" s="1"/>
  <c r="B112" i="42"/>
  <c r="H111" i="42"/>
  <c r="G104" i="26" s="1"/>
  <c r="F104" i="26" s="1"/>
  <c r="B111" i="42"/>
  <c r="H110" i="42"/>
  <c r="G103" i="26" s="1"/>
  <c r="F103" i="26" s="1"/>
  <c r="B110" i="42"/>
  <c r="H109" i="42"/>
  <c r="G102" i="26" s="1"/>
  <c r="F102" i="26" s="1"/>
  <c r="B109" i="42"/>
  <c r="H108" i="42"/>
  <c r="G101" i="26" s="1"/>
  <c r="F101" i="26" s="1"/>
  <c r="B108" i="42"/>
  <c r="H107" i="42"/>
  <c r="G100" i="26" s="1"/>
  <c r="F100" i="26" s="1"/>
  <c r="B107" i="42"/>
  <c r="H106" i="42"/>
  <c r="G99" i="26" s="1"/>
  <c r="F99" i="26" s="1"/>
  <c r="B106" i="42"/>
  <c r="H105" i="42"/>
  <c r="G98" i="26" s="1"/>
  <c r="F98" i="26" s="1"/>
  <c r="B105" i="42"/>
  <c r="H104" i="42"/>
  <c r="G97" i="26" s="1"/>
  <c r="F97" i="26" s="1"/>
  <c r="B104" i="42"/>
  <c r="H103" i="42"/>
  <c r="G96" i="26" s="1"/>
  <c r="F96" i="26" s="1"/>
  <c r="B103" i="42"/>
  <c r="H102" i="42"/>
  <c r="G95" i="26" s="1"/>
  <c r="F95" i="26" s="1"/>
  <c r="B102" i="42"/>
  <c r="H101" i="42"/>
  <c r="G94" i="26" s="1"/>
  <c r="F94" i="26" s="1"/>
  <c r="B101" i="42"/>
  <c r="H100" i="42"/>
  <c r="G93" i="26" s="1"/>
  <c r="F93" i="26" s="1"/>
  <c r="B100" i="42"/>
  <c r="H99" i="42"/>
  <c r="G92" i="26" s="1"/>
  <c r="F92" i="26" s="1"/>
  <c r="B99" i="42"/>
  <c r="H98" i="42"/>
  <c r="G91" i="26" s="1"/>
  <c r="F91" i="26" s="1"/>
  <c r="B98" i="42"/>
  <c r="H97" i="42"/>
  <c r="G90" i="26" s="1"/>
  <c r="F90" i="26" s="1"/>
  <c r="B97" i="42"/>
  <c r="H96" i="42"/>
  <c r="G89" i="26" s="1"/>
  <c r="F89" i="26" s="1"/>
  <c r="B96" i="42"/>
  <c r="H95" i="42"/>
  <c r="G88" i="26" s="1"/>
  <c r="F88" i="26" s="1"/>
  <c r="B95" i="42"/>
  <c r="H94" i="42"/>
  <c r="G87" i="26" s="1"/>
  <c r="F87" i="26" s="1"/>
  <c r="B94" i="42"/>
  <c r="H93" i="42"/>
  <c r="G86" i="26" s="1"/>
  <c r="F86" i="26" s="1"/>
  <c r="B93" i="42"/>
  <c r="H92" i="42"/>
  <c r="G85" i="26" s="1"/>
  <c r="F85" i="26" s="1"/>
  <c r="B92" i="42"/>
  <c r="H91" i="42"/>
  <c r="G84" i="26" s="1"/>
  <c r="F84" i="26" s="1"/>
  <c r="B91" i="42"/>
  <c r="H90" i="42"/>
  <c r="G83" i="26" s="1"/>
  <c r="F83" i="26" s="1"/>
  <c r="B90" i="42"/>
  <c r="H89" i="42"/>
  <c r="G82" i="26" s="1"/>
  <c r="F82" i="26" s="1"/>
  <c r="B89" i="42"/>
  <c r="H88" i="42"/>
  <c r="G81" i="26" s="1"/>
  <c r="F81" i="26" s="1"/>
  <c r="B88" i="42"/>
  <c r="H87" i="42"/>
  <c r="G80" i="26" s="1"/>
  <c r="F80" i="26" s="1"/>
  <c r="B87" i="42"/>
  <c r="H86" i="42"/>
  <c r="G79" i="26" s="1"/>
  <c r="F79" i="26" s="1"/>
  <c r="B86" i="42"/>
  <c r="H85" i="42"/>
  <c r="G78" i="26" s="1"/>
  <c r="F78" i="26" s="1"/>
  <c r="B85" i="42"/>
  <c r="H84" i="42"/>
  <c r="G77" i="26" s="1"/>
  <c r="F77" i="26" s="1"/>
  <c r="B84" i="42"/>
  <c r="H83" i="42"/>
  <c r="G76" i="26" s="1"/>
  <c r="F76" i="26" s="1"/>
  <c r="B83" i="42"/>
  <c r="H82" i="42"/>
  <c r="G75" i="26" s="1"/>
  <c r="F75" i="26" s="1"/>
  <c r="B82" i="42"/>
  <c r="H81" i="42"/>
  <c r="G74" i="26" s="1"/>
  <c r="F74" i="26" s="1"/>
  <c r="B81" i="42"/>
  <c r="H80" i="42"/>
  <c r="G73" i="26" s="1"/>
  <c r="F73" i="26" s="1"/>
  <c r="B80" i="42"/>
  <c r="H79" i="42"/>
  <c r="G72" i="26" s="1"/>
  <c r="F72" i="26" s="1"/>
  <c r="B79" i="42"/>
  <c r="H78" i="42"/>
  <c r="G71" i="26" s="1"/>
  <c r="F71" i="26" s="1"/>
  <c r="B78" i="42"/>
  <c r="H77" i="42"/>
  <c r="G70" i="26" s="1"/>
  <c r="F70" i="26" s="1"/>
  <c r="B77" i="42"/>
  <c r="H76" i="42"/>
  <c r="G69" i="26" s="1"/>
  <c r="F69" i="26" s="1"/>
  <c r="B76" i="42"/>
  <c r="H75" i="42"/>
  <c r="G68" i="26" s="1"/>
  <c r="F68" i="26" s="1"/>
  <c r="B75" i="42"/>
  <c r="H74" i="42"/>
  <c r="G67" i="26" s="1"/>
  <c r="F67" i="26" s="1"/>
  <c r="B74" i="42"/>
  <c r="H73" i="42"/>
  <c r="G66" i="26" s="1"/>
  <c r="F66" i="26" s="1"/>
  <c r="B73" i="42"/>
  <c r="H72" i="42"/>
  <c r="G65" i="26" s="1"/>
  <c r="F65" i="26" s="1"/>
  <c r="B72" i="42"/>
  <c r="H71" i="42"/>
  <c r="G64" i="26" s="1"/>
  <c r="F64" i="26" s="1"/>
  <c r="B71" i="42"/>
  <c r="H70" i="42"/>
  <c r="G63" i="26" s="1"/>
  <c r="F63" i="26" s="1"/>
  <c r="B70" i="42"/>
  <c r="H69" i="42"/>
  <c r="G62" i="26" s="1"/>
  <c r="F62" i="26" s="1"/>
  <c r="B69" i="42"/>
  <c r="H68" i="42"/>
  <c r="G61" i="26" s="1"/>
  <c r="F61" i="26" s="1"/>
  <c r="B68" i="42"/>
  <c r="H67" i="42"/>
  <c r="G60" i="26" s="1"/>
  <c r="F60" i="26" s="1"/>
  <c r="B67" i="42"/>
  <c r="H66" i="42"/>
  <c r="G59" i="26" s="1"/>
  <c r="F59" i="26" s="1"/>
  <c r="B66" i="42"/>
  <c r="H65" i="42"/>
  <c r="G58" i="26" s="1"/>
  <c r="F58" i="26" s="1"/>
  <c r="B65" i="42"/>
  <c r="H64" i="42"/>
  <c r="G57" i="26" s="1"/>
  <c r="F57" i="26" s="1"/>
  <c r="B64" i="42"/>
  <c r="H63" i="42"/>
  <c r="G56" i="26" s="1"/>
  <c r="F56" i="26" s="1"/>
  <c r="B63" i="42"/>
  <c r="H62" i="42"/>
  <c r="G55" i="26" s="1"/>
  <c r="F55" i="26" s="1"/>
  <c r="B62" i="42"/>
  <c r="H61" i="42"/>
  <c r="G54" i="26" s="1"/>
  <c r="F54" i="26" s="1"/>
  <c r="B61" i="42"/>
  <c r="H60" i="42"/>
  <c r="G53" i="26" s="1"/>
  <c r="F53" i="26" s="1"/>
  <c r="B60" i="42"/>
  <c r="H59" i="42"/>
  <c r="G52" i="26" s="1"/>
  <c r="F52" i="26" s="1"/>
  <c r="B59" i="42"/>
  <c r="H58" i="42"/>
  <c r="G51" i="26" s="1"/>
  <c r="F51" i="26" s="1"/>
  <c r="B58" i="42"/>
  <c r="H57" i="42"/>
  <c r="G50" i="26" s="1"/>
  <c r="F50" i="26" s="1"/>
  <c r="B57" i="42"/>
  <c r="H56" i="42"/>
  <c r="G49" i="26" s="1"/>
  <c r="F49" i="26" s="1"/>
  <c r="B56" i="42"/>
  <c r="H55" i="42"/>
  <c r="G48" i="26" s="1"/>
  <c r="F48" i="26" s="1"/>
  <c r="B55" i="42"/>
  <c r="H54" i="42"/>
  <c r="G47" i="26" s="1"/>
  <c r="F47" i="26" s="1"/>
  <c r="B54" i="42"/>
  <c r="H53" i="42"/>
  <c r="G46" i="26" s="1"/>
  <c r="F46" i="26" s="1"/>
  <c r="B53" i="42"/>
  <c r="H52" i="42"/>
  <c r="G45" i="26" s="1"/>
  <c r="F45" i="26" s="1"/>
  <c r="B52" i="42"/>
  <c r="H51" i="42"/>
  <c r="G44" i="26" s="1"/>
  <c r="F44" i="26" s="1"/>
  <c r="B51" i="42"/>
  <c r="H50" i="42"/>
  <c r="G43" i="26" s="1"/>
  <c r="F43" i="26" s="1"/>
  <c r="B50" i="42"/>
  <c r="H49" i="42"/>
  <c r="G42" i="26" s="1"/>
  <c r="F42" i="26" s="1"/>
  <c r="B49" i="42"/>
  <c r="H48" i="42"/>
  <c r="G41" i="26" s="1"/>
  <c r="F41" i="26" s="1"/>
  <c r="B48" i="42"/>
  <c r="H47" i="42"/>
  <c r="G40" i="26" s="1"/>
  <c r="F40" i="26" s="1"/>
  <c r="B47" i="42"/>
  <c r="H46" i="42"/>
  <c r="G39" i="26" s="1"/>
  <c r="F39" i="26" s="1"/>
  <c r="B46" i="42"/>
  <c r="H45" i="42"/>
  <c r="G38" i="26" s="1"/>
  <c r="F38" i="26" s="1"/>
  <c r="B45" i="42"/>
  <c r="H44" i="42"/>
  <c r="G37" i="26" s="1"/>
  <c r="F37" i="26" s="1"/>
  <c r="B44" i="42"/>
  <c r="H43" i="42"/>
  <c r="G36" i="26" s="1"/>
  <c r="F36" i="26" s="1"/>
  <c r="B43" i="42"/>
  <c r="H42" i="42"/>
  <c r="G35" i="26" s="1"/>
  <c r="F35" i="26" s="1"/>
  <c r="B42" i="42"/>
  <c r="H41" i="42"/>
  <c r="G34" i="26" s="1"/>
  <c r="F34" i="26" s="1"/>
  <c r="B41" i="42"/>
  <c r="H40" i="42"/>
  <c r="G33" i="26" s="1"/>
  <c r="F33" i="26" s="1"/>
  <c r="B40" i="42"/>
  <c r="H39" i="42"/>
  <c r="G32" i="26" s="1"/>
  <c r="F32" i="26" s="1"/>
  <c r="B39" i="42"/>
  <c r="H38" i="42"/>
  <c r="G31" i="26" s="1"/>
  <c r="F31" i="26" s="1"/>
  <c r="B38" i="42"/>
  <c r="H37" i="42"/>
  <c r="G30" i="26" s="1"/>
  <c r="F30" i="26" s="1"/>
  <c r="B37" i="42"/>
  <c r="H36" i="42"/>
  <c r="G29" i="26" s="1"/>
  <c r="F29" i="26" s="1"/>
  <c r="B36" i="42"/>
  <c r="H35" i="42"/>
  <c r="G28" i="26" s="1"/>
  <c r="F28" i="26" s="1"/>
  <c r="B35" i="42"/>
  <c r="H34" i="42"/>
  <c r="G27" i="26" s="1"/>
  <c r="F27" i="26" s="1"/>
  <c r="B34" i="42"/>
  <c r="H33" i="42"/>
  <c r="G26" i="26" s="1"/>
  <c r="F26" i="26" s="1"/>
  <c r="B33" i="42"/>
  <c r="H32" i="42"/>
  <c r="G25" i="26" s="1"/>
  <c r="F25" i="26" s="1"/>
  <c r="B32" i="42"/>
  <c r="H31" i="42"/>
  <c r="G24" i="26" s="1"/>
  <c r="F24" i="26" s="1"/>
  <c r="B31" i="42"/>
  <c r="H30" i="42"/>
  <c r="G23" i="26" s="1"/>
  <c r="F23" i="26" s="1"/>
  <c r="B30" i="42"/>
  <c r="H29" i="42"/>
  <c r="G22" i="26" s="1"/>
  <c r="F22" i="26" s="1"/>
  <c r="B29" i="42"/>
  <c r="H28" i="42"/>
  <c r="G21" i="26" s="1"/>
  <c r="F21" i="26" s="1"/>
  <c r="B28" i="42"/>
  <c r="H27" i="42"/>
  <c r="G20" i="26" s="1"/>
  <c r="F20" i="26" s="1"/>
  <c r="B27" i="42"/>
  <c r="H26" i="42"/>
  <c r="G19" i="26" s="1"/>
  <c r="F19" i="26" s="1"/>
  <c r="B26" i="42"/>
  <c r="H25" i="42"/>
  <c r="G18" i="26" s="1"/>
  <c r="F18" i="26" s="1"/>
  <c r="B25" i="42"/>
  <c r="H24" i="42"/>
  <c r="G17" i="26" s="1"/>
  <c r="F17" i="26" s="1"/>
  <c r="B24" i="42"/>
  <c r="H23" i="42"/>
  <c r="G16" i="26" s="1"/>
  <c r="F16" i="26" s="1"/>
  <c r="B23" i="42"/>
  <c r="H22" i="42"/>
  <c r="G15" i="26" s="1"/>
  <c r="F15" i="26" s="1"/>
  <c r="B22" i="42"/>
  <c r="H21" i="42"/>
  <c r="G14" i="26" s="1"/>
  <c r="F14" i="26" s="1"/>
  <c r="B21" i="42"/>
  <c r="H20" i="42"/>
  <c r="G13" i="26" s="1"/>
  <c r="F13" i="26" s="1"/>
  <c r="B20" i="42"/>
  <c r="H19" i="42"/>
  <c r="G12" i="26" s="1"/>
  <c r="F12" i="26" s="1"/>
  <c r="B19" i="42"/>
  <c r="H18" i="42"/>
  <c r="G11" i="26" s="1"/>
  <c r="F11" i="26" s="1"/>
  <c r="B18" i="42"/>
  <c r="H17" i="42"/>
  <c r="G10" i="26" s="1"/>
  <c r="F10" i="26" s="1"/>
  <c r="B17" i="42"/>
  <c r="H16" i="42"/>
  <c r="G9" i="26" s="1"/>
  <c r="F9" i="26" s="1"/>
  <c r="B16" i="42"/>
  <c r="H15" i="42"/>
  <c r="G8" i="26" s="1"/>
  <c r="F8" i="26" s="1"/>
  <c r="B15" i="42"/>
  <c r="H14" i="42"/>
  <c r="G7" i="26" s="1"/>
  <c r="F7" i="26" s="1"/>
  <c r="B14" i="42"/>
  <c r="H13" i="42"/>
  <c r="G6" i="26" s="1"/>
  <c r="F6" i="26" s="1"/>
  <c r="B13" i="42"/>
  <c r="H12" i="42"/>
  <c r="G5" i="26" s="1"/>
  <c r="F5" i="26" s="1"/>
  <c r="B12" i="42"/>
  <c r="H11" i="42"/>
  <c r="G4" i="26" s="1"/>
  <c r="F4" i="26" s="1"/>
  <c r="B11" i="42"/>
  <c r="B10" i="42"/>
  <c r="J1" i="42"/>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10" i="3"/>
  <c r="J1" i="3"/>
  <c r="F65" i="47" l="1"/>
  <c r="DE19" i="14" s="1"/>
  <c r="H72" i="47"/>
  <c r="DE20" i="14" s="1"/>
  <c r="D29" i="14" s="1"/>
  <c r="E72" i="47"/>
  <c r="DE18" i="14"/>
  <c r="D27" i="14" s="1"/>
  <c r="AB271" i="3"/>
  <c r="X271" i="3"/>
  <c r="Y271" i="3"/>
  <c r="Z271" i="3"/>
  <c r="AA271" i="3"/>
  <c r="Y181" i="3"/>
  <c r="Z181" i="3"/>
  <c r="AA181" i="3"/>
  <c r="AB181" i="3"/>
  <c r="X181" i="3"/>
  <c r="Y96" i="3"/>
  <c r="X96" i="3"/>
  <c r="Z96" i="3"/>
  <c r="AA96" i="3"/>
  <c r="AB96" i="3"/>
  <c r="X88" i="3"/>
  <c r="AB88" i="3"/>
  <c r="Y88" i="3"/>
  <c r="Z88" i="3"/>
  <c r="AA88" i="3"/>
  <c r="AB19" i="26"/>
  <c r="C16" i="48"/>
  <c r="AA19" i="26"/>
  <c r="C15" i="48"/>
  <c r="C112" i="46"/>
  <c r="AC267" i="3"/>
  <c r="AC235" i="3"/>
  <c r="AC203" i="3"/>
  <c r="AC171" i="3"/>
  <c r="AC139" i="3"/>
  <c r="AC107" i="3"/>
  <c r="AC75" i="3"/>
  <c r="AC43" i="3"/>
  <c r="AC11" i="3"/>
  <c r="AC266" i="3"/>
  <c r="AC234" i="3"/>
  <c r="AC210" i="3"/>
  <c r="AC178" i="3"/>
  <c r="AC146" i="3"/>
  <c r="AC106" i="3"/>
  <c r="AC66" i="3"/>
  <c r="AC18" i="3"/>
  <c r="AC273" i="3"/>
  <c r="AC241" i="3"/>
  <c r="AC209" i="3"/>
  <c r="AC177" i="3"/>
  <c r="AC145" i="3"/>
  <c r="AC113" i="3"/>
  <c r="AC73" i="3"/>
  <c r="AC41" i="3"/>
  <c r="AC256" i="3"/>
  <c r="AC232" i="3"/>
  <c r="AC208" i="3"/>
  <c r="AC184" i="3"/>
  <c r="AC176" i="3"/>
  <c r="AC168" i="3"/>
  <c r="AC160" i="3"/>
  <c r="AC152" i="3"/>
  <c r="AC144" i="3"/>
  <c r="AC136" i="3"/>
  <c r="AC128" i="3"/>
  <c r="AC120" i="3"/>
  <c r="AC112" i="3"/>
  <c r="AC104" i="3"/>
  <c r="AC96" i="3"/>
  <c r="AC88" i="3"/>
  <c r="AC80" i="3"/>
  <c r="AC72" i="3"/>
  <c r="AC64" i="3"/>
  <c r="AC56" i="3"/>
  <c r="AC48" i="3"/>
  <c r="AC40" i="3"/>
  <c r="AC32" i="3"/>
  <c r="AC24" i="3"/>
  <c r="AC16" i="3"/>
  <c r="AC275" i="3"/>
  <c r="AC243" i="3"/>
  <c r="AC211" i="3"/>
  <c r="AC179" i="3"/>
  <c r="AC147" i="3"/>
  <c r="AC115" i="3"/>
  <c r="AC91" i="3"/>
  <c r="AC59" i="3"/>
  <c r="AC27" i="3"/>
  <c r="AC250" i="3"/>
  <c r="AC218" i="3"/>
  <c r="AC186" i="3"/>
  <c r="AC154" i="3"/>
  <c r="AC122" i="3"/>
  <c r="AC90" i="3"/>
  <c r="AC58" i="3"/>
  <c r="AC34" i="3"/>
  <c r="AC257" i="3"/>
  <c r="AC225" i="3"/>
  <c r="AC193" i="3"/>
  <c r="AC161" i="3"/>
  <c r="AC121" i="3"/>
  <c r="AC89" i="3"/>
  <c r="AC65" i="3"/>
  <c r="AC33" i="3"/>
  <c r="AC280" i="3"/>
  <c r="AC224" i="3"/>
  <c r="AC279" i="3"/>
  <c r="AC263" i="3"/>
  <c r="AC247" i="3"/>
  <c r="AC231" i="3"/>
  <c r="AC199" i="3"/>
  <c r="AC183" i="3"/>
  <c r="AC167" i="3"/>
  <c r="AC151" i="3"/>
  <c r="AC135" i="3"/>
  <c r="AC119" i="3"/>
  <c r="AC103" i="3"/>
  <c r="AC79" i="3"/>
  <c r="AC63" i="3"/>
  <c r="AC39" i="3"/>
  <c r="AC23" i="3"/>
  <c r="AC278" i="3"/>
  <c r="AC270" i="3"/>
  <c r="AC262" i="3"/>
  <c r="AC254" i="3"/>
  <c r="AC246" i="3"/>
  <c r="AC238" i="3"/>
  <c r="AC230" i="3"/>
  <c r="AC222" i="3"/>
  <c r="AC214" i="3"/>
  <c r="AC206" i="3"/>
  <c r="AC198" i="3"/>
  <c r="AC190" i="3"/>
  <c r="AC182" i="3"/>
  <c r="AC174" i="3"/>
  <c r="AC166" i="3"/>
  <c r="AC158" i="3"/>
  <c r="AC150" i="3"/>
  <c r="AC142" i="3"/>
  <c r="AC134" i="3"/>
  <c r="AC126" i="3"/>
  <c r="AC118" i="3"/>
  <c r="AC110" i="3"/>
  <c r="AC102" i="3"/>
  <c r="AC94" i="3"/>
  <c r="AC86" i="3"/>
  <c r="AC78" i="3"/>
  <c r="AC70" i="3"/>
  <c r="AC62" i="3"/>
  <c r="AC54" i="3"/>
  <c r="AC46" i="3"/>
  <c r="AC38" i="3"/>
  <c r="AC30" i="3"/>
  <c r="AC22" i="3"/>
  <c r="AC14" i="3"/>
  <c r="AC283" i="3"/>
  <c r="AC251" i="3"/>
  <c r="AC219" i="3"/>
  <c r="AC187" i="3"/>
  <c r="AC155" i="3"/>
  <c r="AC123" i="3"/>
  <c r="AC83" i="3"/>
  <c r="AC51" i="3"/>
  <c r="AC19" i="3"/>
  <c r="AC282" i="3"/>
  <c r="AC258" i="3"/>
  <c r="AC226" i="3"/>
  <c r="AC194" i="3"/>
  <c r="AC162" i="3"/>
  <c r="AC130" i="3"/>
  <c r="AC98" i="3"/>
  <c r="AC74" i="3"/>
  <c r="AC42" i="3"/>
  <c r="AC265" i="3"/>
  <c r="AC233" i="3"/>
  <c r="AC201" i="3"/>
  <c r="AC169" i="3"/>
  <c r="AC137" i="3"/>
  <c r="AC105" i="3"/>
  <c r="AC81" i="3"/>
  <c r="AC49" i="3"/>
  <c r="AC17" i="3"/>
  <c r="AC272" i="3"/>
  <c r="AC248" i="3"/>
  <c r="AC216" i="3"/>
  <c r="AC192" i="3"/>
  <c r="AC271" i="3"/>
  <c r="AC255" i="3"/>
  <c r="AC239" i="3"/>
  <c r="AC223" i="3"/>
  <c r="AC207" i="3"/>
  <c r="AC191" i="3"/>
  <c r="AC175" i="3"/>
  <c r="AC159" i="3"/>
  <c r="AC127" i="3"/>
  <c r="AC111" i="3"/>
  <c r="AC95" i="3"/>
  <c r="AC87" i="3"/>
  <c r="AC71" i="3"/>
  <c r="AC55" i="3"/>
  <c r="AC47" i="3"/>
  <c r="AC31" i="3"/>
  <c r="AC15" i="3"/>
  <c r="AC277" i="3"/>
  <c r="AC269" i="3"/>
  <c r="AC261" i="3"/>
  <c r="AC253" i="3"/>
  <c r="AC245" i="3"/>
  <c r="AC237" i="3"/>
  <c r="AC229" i="3"/>
  <c r="AC221" i="3"/>
  <c r="AC213" i="3"/>
  <c r="AC205" i="3"/>
  <c r="AC197" i="3"/>
  <c r="AC189" i="3"/>
  <c r="AC181" i="3"/>
  <c r="AC173" i="3"/>
  <c r="AC165" i="3"/>
  <c r="AC157" i="3"/>
  <c r="AC149" i="3"/>
  <c r="AC141" i="3"/>
  <c r="AC133" i="3"/>
  <c r="AC125" i="3"/>
  <c r="AC117" i="3"/>
  <c r="AC109" i="3"/>
  <c r="AC101" i="3"/>
  <c r="AC93" i="3"/>
  <c r="AC85" i="3"/>
  <c r="AC77" i="3"/>
  <c r="AC69" i="3"/>
  <c r="AC61" i="3"/>
  <c r="AC53" i="3"/>
  <c r="AC45" i="3"/>
  <c r="AC37" i="3"/>
  <c r="AC29" i="3"/>
  <c r="AC21" i="3"/>
  <c r="AC13" i="3"/>
  <c r="AC259" i="3"/>
  <c r="AC227" i="3"/>
  <c r="AC195" i="3"/>
  <c r="AC163" i="3"/>
  <c r="AC131" i="3"/>
  <c r="AC99" i="3"/>
  <c r="AC67" i="3"/>
  <c r="AC35" i="3"/>
  <c r="AC274" i="3"/>
  <c r="AC242" i="3"/>
  <c r="AC202" i="3"/>
  <c r="AC170" i="3"/>
  <c r="AC138" i="3"/>
  <c r="AC114" i="3"/>
  <c r="AC82" i="3"/>
  <c r="AC50" i="3"/>
  <c r="AC26" i="3"/>
  <c r="AC281" i="3"/>
  <c r="AC249" i="3"/>
  <c r="AC217" i="3"/>
  <c r="AC185" i="3"/>
  <c r="AC153" i="3"/>
  <c r="AC129" i="3"/>
  <c r="AC97" i="3"/>
  <c r="AC57" i="3"/>
  <c r="AC25" i="3"/>
  <c r="AC264" i="3"/>
  <c r="AC240" i="3"/>
  <c r="AC200" i="3"/>
  <c r="AC215" i="3"/>
  <c r="AC276" i="3"/>
  <c r="AC268" i="3"/>
  <c r="AC260" i="3"/>
  <c r="AC252" i="3"/>
  <c r="AC244" i="3"/>
  <c r="AC236" i="3"/>
  <c r="AC228" i="3"/>
  <c r="AC220" i="3"/>
  <c r="AC212" i="3"/>
  <c r="AC204" i="3"/>
  <c r="AC196" i="3"/>
  <c r="AC188" i="3"/>
  <c r="AC180" i="3"/>
  <c r="AC172" i="3"/>
  <c r="AC164" i="3"/>
  <c r="AC156" i="3"/>
  <c r="AC148" i="3"/>
  <c r="AC140" i="3"/>
  <c r="AC132" i="3"/>
  <c r="AC124" i="3"/>
  <c r="AC116" i="3"/>
  <c r="AC108" i="3"/>
  <c r="AC100" i="3"/>
  <c r="AC92" i="3"/>
  <c r="AC84" i="3"/>
  <c r="AC76" i="3"/>
  <c r="AC68" i="3"/>
  <c r="AC60" i="3"/>
  <c r="AC52" i="3"/>
  <c r="AC44" i="3"/>
  <c r="AC36" i="3"/>
  <c r="AC28" i="3"/>
  <c r="AC20" i="3"/>
  <c r="AC12" i="3"/>
  <c r="AC152" i="42"/>
  <c r="G145" i="26"/>
  <c r="F145" i="26" s="1"/>
  <c r="AN7" i="22"/>
  <c r="AN5" i="22"/>
  <c r="AC143" i="42"/>
  <c r="AC143" i="3"/>
  <c r="B7" i="3"/>
  <c r="H32" i="44"/>
  <c r="I32" i="44" s="1"/>
  <c r="B7" i="42"/>
  <c r="H10" i="44"/>
  <c r="I10" i="44" s="1"/>
  <c r="H42" i="44"/>
  <c r="I42" i="44" s="1"/>
  <c r="H11" i="44"/>
  <c r="I11" i="44" s="1"/>
  <c r="H47" i="44"/>
  <c r="I47" i="44" s="1"/>
  <c r="H33" i="44"/>
  <c r="I33" i="44" s="1"/>
  <c r="H65" i="44"/>
  <c r="I65" i="44" s="1"/>
  <c r="H60" i="44"/>
  <c r="I60" i="44" s="1"/>
  <c r="H14" i="44"/>
  <c r="I14" i="44" s="1"/>
  <c r="H46" i="44"/>
  <c r="I46" i="44" s="1"/>
  <c r="H15" i="44"/>
  <c r="I15" i="44" s="1"/>
  <c r="H55" i="44"/>
  <c r="I55" i="44" s="1"/>
  <c r="H37" i="44"/>
  <c r="I37" i="44" s="1"/>
  <c r="H16" i="44"/>
  <c r="I16" i="44" s="1"/>
  <c r="H12" i="44"/>
  <c r="I12" i="44" s="1"/>
  <c r="H18" i="44"/>
  <c r="I18" i="44" s="1"/>
  <c r="H50" i="44"/>
  <c r="I50" i="44" s="1"/>
  <c r="H19" i="44"/>
  <c r="I19" i="44" s="1"/>
  <c r="H59" i="44"/>
  <c r="I59" i="44" s="1"/>
  <c r="H41" i="44"/>
  <c r="I41" i="44" s="1"/>
  <c r="H24" i="44"/>
  <c r="I24" i="44" s="1"/>
  <c r="G3" i="26"/>
  <c r="F3" i="26" s="1"/>
  <c r="H22" i="44"/>
  <c r="I22" i="44" s="1"/>
  <c r="H54" i="44"/>
  <c r="I54" i="44" s="1"/>
  <c r="H27" i="44"/>
  <c r="I27" i="44" s="1"/>
  <c r="H63" i="44"/>
  <c r="I63" i="44" s="1"/>
  <c r="H9" i="44"/>
  <c r="I9" i="44" s="1"/>
  <c r="H45" i="44"/>
  <c r="I45" i="44" s="1"/>
  <c r="H40" i="44"/>
  <c r="I40" i="44" s="1"/>
  <c r="H52" i="44"/>
  <c r="I52" i="44" s="1"/>
  <c r="H26" i="44"/>
  <c r="I26" i="44" s="1"/>
  <c r="H58" i="44"/>
  <c r="I58" i="44" s="1"/>
  <c r="H31" i="44"/>
  <c r="I31" i="44" s="1"/>
  <c r="H67" i="44"/>
  <c r="I67" i="44" s="1"/>
  <c r="H17" i="44"/>
  <c r="I17" i="44" s="1"/>
  <c r="H49" i="44"/>
  <c r="I49" i="44" s="1"/>
  <c r="H56" i="44"/>
  <c r="I56" i="44" s="1"/>
  <c r="H20" i="44"/>
  <c r="I20" i="44" s="1"/>
  <c r="H30" i="44"/>
  <c r="I30" i="44" s="1"/>
  <c r="H62" i="44"/>
  <c r="I62" i="44" s="1"/>
  <c r="H35" i="44"/>
  <c r="I35" i="44" s="1"/>
  <c r="H21" i="44"/>
  <c r="I21" i="44" s="1"/>
  <c r="H53" i="44"/>
  <c r="I53" i="44" s="1"/>
  <c r="H8" i="44"/>
  <c r="I8" i="44" s="1"/>
  <c r="H36" i="44"/>
  <c r="I36" i="44" s="1"/>
  <c r="H5" i="44"/>
  <c r="I5" i="44" s="1"/>
  <c r="H34" i="44"/>
  <c r="I34" i="44" s="1"/>
  <c r="H66" i="44"/>
  <c r="I66" i="44" s="1"/>
  <c r="H39" i="44"/>
  <c r="I39" i="44" s="1"/>
  <c r="H25" i="44"/>
  <c r="I25" i="44" s="1"/>
  <c r="H57" i="44"/>
  <c r="I57" i="44" s="1"/>
  <c r="H28" i="44"/>
  <c r="I28" i="44" s="1"/>
  <c r="H48" i="44"/>
  <c r="I48" i="44" s="1"/>
  <c r="H6" i="44"/>
  <c r="I6" i="44" s="1"/>
  <c r="H38" i="44"/>
  <c r="I38" i="44" s="1"/>
  <c r="H7" i="44"/>
  <c r="I7" i="44" s="1"/>
  <c r="H43" i="44"/>
  <c r="I43" i="44" s="1"/>
  <c r="H29" i="44"/>
  <c r="I29" i="44" s="1"/>
  <c r="H61" i="44"/>
  <c r="I61" i="44" s="1"/>
  <c r="H44" i="44"/>
  <c r="I44" i="44" s="1"/>
  <c r="H64" i="44"/>
  <c r="I64" i="44" s="1"/>
  <c r="H13" i="44"/>
  <c r="I13" i="44" s="1"/>
  <c r="H51" i="44"/>
  <c r="I51" i="44" s="1"/>
  <c r="H23" i="44"/>
  <c r="I23" i="44" s="1"/>
  <c r="G163" i="26"/>
  <c r="F163" i="26" s="1"/>
  <c r="H11" i="3"/>
  <c r="C4" i="26" s="1"/>
  <c r="B4" i="26" s="1"/>
  <c r="H12" i="3"/>
  <c r="C5" i="26" s="1"/>
  <c r="B5" i="26" s="1"/>
  <c r="H13" i="3"/>
  <c r="C6" i="26" s="1"/>
  <c r="B6" i="26" s="1"/>
  <c r="H14" i="3"/>
  <c r="C7" i="26" s="1"/>
  <c r="B7" i="26" s="1"/>
  <c r="H15" i="3"/>
  <c r="C8" i="26" s="1"/>
  <c r="B8" i="26" s="1"/>
  <c r="H16" i="3"/>
  <c r="C9" i="26" s="1"/>
  <c r="B9" i="26" s="1"/>
  <c r="H17" i="3"/>
  <c r="C10" i="26" s="1"/>
  <c r="B10" i="26" s="1"/>
  <c r="H18" i="3"/>
  <c r="C11" i="26" s="1"/>
  <c r="B11" i="26" s="1"/>
  <c r="H19" i="3"/>
  <c r="C12" i="26" s="1"/>
  <c r="B12" i="26" s="1"/>
  <c r="H20" i="3"/>
  <c r="C13" i="26" s="1"/>
  <c r="B13" i="26" s="1"/>
  <c r="H21" i="3"/>
  <c r="C14" i="26" s="1"/>
  <c r="B14" i="26" s="1"/>
  <c r="H22" i="3"/>
  <c r="C15" i="26" s="1"/>
  <c r="B15" i="26" s="1"/>
  <c r="H23" i="3"/>
  <c r="C16" i="26" s="1"/>
  <c r="B16" i="26" s="1"/>
  <c r="H24" i="3"/>
  <c r="C17" i="26" s="1"/>
  <c r="B17" i="26" s="1"/>
  <c r="H25" i="3"/>
  <c r="C18" i="26" s="1"/>
  <c r="B18" i="26" s="1"/>
  <c r="H26" i="3"/>
  <c r="C19" i="26" s="1"/>
  <c r="B19" i="26" s="1"/>
  <c r="H27" i="3"/>
  <c r="C20" i="26" s="1"/>
  <c r="B20" i="26" s="1"/>
  <c r="H28" i="3"/>
  <c r="C21" i="26" s="1"/>
  <c r="B21" i="26" s="1"/>
  <c r="H29" i="3"/>
  <c r="C22" i="26" s="1"/>
  <c r="B22" i="26" s="1"/>
  <c r="H30" i="3"/>
  <c r="C23" i="26" s="1"/>
  <c r="B23" i="26" s="1"/>
  <c r="H31" i="3"/>
  <c r="C24" i="26" s="1"/>
  <c r="B24" i="26" s="1"/>
  <c r="H32" i="3"/>
  <c r="C25" i="26" s="1"/>
  <c r="B25" i="26" s="1"/>
  <c r="H33" i="3"/>
  <c r="C26" i="26" s="1"/>
  <c r="B26" i="26" s="1"/>
  <c r="H34" i="3"/>
  <c r="C27" i="26" s="1"/>
  <c r="B27" i="26" s="1"/>
  <c r="H35" i="3"/>
  <c r="C28" i="26" s="1"/>
  <c r="B28" i="26" s="1"/>
  <c r="H36" i="3"/>
  <c r="C29" i="26" s="1"/>
  <c r="B29" i="26" s="1"/>
  <c r="H37" i="3"/>
  <c r="C30" i="26" s="1"/>
  <c r="B30" i="26" s="1"/>
  <c r="H38" i="3"/>
  <c r="C31" i="26" s="1"/>
  <c r="B31" i="26" s="1"/>
  <c r="H39" i="3"/>
  <c r="C32" i="26" s="1"/>
  <c r="B32" i="26" s="1"/>
  <c r="H40" i="3"/>
  <c r="C33" i="26" s="1"/>
  <c r="B33" i="26" s="1"/>
  <c r="H41" i="3"/>
  <c r="C34" i="26" s="1"/>
  <c r="B34" i="26" s="1"/>
  <c r="H42" i="3"/>
  <c r="C35" i="26" s="1"/>
  <c r="B35" i="26" s="1"/>
  <c r="H43" i="3"/>
  <c r="C36" i="26" s="1"/>
  <c r="B36" i="26" s="1"/>
  <c r="H44" i="3"/>
  <c r="C37" i="26" s="1"/>
  <c r="B37" i="26" s="1"/>
  <c r="H45" i="3"/>
  <c r="C38" i="26" s="1"/>
  <c r="B38" i="26" s="1"/>
  <c r="H46" i="3"/>
  <c r="C39" i="26" s="1"/>
  <c r="B39" i="26" s="1"/>
  <c r="H47" i="3"/>
  <c r="C40" i="26" s="1"/>
  <c r="B40" i="26" s="1"/>
  <c r="H48" i="3"/>
  <c r="C41" i="26" s="1"/>
  <c r="B41" i="26" s="1"/>
  <c r="H49" i="3"/>
  <c r="C42" i="26" s="1"/>
  <c r="B42" i="26" s="1"/>
  <c r="H50" i="3"/>
  <c r="C43" i="26" s="1"/>
  <c r="B43" i="26" s="1"/>
  <c r="H51" i="3"/>
  <c r="C44" i="26" s="1"/>
  <c r="B44" i="26" s="1"/>
  <c r="H52" i="3"/>
  <c r="C45" i="26" s="1"/>
  <c r="B45" i="26" s="1"/>
  <c r="H53" i="3"/>
  <c r="C46" i="26" s="1"/>
  <c r="B46" i="26" s="1"/>
  <c r="H54" i="3"/>
  <c r="C47" i="26" s="1"/>
  <c r="B47" i="26" s="1"/>
  <c r="H55" i="3"/>
  <c r="C48" i="26" s="1"/>
  <c r="B48" i="26" s="1"/>
  <c r="H56" i="3"/>
  <c r="C49" i="26" s="1"/>
  <c r="B49" i="26" s="1"/>
  <c r="H57" i="3"/>
  <c r="C50" i="26" s="1"/>
  <c r="B50" i="26" s="1"/>
  <c r="H58" i="3"/>
  <c r="C51" i="26" s="1"/>
  <c r="B51" i="26" s="1"/>
  <c r="H59" i="3"/>
  <c r="C52" i="26" s="1"/>
  <c r="B52" i="26" s="1"/>
  <c r="H60" i="3"/>
  <c r="C53" i="26" s="1"/>
  <c r="B53" i="26" s="1"/>
  <c r="H61" i="3"/>
  <c r="C54" i="26" s="1"/>
  <c r="B54" i="26" s="1"/>
  <c r="H62" i="3"/>
  <c r="C55" i="26" s="1"/>
  <c r="B55" i="26" s="1"/>
  <c r="H63" i="3"/>
  <c r="C56" i="26" s="1"/>
  <c r="B56" i="26" s="1"/>
  <c r="H64" i="3"/>
  <c r="C57" i="26" s="1"/>
  <c r="B57" i="26" s="1"/>
  <c r="H65" i="3"/>
  <c r="C58" i="26" s="1"/>
  <c r="B58" i="26" s="1"/>
  <c r="H66" i="3"/>
  <c r="C59" i="26" s="1"/>
  <c r="B59" i="26" s="1"/>
  <c r="H67" i="3"/>
  <c r="C60" i="26" s="1"/>
  <c r="B60" i="26" s="1"/>
  <c r="H68" i="3"/>
  <c r="C61" i="26" s="1"/>
  <c r="B61" i="26" s="1"/>
  <c r="H69" i="3"/>
  <c r="C62" i="26" s="1"/>
  <c r="B62" i="26" s="1"/>
  <c r="H70" i="3"/>
  <c r="C63" i="26" s="1"/>
  <c r="B63" i="26" s="1"/>
  <c r="H71" i="3"/>
  <c r="C64" i="26" s="1"/>
  <c r="B64" i="26" s="1"/>
  <c r="H72" i="3"/>
  <c r="C65" i="26" s="1"/>
  <c r="B65" i="26" s="1"/>
  <c r="H73" i="3"/>
  <c r="C66" i="26" s="1"/>
  <c r="B66" i="26" s="1"/>
  <c r="H74" i="3"/>
  <c r="C67" i="26" s="1"/>
  <c r="B67" i="26" s="1"/>
  <c r="H75" i="3"/>
  <c r="C68" i="26" s="1"/>
  <c r="B68" i="26" s="1"/>
  <c r="H76" i="3"/>
  <c r="C69" i="26" s="1"/>
  <c r="B69" i="26" s="1"/>
  <c r="H77" i="3"/>
  <c r="C70" i="26" s="1"/>
  <c r="B70" i="26" s="1"/>
  <c r="H78" i="3"/>
  <c r="C71" i="26" s="1"/>
  <c r="B71" i="26" s="1"/>
  <c r="H79" i="3"/>
  <c r="C72" i="26" s="1"/>
  <c r="B72" i="26" s="1"/>
  <c r="H80" i="3"/>
  <c r="C73" i="26" s="1"/>
  <c r="B73" i="26" s="1"/>
  <c r="H81" i="3"/>
  <c r="C74" i="26" s="1"/>
  <c r="B74" i="26" s="1"/>
  <c r="H82" i="3"/>
  <c r="C75" i="26" s="1"/>
  <c r="B75" i="26" s="1"/>
  <c r="H83" i="3"/>
  <c r="C76" i="26" s="1"/>
  <c r="B76" i="26" s="1"/>
  <c r="H84" i="3"/>
  <c r="C77" i="26" s="1"/>
  <c r="B77" i="26" s="1"/>
  <c r="H85" i="3"/>
  <c r="C78" i="26" s="1"/>
  <c r="B78" i="26" s="1"/>
  <c r="H86" i="3"/>
  <c r="C79" i="26" s="1"/>
  <c r="B79" i="26" s="1"/>
  <c r="H87" i="3"/>
  <c r="C80" i="26" s="1"/>
  <c r="B80" i="26" s="1"/>
  <c r="H88" i="3"/>
  <c r="H89" i="3"/>
  <c r="C82" i="26" s="1"/>
  <c r="B82" i="26" s="1"/>
  <c r="H90" i="3"/>
  <c r="C83" i="26" s="1"/>
  <c r="B83" i="26" s="1"/>
  <c r="H91" i="3"/>
  <c r="C84" i="26" s="1"/>
  <c r="B84" i="26" s="1"/>
  <c r="H92" i="3"/>
  <c r="C85" i="26" s="1"/>
  <c r="B85" i="26" s="1"/>
  <c r="H93" i="3"/>
  <c r="C86" i="26" s="1"/>
  <c r="B86" i="26" s="1"/>
  <c r="H94" i="3"/>
  <c r="C87" i="26" s="1"/>
  <c r="B87" i="26" s="1"/>
  <c r="H95" i="3"/>
  <c r="C88" i="26" s="1"/>
  <c r="B88" i="26" s="1"/>
  <c r="H96" i="3"/>
  <c r="C89" i="26" s="1"/>
  <c r="B89" i="26" s="1"/>
  <c r="H97" i="3"/>
  <c r="C90" i="26" s="1"/>
  <c r="B90" i="26" s="1"/>
  <c r="H98" i="3"/>
  <c r="C91" i="26" s="1"/>
  <c r="B91" i="26" s="1"/>
  <c r="H99" i="3"/>
  <c r="C92" i="26" s="1"/>
  <c r="B92" i="26" s="1"/>
  <c r="H100" i="3"/>
  <c r="C93" i="26" s="1"/>
  <c r="B93" i="26" s="1"/>
  <c r="H101" i="3"/>
  <c r="C94" i="26" s="1"/>
  <c r="B94" i="26" s="1"/>
  <c r="H102" i="3"/>
  <c r="C95" i="26" s="1"/>
  <c r="B95" i="26" s="1"/>
  <c r="H103" i="3"/>
  <c r="C96" i="26" s="1"/>
  <c r="B96" i="26" s="1"/>
  <c r="H104" i="3"/>
  <c r="C97" i="26" s="1"/>
  <c r="B97" i="26" s="1"/>
  <c r="H105" i="3"/>
  <c r="C98" i="26" s="1"/>
  <c r="B98" i="26" s="1"/>
  <c r="H106" i="3"/>
  <c r="C99" i="26" s="1"/>
  <c r="B99" i="26" s="1"/>
  <c r="H107" i="3"/>
  <c r="C100" i="26" s="1"/>
  <c r="B100" i="26" s="1"/>
  <c r="H108" i="3"/>
  <c r="C101" i="26" s="1"/>
  <c r="B101" i="26" s="1"/>
  <c r="H109" i="3"/>
  <c r="C102" i="26" s="1"/>
  <c r="B102" i="26" s="1"/>
  <c r="H110" i="3"/>
  <c r="C103" i="26" s="1"/>
  <c r="B103" i="26" s="1"/>
  <c r="H111" i="3"/>
  <c r="C104" i="26" s="1"/>
  <c r="B104" i="26" s="1"/>
  <c r="H112" i="3"/>
  <c r="C105" i="26" s="1"/>
  <c r="B105" i="26" s="1"/>
  <c r="H113" i="3"/>
  <c r="C106" i="26" s="1"/>
  <c r="B106" i="26" s="1"/>
  <c r="H114" i="3"/>
  <c r="C107" i="26" s="1"/>
  <c r="B107" i="26" s="1"/>
  <c r="H115" i="3"/>
  <c r="C108" i="26" s="1"/>
  <c r="B108" i="26" s="1"/>
  <c r="H116" i="3"/>
  <c r="C109" i="26" s="1"/>
  <c r="B109" i="26" s="1"/>
  <c r="H117" i="3"/>
  <c r="C110" i="26" s="1"/>
  <c r="B110" i="26" s="1"/>
  <c r="H118" i="3"/>
  <c r="C111" i="26" s="1"/>
  <c r="B111" i="26" s="1"/>
  <c r="H119" i="3"/>
  <c r="C112" i="26" s="1"/>
  <c r="B112" i="26" s="1"/>
  <c r="H120" i="3"/>
  <c r="C113" i="26" s="1"/>
  <c r="B113" i="26" s="1"/>
  <c r="H121" i="3"/>
  <c r="C114" i="26" s="1"/>
  <c r="B114" i="26" s="1"/>
  <c r="H122" i="3"/>
  <c r="C115" i="26" s="1"/>
  <c r="B115" i="26" s="1"/>
  <c r="H123" i="3"/>
  <c r="C116" i="26" s="1"/>
  <c r="B116" i="26" s="1"/>
  <c r="H124" i="3"/>
  <c r="C117" i="26" s="1"/>
  <c r="B117" i="26" s="1"/>
  <c r="H125" i="3"/>
  <c r="C118" i="26" s="1"/>
  <c r="B118" i="26" s="1"/>
  <c r="H126" i="3"/>
  <c r="C119" i="26" s="1"/>
  <c r="B119" i="26" s="1"/>
  <c r="H127" i="3"/>
  <c r="C120" i="26" s="1"/>
  <c r="B120" i="26" s="1"/>
  <c r="H128" i="3"/>
  <c r="C121" i="26" s="1"/>
  <c r="B121" i="26" s="1"/>
  <c r="H129" i="3"/>
  <c r="C122" i="26" s="1"/>
  <c r="B122" i="26" s="1"/>
  <c r="H130" i="3"/>
  <c r="C123" i="26" s="1"/>
  <c r="B123" i="26" s="1"/>
  <c r="H131" i="3"/>
  <c r="C124" i="26" s="1"/>
  <c r="B124" i="26" s="1"/>
  <c r="H132" i="3"/>
  <c r="C125" i="26" s="1"/>
  <c r="B125" i="26" s="1"/>
  <c r="H133" i="3"/>
  <c r="C126" i="26" s="1"/>
  <c r="B126" i="26" s="1"/>
  <c r="H134" i="3"/>
  <c r="C127" i="26" s="1"/>
  <c r="B127" i="26" s="1"/>
  <c r="H135" i="3"/>
  <c r="C128" i="26" s="1"/>
  <c r="B128" i="26" s="1"/>
  <c r="H136" i="3"/>
  <c r="C129" i="26" s="1"/>
  <c r="B129" i="26" s="1"/>
  <c r="H137" i="3"/>
  <c r="C130" i="26" s="1"/>
  <c r="B130" i="26" s="1"/>
  <c r="H138" i="3"/>
  <c r="C131" i="26" s="1"/>
  <c r="B131" i="26" s="1"/>
  <c r="H139" i="3"/>
  <c r="C132" i="26" s="1"/>
  <c r="B132" i="26" s="1"/>
  <c r="H140" i="3"/>
  <c r="C133" i="26" s="1"/>
  <c r="B133" i="26" s="1"/>
  <c r="H141" i="3"/>
  <c r="C134" i="26" s="1"/>
  <c r="B134" i="26" s="1"/>
  <c r="H142" i="3"/>
  <c r="C135" i="26" s="1"/>
  <c r="B135" i="26" s="1"/>
  <c r="H143" i="3"/>
  <c r="C136" i="26" s="1"/>
  <c r="B136" i="26" s="1"/>
  <c r="H144" i="3"/>
  <c r="C137" i="26" s="1"/>
  <c r="B137" i="26" s="1"/>
  <c r="H145" i="3"/>
  <c r="C138" i="26" s="1"/>
  <c r="B138" i="26" s="1"/>
  <c r="H146" i="3"/>
  <c r="C139" i="26" s="1"/>
  <c r="B139" i="26" s="1"/>
  <c r="H147" i="3"/>
  <c r="C140" i="26" s="1"/>
  <c r="B140" i="26" s="1"/>
  <c r="H148" i="3"/>
  <c r="C141" i="26" s="1"/>
  <c r="B141" i="26" s="1"/>
  <c r="H149" i="3"/>
  <c r="C142" i="26" s="1"/>
  <c r="B142" i="26" s="1"/>
  <c r="H150" i="3"/>
  <c r="C143" i="26" s="1"/>
  <c r="B143" i="26" s="1"/>
  <c r="H151" i="3"/>
  <c r="C144" i="26" s="1"/>
  <c r="B144" i="26" s="1"/>
  <c r="H152" i="3"/>
  <c r="C145" i="26" s="1"/>
  <c r="B145" i="26" s="1"/>
  <c r="H153" i="3"/>
  <c r="C146" i="26" s="1"/>
  <c r="B146" i="26" s="1"/>
  <c r="H154" i="3"/>
  <c r="C147" i="26" s="1"/>
  <c r="B147" i="26" s="1"/>
  <c r="H155" i="3"/>
  <c r="C148" i="26" s="1"/>
  <c r="B148" i="26" s="1"/>
  <c r="H156" i="3"/>
  <c r="C149" i="26" s="1"/>
  <c r="B149" i="26" s="1"/>
  <c r="H157" i="3"/>
  <c r="C150" i="26" s="1"/>
  <c r="B150" i="26" s="1"/>
  <c r="H158" i="3"/>
  <c r="C151" i="26" s="1"/>
  <c r="B151" i="26" s="1"/>
  <c r="H159" i="3"/>
  <c r="C152" i="26" s="1"/>
  <c r="B152" i="26" s="1"/>
  <c r="H160" i="3"/>
  <c r="C153" i="26" s="1"/>
  <c r="B153" i="26" s="1"/>
  <c r="H161" i="3"/>
  <c r="C154" i="26" s="1"/>
  <c r="B154" i="26" s="1"/>
  <c r="H162" i="3"/>
  <c r="C155" i="26" s="1"/>
  <c r="B155" i="26" s="1"/>
  <c r="H163" i="3"/>
  <c r="C156" i="26" s="1"/>
  <c r="B156" i="26" s="1"/>
  <c r="H164" i="3"/>
  <c r="C157" i="26" s="1"/>
  <c r="B157" i="26" s="1"/>
  <c r="H165" i="3"/>
  <c r="C158" i="26" s="1"/>
  <c r="B158" i="26" s="1"/>
  <c r="H166" i="3"/>
  <c r="C159" i="26" s="1"/>
  <c r="B159" i="26" s="1"/>
  <c r="H167" i="3"/>
  <c r="C160" i="26" s="1"/>
  <c r="B160" i="26" s="1"/>
  <c r="H168" i="3"/>
  <c r="C161" i="26" s="1"/>
  <c r="B161" i="26" s="1"/>
  <c r="H169" i="3"/>
  <c r="C162" i="26" s="1"/>
  <c r="B162" i="26" s="1"/>
  <c r="H170" i="3"/>
  <c r="C163" i="26" s="1"/>
  <c r="B163" i="26" s="1"/>
  <c r="H171" i="3"/>
  <c r="C164" i="26" s="1"/>
  <c r="B164" i="26" s="1"/>
  <c r="H172" i="3"/>
  <c r="C165" i="26" s="1"/>
  <c r="B165" i="26" s="1"/>
  <c r="H173" i="3"/>
  <c r="C166" i="26" s="1"/>
  <c r="B166" i="26" s="1"/>
  <c r="H174" i="3"/>
  <c r="C167" i="26" s="1"/>
  <c r="B167" i="26" s="1"/>
  <c r="H175" i="3"/>
  <c r="C168" i="26" s="1"/>
  <c r="B168" i="26" s="1"/>
  <c r="H176" i="3"/>
  <c r="C169" i="26" s="1"/>
  <c r="B169" i="26" s="1"/>
  <c r="H177" i="3"/>
  <c r="C170" i="26" s="1"/>
  <c r="B170" i="26" s="1"/>
  <c r="H178" i="3"/>
  <c r="C171" i="26" s="1"/>
  <c r="B171" i="26" s="1"/>
  <c r="H179" i="3"/>
  <c r="C172" i="26" s="1"/>
  <c r="B172" i="26" s="1"/>
  <c r="H180" i="3"/>
  <c r="C173" i="26" s="1"/>
  <c r="B173" i="26" s="1"/>
  <c r="H181" i="3"/>
  <c r="C174" i="26" s="1"/>
  <c r="B174" i="26" s="1"/>
  <c r="H182" i="3"/>
  <c r="C175" i="26" s="1"/>
  <c r="B175" i="26" s="1"/>
  <c r="H183" i="3"/>
  <c r="C176" i="26" s="1"/>
  <c r="B176" i="26" s="1"/>
  <c r="H184" i="3"/>
  <c r="C177" i="26" s="1"/>
  <c r="B177" i="26" s="1"/>
  <c r="H185" i="3"/>
  <c r="C178" i="26" s="1"/>
  <c r="B178" i="26" s="1"/>
  <c r="H186" i="3"/>
  <c r="C179" i="26" s="1"/>
  <c r="B179" i="26" s="1"/>
  <c r="H187" i="3"/>
  <c r="C180" i="26" s="1"/>
  <c r="B180" i="26" s="1"/>
  <c r="H188" i="3"/>
  <c r="C181" i="26" s="1"/>
  <c r="B181" i="26" s="1"/>
  <c r="H189" i="3"/>
  <c r="C182" i="26" s="1"/>
  <c r="B182" i="26" s="1"/>
  <c r="H190" i="3"/>
  <c r="C183" i="26" s="1"/>
  <c r="B183" i="26" s="1"/>
  <c r="H191" i="3"/>
  <c r="C184" i="26" s="1"/>
  <c r="B184" i="26" s="1"/>
  <c r="H192" i="3"/>
  <c r="C185" i="26" s="1"/>
  <c r="B185" i="26" s="1"/>
  <c r="H193" i="3"/>
  <c r="C186" i="26" s="1"/>
  <c r="B186" i="26" s="1"/>
  <c r="H194" i="3"/>
  <c r="C187" i="26" s="1"/>
  <c r="B187" i="26" s="1"/>
  <c r="H195" i="3"/>
  <c r="C188" i="26" s="1"/>
  <c r="B188" i="26" s="1"/>
  <c r="H196" i="3"/>
  <c r="C189" i="26" s="1"/>
  <c r="B189" i="26" s="1"/>
  <c r="H197" i="3"/>
  <c r="C190" i="26" s="1"/>
  <c r="B190" i="26" s="1"/>
  <c r="H198" i="3"/>
  <c r="C191" i="26" s="1"/>
  <c r="B191" i="26" s="1"/>
  <c r="H199" i="3"/>
  <c r="C192" i="26" s="1"/>
  <c r="B192" i="26" s="1"/>
  <c r="H200" i="3"/>
  <c r="C193" i="26" s="1"/>
  <c r="B193" i="26" s="1"/>
  <c r="H201" i="3"/>
  <c r="C194" i="26" s="1"/>
  <c r="B194" i="26" s="1"/>
  <c r="H202" i="3"/>
  <c r="C195" i="26" s="1"/>
  <c r="B195" i="26" s="1"/>
  <c r="H203" i="3"/>
  <c r="C196" i="26" s="1"/>
  <c r="B196" i="26" s="1"/>
  <c r="H204" i="3"/>
  <c r="C197" i="26" s="1"/>
  <c r="B197" i="26" s="1"/>
  <c r="H205" i="3"/>
  <c r="C198" i="26" s="1"/>
  <c r="B198" i="26" s="1"/>
  <c r="H206" i="3"/>
  <c r="C199" i="26" s="1"/>
  <c r="B199" i="26" s="1"/>
  <c r="H207" i="3"/>
  <c r="C200" i="26" s="1"/>
  <c r="B200" i="26" s="1"/>
  <c r="H208" i="3"/>
  <c r="C201" i="26" s="1"/>
  <c r="B201" i="26" s="1"/>
  <c r="H209" i="3"/>
  <c r="C202" i="26" s="1"/>
  <c r="B202" i="26" s="1"/>
  <c r="H210" i="3"/>
  <c r="C203" i="26" s="1"/>
  <c r="B203" i="26" s="1"/>
  <c r="H211" i="3"/>
  <c r="C204" i="26" s="1"/>
  <c r="B204" i="26" s="1"/>
  <c r="H212" i="3"/>
  <c r="C205" i="26" s="1"/>
  <c r="B205" i="26" s="1"/>
  <c r="H213" i="3"/>
  <c r="C206" i="26" s="1"/>
  <c r="B206" i="26" s="1"/>
  <c r="H214" i="3"/>
  <c r="C207" i="26" s="1"/>
  <c r="B207" i="26" s="1"/>
  <c r="H215" i="3"/>
  <c r="C208" i="26" s="1"/>
  <c r="B208" i="26" s="1"/>
  <c r="H216" i="3"/>
  <c r="C209" i="26" s="1"/>
  <c r="B209" i="26" s="1"/>
  <c r="H217" i="3"/>
  <c r="C210" i="26" s="1"/>
  <c r="B210" i="26" s="1"/>
  <c r="H218" i="3"/>
  <c r="C211" i="26" s="1"/>
  <c r="B211" i="26" s="1"/>
  <c r="H219" i="3"/>
  <c r="C212" i="26" s="1"/>
  <c r="B212" i="26" s="1"/>
  <c r="H220" i="3"/>
  <c r="C213" i="26" s="1"/>
  <c r="B213" i="26" s="1"/>
  <c r="H221" i="3"/>
  <c r="C214" i="26" s="1"/>
  <c r="B214" i="26" s="1"/>
  <c r="H222" i="3"/>
  <c r="C215" i="26" s="1"/>
  <c r="B215" i="26" s="1"/>
  <c r="H223" i="3"/>
  <c r="C216" i="26" s="1"/>
  <c r="B216" i="26" s="1"/>
  <c r="H224" i="3"/>
  <c r="C217" i="26" s="1"/>
  <c r="B217" i="26" s="1"/>
  <c r="H225" i="3"/>
  <c r="C218" i="26" s="1"/>
  <c r="B218" i="26" s="1"/>
  <c r="H226" i="3"/>
  <c r="C219" i="26" s="1"/>
  <c r="B219" i="26" s="1"/>
  <c r="H227" i="3"/>
  <c r="C220" i="26" s="1"/>
  <c r="B220" i="26" s="1"/>
  <c r="H228" i="3"/>
  <c r="C221" i="26" s="1"/>
  <c r="B221" i="26" s="1"/>
  <c r="H229" i="3"/>
  <c r="C222" i="26" s="1"/>
  <c r="B222" i="26" s="1"/>
  <c r="H230" i="3"/>
  <c r="C223" i="26" s="1"/>
  <c r="B223" i="26" s="1"/>
  <c r="H231" i="3"/>
  <c r="C224" i="26" s="1"/>
  <c r="B224" i="26" s="1"/>
  <c r="H232" i="3"/>
  <c r="C225" i="26" s="1"/>
  <c r="B225" i="26" s="1"/>
  <c r="H233" i="3"/>
  <c r="C226" i="26" s="1"/>
  <c r="B226" i="26" s="1"/>
  <c r="H234" i="3"/>
  <c r="C227" i="26" s="1"/>
  <c r="B227" i="26" s="1"/>
  <c r="H235" i="3"/>
  <c r="C228" i="26" s="1"/>
  <c r="B228" i="26" s="1"/>
  <c r="H236" i="3"/>
  <c r="C229" i="26" s="1"/>
  <c r="B229" i="26" s="1"/>
  <c r="H237" i="3"/>
  <c r="C230" i="26" s="1"/>
  <c r="B230" i="26" s="1"/>
  <c r="H238" i="3"/>
  <c r="C231" i="26" s="1"/>
  <c r="B231" i="26" s="1"/>
  <c r="H239" i="3"/>
  <c r="C232" i="26" s="1"/>
  <c r="B232" i="26" s="1"/>
  <c r="H240" i="3"/>
  <c r="C233" i="26" s="1"/>
  <c r="B233" i="26" s="1"/>
  <c r="H241" i="3"/>
  <c r="C234" i="26" s="1"/>
  <c r="B234" i="26" s="1"/>
  <c r="H242" i="3"/>
  <c r="C235" i="26" s="1"/>
  <c r="B235" i="26" s="1"/>
  <c r="H243" i="3"/>
  <c r="C236" i="26" s="1"/>
  <c r="B236" i="26" s="1"/>
  <c r="H244" i="3"/>
  <c r="C237" i="26" s="1"/>
  <c r="B237" i="26" s="1"/>
  <c r="H245" i="3"/>
  <c r="C238" i="26" s="1"/>
  <c r="B238" i="26" s="1"/>
  <c r="H246" i="3"/>
  <c r="C239" i="26" s="1"/>
  <c r="B239" i="26" s="1"/>
  <c r="H247" i="3"/>
  <c r="C240" i="26" s="1"/>
  <c r="B240" i="26" s="1"/>
  <c r="H248" i="3"/>
  <c r="C241" i="26" s="1"/>
  <c r="B241" i="26" s="1"/>
  <c r="H249" i="3"/>
  <c r="C242" i="26" s="1"/>
  <c r="B242" i="26" s="1"/>
  <c r="H250" i="3"/>
  <c r="C243" i="26" s="1"/>
  <c r="B243" i="26" s="1"/>
  <c r="H251" i="3"/>
  <c r="C244" i="26" s="1"/>
  <c r="B244" i="26" s="1"/>
  <c r="H252" i="3"/>
  <c r="C245" i="26" s="1"/>
  <c r="B245" i="26" s="1"/>
  <c r="H253" i="3"/>
  <c r="C246" i="26" s="1"/>
  <c r="B246" i="26" s="1"/>
  <c r="H254" i="3"/>
  <c r="C247" i="26" s="1"/>
  <c r="B247" i="26" s="1"/>
  <c r="H255" i="3"/>
  <c r="C248" i="26" s="1"/>
  <c r="B248" i="26" s="1"/>
  <c r="H256" i="3"/>
  <c r="C249" i="26" s="1"/>
  <c r="B249" i="26" s="1"/>
  <c r="H257" i="3"/>
  <c r="C250" i="26" s="1"/>
  <c r="B250" i="26" s="1"/>
  <c r="H258" i="3"/>
  <c r="C251" i="26" s="1"/>
  <c r="B251" i="26" s="1"/>
  <c r="H259" i="3"/>
  <c r="C252" i="26" s="1"/>
  <c r="B252" i="26" s="1"/>
  <c r="H260" i="3"/>
  <c r="C253" i="26" s="1"/>
  <c r="B253" i="26" s="1"/>
  <c r="H261" i="3"/>
  <c r="C254" i="26" s="1"/>
  <c r="B254" i="26" s="1"/>
  <c r="H262" i="3"/>
  <c r="C255" i="26" s="1"/>
  <c r="B255" i="26" s="1"/>
  <c r="H263" i="3"/>
  <c r="C256" i="26" s="1"/>
  <c r="B256" i="26" s="1"/>
  <c r="H264" i="3"/>
  <c r="C257" i="26" s="1"/>
  <c r="B257" i="26" s="1"/>
  <c r="H265" i="3"/>
  <c r="C258" i="26" s="1"/>
  <c r="B258" i="26" s="1"/>
  <c r="H266" i="3"/>
  <c r="C259" i="26" s="1"/>
  <c r="B259" i="26" s="1"/>
  <c r="H267" i="3"/>
  <c r="C260" i="26" s="1"/>
  <c r="B260" i="26" s="1"/>
  <c r="H268" i="3"/>
  <c r="C261" i="26" s="1"/>
  <c r="B261" i="26" s="1"/>
  <c r="H269" i="3"/>
  <c r="C262" i="26" s="1"/>
  <c r="B262" i="26" s="1"/>
  <c r="H270" i="3"/>
  <c r="C263" i="26" s="1"/>
  <c r="B263" i="26" s="1"/>
  <c r="H271" i="3"/>
  <c r="C264" i="26" s="1"/>
  <c r="B264" i="26" s="1"/>
  <c r="H272" i="3"/>
  <c r="C265" i="26" s="1"/>
  <c r="B265" i="26" s="1"/>
  <c r="H273" i="3"/>
  <c r="C266" i="26" s="1"/>
  <c r="B266" i="26" s="1"/>
  <c r="H274" i="3"/>
  <c r="C267" i="26" s="1"/>
  <c r="B267" i="26" s="1"/>
  <c r="H275" i="3"/>
  <c r="C268" i="26" s="1"/>
  <c r="B268" i="26" s="1"/>
  <c r="H276" i="3"/>
  <c r="C269" i="26" s="1"/>
  <c r="B269" i="26" s="1"/>
  <c r="H277" i="3"/>
  <c r="C270" i="26" s="1"/>
  <c r="B270" i="26" s="1"/>
  <c r="H278" i="3"/>
  <c r="C271" i="26" s="1"/>
  <c r="B271" i="26" s="1"/>
  <c r="H279" i="3"/>
  <c r="C272" i="26" s="1"/>
  <c r="B272" i="26" s="1"/>
  <c r="H280" i="3"/>
  <c r="C273" i="26" s="1"/>
  <c r="B273" i="26" s="1"/>
  <c r="H281" i="3"/>
  <c r="C274" i="26" s="1"/>
  <c r="B274" i="26" s="1"/>
  <c r="H282" i="3"/>
  <c r="C275" i="26" s="1"/>
  <c r="B275" i="26" s="1"/>
  <c r="H283" i="3"/>
  <c r="C276" i="26" s="1"/>
  <c r="B276" i="26" s="1"/>
  <c r="H284" i="3"/>
  <c r="C277" i="26" s="1"/>
  <c r="B277" i="26" s="1"/>
  <c r="H285" i="3"/>
  <c r="C278" i="26" s="1"/>
  <c r="B278" i="26" s="1"/>
  <c r="H286" i="3"/>
  <c r="C279" i="26" s="1"/>
  <c r="B279" i="26" s="1"/>
  <c r="H287" i="3"/>
  <c r="C280" i="26" s="1"/>
  <c r="B280" i="26" s="1"/>
  <c r="H288" i="3"/>
  <c r="C281" i="26" s="1"/>
  <c r="B281" i="26" s="1"/>
  <c r="H289" i="3"/>
  <c r="C282" i="26" s="1"/>
  <c r="B282" i="26" s="1"/>
  <c r="H290" i="3"/>
  <c r="C283" i="26" s="1"/>
  <c r="B283" i="26" s="1"/>
  <c r="H291" i="3"/>
  <c r="C284" i="26" s="1"/>
  <c r="B284" i="26" s="1"/>
  <c r="H292" i="3"/>
  <c r="C285" i="26" s="1"/>
  <c r="B285" i="26" s="1"/>
  <c r="H293" i="3"/>
  <c r="C286" i="26" s="1"/>
  <c r="B286" i="26" s="1"/>
  <c r="H294" i="3"/>
  <c r="C287" i="26" s="1"/>
  <c r="B287" i="26" s="1"/>
  <c r="H295" i="3"/>
  <c r="C288" i="26" s="1"/>
  <c r="B288" i="26" s="1"/>
  <c r="H296" i="3"/>
  <c r="C289" i="26" s="1"/>
  <c r="B289" i="26" s="1"/>
  <c r="H297" i="3"/>
  <c r="C290" i="26" s="1"/>
  <c r="B290" i="26" s="1"/>
  <c r="H298" i="3"/>
  <c r="C291" i="26" s="1"/>
  <c r="B291" i="26" s="1"/>
  <c r="H299" i="3"/>
  <c r="C292" i="26" s="1"/>
  <c r="B292" i="26" s="1"/>
  <c r="H300" i="3"/>
  <c r="C293" i="26" s="1"/>
  <c r="B293" i="26" s="1"/>
  <c r="H301" i="3"/>
  <c r="C294" i="26" s="1"/>
  <c r="B294" i="26" s="1"/>
  <c r="H302" i="3"/>
  <c r="C295" i="26" s="1"/>
  <c r="B295" i="26" s="1"/>
  <c r="H303" i="3"/>
  <c r="C296" i="26" s="1"/>
  <c r="B296" i="26" s="1"/>
  <c r="H304" i="3"/>
  <c r="C297" i="26" s="1"/>
  <c r="B297" i="26" s="1"/>
  <c r="H305" i="3"/>
  <c r="C298" i="26" s="1"/>
  <c r="B298" i="26" s="1"/>
  <c r="H306" i="3"/>
  <c r="C299" i="26" s="1"/>
  <c r="B299" i="26" s="1"/>
  <c r="H307" i="3"/>
  <c r="C300" i="26" s="1"/>
  <c r="B300" i="26" s="1"/>
  <c r="H308" i="3"/>
  <c r="C301" i="26" s="1"/>
  <c r="B301" i="26" s="1"/>
  <c r="H309" i="3"/>
  <c r="C302" i="26" s="1"/>
  <c r="B302" i="26" s="1"/>
  <c r="H310" i="3"/>
  <c r="C303" i="26" s="1"/>
  <c r="B303" i="26" s="1"/>
  <c r="H311" i="3"/>
  <c r="C304" i="26" s="1"/>
  <c r="B304" i="26" s="1"/>
  <c r="H312" i="3"/>
  <c r="C305" i="26" s="1"/>
  <c r="B305" i="26" s="1"/>
  <c r="H313" i="3"/>
  <c r="C306" i="26" s="1"/>
  <c r="B306" i="26" s="1"/>
  <c r="H314" i="3"/>
  <c r="C307" i="26" s="1"/>
  <c r="B307" i="26" s="1"/>
  <c r="H315" i="3"/>
  <c r="C308" i="26" s="1"/>
  <c r="B308" i="26" s="1"/>
  <c r="H316" i="3"/>
  <c r="C309" i="26" s="1"/>
  <c r="B309" i="26" s="1"/>
  <c r="H317" i="3"/>
  <c r="C310" i="26" s="1"/>
  <c r="B310" i="26" s="1"/>
  <c r="H318" i="3"/>
  <c r="C311" i="26" s="1"/>
  <c r="B311" i="26" s="1"/>
  <c r="H319" i="3"/>
  <c r="C312" i="26" s="1"/>
  <c r="B312" i="26" s="1"/>
  <c r="H320" i="3"/>
  <c r="C313" i="26" s="1"/>
  <c r="B313" i="26" s="1"/>
  <c r="H321" i="3"/>
  <c r="C314" i="26" s="1"/>
  <c r="B314" i="26" s="1"/>
  <c r="H322" i="3"/>
  <c r="C315" i="26" s="1"/>
  <c r="B315" i="26" s="1"/>
  <c r="H323" i="3"/>
  <c r="C316" i="26" s="1"/>
  <c r="B316" i="26" s="1"/>
  <c r="H324" i="3"/>
  <c r="C317" i="26" s="1"/>
  <c r="B317" i="26" s="1"/>
  <c r="H325" i="3"/>
  <c r="C318" i="26" s="1"/>
  <c r="B318" i="26" s="1"/>
  <c r="H326" i="3"/>
  <c r="C319" i="26" s="1"/>
  <c r="B319" i="26" s="1"/>
  <c r="H327" i="3"/>
  <c r="C320" i="26" s="1"/>
  <c r="B320" i="26" s="1"/>
  <c r="H328" i="3"/>
  <c r="C321" i="26" s="1"/>
  <c r="B321" i="26" s="1"/>
  <c r="H329" i="3"/>
  <c r="C322" i="26" s="1"/>
  <c r="B322" i="26" s="1"/>
  <c r="H330" i="3"/>
  <c r="C323" i="26" s="1"/>
  <c r="B323" i="26" s="1"/>
  <c r="H331" i="3"/>
  <c r="C324" i="26" s="1"/>
  <c r="B324" i="26" s="1"/>
  <c r="H332" i="3"/>
  <c r="C325" i="26" s="1"/>
  <c r="B325" i="26" s="1"/>
  <c r="H333" i="3"/>
  <c r="C326" i="26" s="1"/>
  <c r="B326" i="26" s="1"/>
  <c r="H334" i="3"/>
  <c r="C327" i="26" s="1"/>
  <c r="B327" i="26" s="1"/>
  <c r="H335" i="3"/>
  <c r="C328" i="26" s="1"/>
  <c r="B328" i="26" s="1"/>
  <c r="H336" i="3"/>
  <c r="C329" i="26" s="1"/>
  <c r="B329" i="26" s="1"/>
  <c r="H337" i="3"/>
  <c r="C330" i="26" s="1"/>
  <c r="B330" i="26" s="1"/>
  <c r="H338" i="3"/>
  <c r="C331" i="26" s="1"/>
  <c r="B331" i="26" s="1"/>
  <c r="H339" i="3"/>
  <c r="C332" i="26" s="1"/>
  <c r="B332" i="26" s="1"/>
  <c r="H340" i="3"/>
  <c r="C333" i="26" s="1"/>
  <c r="B333" i="26" s="1"/>
  <c r="H341" i="3"/>
  <c r="C334" i="26" s="1"/>
  <c r="B334" i="26" s="1"/>
  <c r="H342" i="3"/>
  <c r="C335" i="26" s="1"/>
  <c r="B335" i="26" s="1"/>
  <c r="H343" i="3"/>
  <c r="C336" i="26" s="1"/>
  <c r="B336" i="26" s="1"/>
  <c r="H344" i="3"/>
  <c r="C337" i="26" s="1"/>
  <c r="B337" i="26" s="1"/>
  <c r="H345" i="3"/>
  <c r="C338" i="26" s="1"/>
  <c r="B338" i="26" s="1"/>
  <c r="H346" i="3"/>
  <c r="C339" i="26" s="1"/>
  <c r="B339" i="26" s="1"/>
  <c r="H347" i="3"/>
  <c r="C340" i="26" s="1"/>
  <c r="B340" i="26" s="1"/>
  <c r="H348" i="3"/>
  <c r="C341" i="26" s="1"/>
  <c r="B341" i="26" s="1"/>
  <c r="H349" i="3"/>
  <c r="C342" i="26" s="1"/>
  <c r="B342" i="26" s="1"/>
  <c r="H350" i="3"/>
  <c r="C343" i="26" s="1"/>
  <c r="B343" i="26" s="1"/>
  <c r="H351" i="3"/>
  <c r="C344" i="26" s="1"/>
  <c r="B344" i="26" s="1"/>
  <c r="H352" i="3"/>
  <c r="C345" i="26" s="1"/>
  <c r="B345" i="26" s="1"/>
  <c r="H353" i="3"/>
  <c r="C346" i="26" s="1"/>
  <c r="B346" i="26" s="1"/>
  <c r="H354" i="3"/>
  <c r="C347" i="26" s="1"/>
  <c r="B347" i="26" s="1"/>
  <c r="H355" i="3"/>
  <c r="C348" i="26" s="1"/>
  <c r="B348" i="26" s="1"/>
  <c r="H356" i="3"/>
  <c r="C349" i="26" s="1"/>
  <c r="B349" i="26" s="1"/>
  <c r="H357" i="3"/>
  <c r="C350" i="26" s="1"/>
  <c r="B350" i="26" s="1"/>
  <c r="H358" i="3"/>
  <c r="C351" i="26" s="1"/>
  <c r="B351" i="26" s="1"/>
  <c r="H359" i="3"/>
  <c r="C352" i="26" s="1"/>
  <c r="B352" i="26" s="1"/>
  <c r="H360" i="3"/>
  <c r="C353" i="26" s="1"/>
  <c r="B353" i="26" s="1"/>
  <c r="H361" i="3"/>
  <c r="C354" i="26" s="1"/>
  <c r="B354" i="26" s="1"/>
  <c r="H362" i="3"/>
  <c r="C355" i="26" s="1"/>
  <c r="B355" i="26" s="1"/>
  <c r="H363" i="3"/>
  <c r="C356" i="26" s="1"/>
  <c r="B356" i="26" s="1"/>
  <c r="H364" i="3"/>
  <c r="C357" i="26" s="1"/>
  <c r="B357" i="26" s="1"/>
  <c r="H365" i="3"/>
  <c r="C358" i="26" s="1"/>
  <c r="B358" i="26" s="1"/>
  <c r="H366" i="3"/>
  <c r="C359" i="26" s="1"/>
  <c r="B359" i="26" s="1"/>
  <c r="H367" i="3"/>
  <c r="C360" i="26" s="1"/>
  <c r="B360" i="26" s="1"/>
  <c r="H368" i="3"/>
  <c r="C361" i="26" s="1"/>
  <c r="B361" i="26" s="1"/>
  <c r="H369" i="3"/>
  <c r="C362" i="26" s="1"/>
  <c r="B362" i="26" s="1"/>
  <c r="H370" i="3"/>
  <c r="C363" i="26" s="1"/>
  <c r="B363" i="26" s="1"/>
  <c r="H371" i="3"/>
  <c r="C364" i="26" s="1"/>
  <c r="B364" i="26" s="1"/>
  <c r="H372" i="3"/>
  <c r="C365" i="26" s="1"/>
  <c r="B365" i="26" s="1"/>
  <c r="H373" i="3"/>
  <c r="C366" i="26" s="1"/>
  <c r="B366" i="26" s="1"/>
  <c r="H374" i="3"/>
  <c r="C367" i="26" s="1"/>
  <c r="B367" i="26" s="1"/>
  <c r="H375" i="3"/>
  <c r="C368" i="26" s="1"/>
  <c r="B368" i="26" s="1"/>
  <c r="H376" i="3"/>
  <c r="C369" i="26" s="1"/>
  <c r="B369" i="26" s="1"/>
  <c r="H377" i="3"/>
  <c r="C370" i="26" s="1"/>
  <c r="B370" i="26" s="1"/>
  <c r="H378" i="3"/>
  <c r="C371" i="26" s="1"/>
  <c r="B371" i="26" s="1"/>
  <c r="H379" i="3"/>
  <c r="C372" i="26" s="1"/>
  <c r="B372" i="26" s="1"/>
  <c r="H380" i="3"/>
  <c r="C373" i="26" s="1"/>
  <c r="B373" i="26" s="1"/>
  <c r="H381" i="3"/>
  <c r="C374" i="26" s="1"/>
  <c r="B374" i="26" s="1"/>
  <c r="H382" i="3"/>
  <c r="C375" i="26" s="1"/>
  <c r="B375" i="26" s="1"/>
  <c r="H383" i="3"/>
  <c r="C376" i="26" s="1"/>
  <c r="B376" i="26" s="1"/>
  <c r="H384" i="3"/>
  <c r="C377" i="26" s="1"/>
  <c r="B377" i="26" s="1"/>
  <c r="H385" i="3"/>
  <c r="C378" i="26" s="1"/>
  <c r="B378" i="26" s="1"/>
  <c r="H386" i="3"/>
  <c r="C379" i="26" s="1"/>
  <c r="B379" i="26" s="1"/>
  <c r="H387" i="3"/>
  <c r="C380" i="26" s="1"/>
  <c r="B380" i="26" s="1"/>
  <c r="H388" i="3"/>
  <c r="C381" i="26" s="1"/>
  <c r="B381" i="26" s="1"/>
  <c r="H389" i="3"/>
  <c r="C382" i="26" s="1"/>
  <c r="B382" i="26" s="1"/>
  <c r="H390" i="3"/>
  <c r="C383" i="26" s="1"/>
  <c r="B383" i="26" s="1"/>
  <c r="H391" i="3"/>
  <c r="C384" i="26" s="1"/>
  <c r="B384" i="26" s="1"/>
  <c r="H392" i="3"/>
  <c r="C385" i="26" s="1"/>
  <c r="B385" i="26" s="1"/>
  <c r="H393" i="3"/>
  <c r="C386" i="26" s="1"/>
  <c r="B386" i="26" s="1"/>
  <c r="H394" i="3"/>
  <c r="C387" i="26" s="1"/>
  <c r="B387" i="26" s="1"/>
  <c r="H395" i="3"/>
  <c r="C388" i="26" s="1"/>
  <c r="B388" i="26" s="1"/>
  <c r="H396" i="3"/>
  <c r="C389" i="26" s="1"/>
  <c r="B389" i="26" s="1"/>
  <c r="H397" i="3"/>
  <c r="C390" i="26" s="1"/>
  <c r="B390" i="26" s="1"/>
  <c r="H398" i="3"/>
  <c r="C391" i="26" s="1"/>
  <c r="B391" i="26" s="1"/>
  <c r="H399" i="3"/>
  <c r="C392" i="26" s="1"/>
  <c r="B392" i="26" s="1"/>
  <c r="H400" i="3"/>
  <c r="C393" i="26" s="1"/>
  <c r="B393" i="26" s="1"/>
  <c r="H401" i="3"/>
  <c r="C394" i="26" s="1"/>
  <c r="B394" i="26" s="1"/>
  <c r="H402" i="3"/>
  <c r="C395" i="26" s="1"/>
  <c r="B395" i="26" s="1"/>
  <c r="H403" i="3"/>
  <c r="C396" i="26" s="1"/>
  <c r="B396" i="26" s="1"/>
  <c r="H404" i="3"/>
  <c r="C397" i="26" s="1"/>
  <c r="B397" i="26" s="1"/>
  <c r="H405" i="3"/>
  <c r="C398" i="26" s="1"/>
  <c r="B398" i="26" s="1"/>
  <c r="H406" i="3"/>
  <c r="C399" i="26" s="1"/>
  <c r="B399" i="26" s="1"/>
  <c r="H407" i="3"/>
  <c r="C400" i="26" s="1"/>
  <c r="B400" i="26" s="1"/>
  <c r="H408" i="3"/>
  <c r="C401" i="26" s="1"/>
  <c r="B401" i="26" s="1"/>
  <c r="H409" i="3"/>
  <c r="C402" i="26" s="1"/>
  <c r="B402" i="26" s="1"/>
  <c r="H410" i="3"/>
  <c r="C403" i="26" s="1"/>
  <c r="B403" i="26" s="1"/>
  <c r="H411" i="3"/>
  <c r="C404" i="26" s="1"/>
  <c r="B404" i="26" s="1"/>
  <c r="H412" i="3"/>
  <c r="C405" i="26" s="1"/>
  <c r="B405" i="26" s="1"/>
  <c r="H413" i="3"/>
  <c r="C406" i="26" s="1"/>
  <c r="B406" i="26" s="1"/>
  <c r="H414" i="3"/>
  <c r="C407" i="26" s="1"/>
  <c r="B407" i="26" s="1"/>
  <c r="H415" i="3"/>
  <c r="C408" i="26" s="1"/>
  <c r="B408" i="26" s="1"/>
  <c r="H416" i="3"/>
  <c r="C409" i="26" s="1"/>
  <c r="B409" i="26" s="1"/>
  <c r="H417" i="3"/>
  <c r="C410" i="26" s="1"/>
  <c r="B410" i="26" s="1"/>
  <c r="H418" i="3"/>
  <c r="C411" i="26" s="1"/>
  <c r="B411" i="26" s="1"/>
  <c r="H419" i="3"/>
  <c r="C412" i="26" s="1"/>
  <c r="B412" i="26" s="1"/>
  <c r="H420" i="3"/>
  <c r="C413" i="26" s="1"/>
  <c r="B413" i="26" s="1"/>
  <c r="H421" i="3"/>
  <c r="C414" i="26" s="1"/>
  <c r="B414" i="26" s="1"/>
  <c r="H422" i="3"/>
  <c r="C415" i="26" s="1"/>
  <c r="B415" i="26" s="1"/>
  <c r="H423" i="3"/>
  <c r="C416" i="26" s="1"/>
  <c r="B416" i="26" s="1"/>
  <c r="H424" i="3"/>
  <c r="C417" i="26" s="1"/>
  <c r="B417" i="26" s="1"/>
  <c r="H425" i="3"/>
  <c r="C418" i="26" s="1"/>
  <c r="B418" i="26" s="1"/>
  <c r="H426" i="3"/>
  <c r="C419" i="26" s="1"/>
  <c r="B419" i="26" s="1"/>
  <c r="H427" i="3"/>
  <c r="C420" i="26" s="1"/>
  <c r="B420" i="26" s="1"/>
  <c r="H428" i="3"/>
  <c r="C421" i="26" s="1"/>
  <c r="B421" i="26" s="1"/>
  <c r="H429" i="3"/>
  <c r="C422" i="26" s="1"/>
  <c r="B422" i="26" s="1"/>
  <c r="H430" i="3"/>
  <c r="C423" i="26" s="1"/>
  <c r="B423" i="26" s="1"/>
  <c r="H431" i="3"/>
  <c r="C424" i="26" s="1"/>
  <c r="B424" i="26" s="1"/>
  <c r="H432" i="3"/>
  <c r="C425" i="26" s="1"/>
  <c r="B425" i="26" s="1"/>
  <c r="H433" i="3"/>
  <c r="C426" i="26" s="1"/>
  <c r="B426" i="26" s="1"/>
  <c r="H434" i="3"/>
  <c r="C427" i="26" s="1"/>
  <c r="B427" i="26" s="1"/>
  <c r="H435" i="3"/>
  <c r="C428" i="26" s="1"/>
  <c r="B428" i="26" s="1"/>
  <c r="H436" i="3"/>
  <c r="C429" i="26" s="1"/>
  <c r="B429" i="26" s="1"/>
  <c r="H437" i="3"/>
  <c r="C430" i="26" s="1"/>
  <c r="B430" i="26" s="1"/>
  <c r="H438" i="3"/>
  <c r="C431" i="26" s="1"/>
  <c r="B431" i="26" s="1"/>
  <c r="H439" i="3"/>
  <c r="C432" i="26" s="1"/>
  <c r="B432" i="26" s="1"/>
  <c r="H440" i="3"/>
  <c r="C433" i="26" s="1"/>
  <c r="B433" i="26" s="1"/>
  <c r="H441" i="3"/>
  <c r="C434" i="26" s="1"/>
  <c r="B434" i="26" s="1"/>
  <c r="H442" i="3"/>
  <c r="C435" i="26" s="1"/>
  <c r="B435" i="26" s="1"/>
  <c r="H443" i="3"/>
  <c r="C436" i="26" s="1"/>
  <c r="B436" i="26" s="1"/>
  <c r="H444" i="3"/>
  <c r="C437" i="26" s="1"/>
  <c r="B437" i="26" s="1"/>
  <c r="H445" i="3"/>
  <c r="C438" i="26" s="1"/>
  <c r="B438" i="26" s="1"/>
  <c r="H446" i="3"/>
  <c r="C439" i="26" s="1"/>
  <c r="B439" i="26" s="1"/>
  <c r="H447" i="3"/>
  <c r="C440" i="26" s="1"/>
  <c r="B440" i="26" s="1"/>
  <c r="H448" i="3"/>
  <c r="C441" i="26" s="1"/>
  <c r="B441" i="26" s="1"/>
  <c r="H449" i="3"/>
  <c r="C442" i="26" s="1"/>
  <c r="B442" i="26" s="1"/>
  <c r="H450" i="3"/>
  <c r="C443" i="26" s="1"/>
  <c r="B443" i="26" s="1"/>
  <c r="H451" i="3"/>
  <c r="C444" i="26" s="1"/>
  <c r="B444" i="26" s="1"/>
  <c r="H452" i="3"/>
  <c r="C445" i="26" s="1"/>
  <c r="B445" i="26" s="1"/>
  <c r="H453" i="3"/>
  <c r="C446" i="26" s="1"/>
  <c r="B446" i="26" s="1"/>
  <c r="H454" i="3"/>
  <c r="C447" i="26" s="1"/>
  <c r="B447" i="26" s="1"/>
  <c r="H455" i="3"/>
  <c r="C448" i="26" s="1"/>
  <c r="B448" i="26" s="1"/>
  <c r="H456" i="3"/>
  <c r="C449" i="26" s="1"/>
  <c r="B449" i="26" s="1"/>
  <c r="H457" i="3"/>
  <c r="C450" i="26" s="1"/>
  <c r="B450" i="26" s="1"/>
  <c r="H458" i="3"/>
  <c r="C451" i="26" s="1"/>
  <c r="B451" i="26" s="1"/>
  <c r="H459" i="3"/>
  <c r="C452" i="26" s="1"/>
  <c r="B452" i="26" s="1"/>
  <c r="H460" i="3"/>
  <c r="C453" i="26" s="1"/>
  <c r="B453" i="26" s="1"/>
  <c r="H461" i="3"/>
  <c r="C454" i="26" s="1"/>
  <c r="B454" i="26" s="1"/>
  <c r="H462" i="3"/>
  <c r="C455" i="26" s="1"/>
  <c r="B455" i="26" s="1"/>
  <c r="H463" i="3"/>
  <c r="C456" i="26" s="1"/>
  <c r="B456" i="26" s="1"/>
  <c r="H464" i="3"/>
  <c r="C457" i="26" s="1"/>
  <c r="B457" i="26" s="1"/>
  <c r="H465" i="3"/>
  <c r="C458" i="26" s="1"/>
  <c r="B458" i="26" s="1"/>
  <c r="H466" i="3"/>
  <c r="C459" i="26" s="1"/>
  <c r="B459" i="26" s="1"/>
  <c r="H467" i="3"/>
  <c r="C460" i="26" s="1"/>
  <c r="B460" i="26" s="1"/>
  <c r="H468" i="3"/>
  <c r="C461" i="26" s="1"/>
  <c r="B461" i="26" s="1"/>
  <c r="H469" i="3"/>
  <c r="C462" i="26" s="1"/>
  <c r="B462" i="26" s="1"/>
  <c r="H470" i="3"/>
  <c r="C463" i="26" s="1"/>
  <c r="B463" i="26" s="1"/>
  <c r="H471" i="3"/>
  <c r="C464" i="26" s="1"/>
  <c r="B464" i="26" s="1"/>
  <c r="H472" i="3"/>
  <c r="C465" i="26" s="1"/>
  <c r="B465" i="26" s="1"/>
  <c r="H473" i="3"/>
  <c r="C466" i="26" s="1"/>
  <c r="B466" i="26" s="1"/>
  <c r="H474" i="3"/>
  <c r="C467" i="26" s="1"/>
  <c r="B467" i="26" s="1"/>
  <c r="H475" i="3"/>
  <c r="C468" i="26" s="1"/>
  <c r="B468" i="26" s="1"/>
  <c r="H476" i="3"/>
  <c r="C469" i="26" s="1"/>
  <c r="B469" i="26" s="1"/>
  <c r="H477" i="3"/>
  <c r="C470" i="26" s="1"/>
  <c r="B470" i="26" s="1"/>
  <c r="H478" i="3"/>
  <c r="C471" i="26" s="1"/>
  <c r="B471" i="26" s="1"/>
  <c r="H479" i="3"/>
  <c r="C472" i="26" s="1"/>
  <c r="B472" i="26" s="1"/>
  <c r="H480" i="3"/>
  <c r="C473" i="26" s="1"/>
  <c r="B473" i="26" s="1"/>
  <c r="H481" i="3"/>
  <c r="C474" i="26" s="1"/>
  <c r="B474" i="26" s="1"/>
  <c r="H482" i="3"/>
  <c r="C475" i="26" s="1"/>
  <c r="B475" i="26" s="1"/>
  <c r="H483" i="3"/>
  <c r="C476" i="26" s="1"/>
  <c r="B476" i="26" s="1"/>
  <c r="H484" i="3"/>
  <c r="C477" i="26" s="1"/>
  <c r="B477" i="26" s="1"/>
  <c r="H485" i="3"/>
  <c r="C478" i="26" s="1"/>
  <c r="B478" i="26" s="1"/>
  <c r="H486" i="3"/>
  <c r="C479" i="26" s="1"/>
  <c r="B479" i="26" s="1"/>
  <c r="H487" i="3"/>
  <c r="C480" i="26" s="1"/>
  <c r="B480" i="26" s="1"/>
  <c r="H488" i="3"/>
  <c r="C481" i="26" s="1"/>
  <c r="B481" i="26" s="1"/>
  <c r="H489" i="3"/>
  <c r="C482" i="26" s="1"/>
  <c r="B482" i="26" s="1"/>
  <c r="H10" i="3"/>
  <c r="G75" i="47" l="1"/>
  <c r="DF23" i="14" s="1"/>
  <c r="G74" i="47"/>
  <c r="DF22" i="14" s="1"/>
  <c r="F72" i="47"/>
  <c r="G73" i="47"/>
  <c r="DF21" i="14" s="1"/>
  <c r="C81" i="26"/>
  <c r="B81" i="26" s="1"/>
  <c r="F15" i="50"/>
  <c r="E15" i="50"/>
  <c r="F4" i="22"/>
  <c r="F2" i="22"/>
  <c r="F7" i="22"/>
  <c r="M55" i="26"/>
  <c r="M38" i="26"/>
  <c r="M19" i="26"/>
  <c r="M51" i="26"/>
  <c r="M44" i="26"/>
  <c r="M12" i="26"/>
  <c r="M59" i="26"/>
  <c r="M57" i="26"/>
  <c r="M47" i="26"/>
  <c r="E75" i="47" s="1"/>
  <c r="DE23" i="14" s="1"/>
  <c r="D41" i="14" s="1"/>
  <c r="M17" i="26"/>
  <c r="M35" i="26"/>
  <c r="M43" i="26"/>
  <c r="M30" i="26"/>
  <c r="M53" i="26"/>
  <c r="M39" i="26"/>
  <c r="M36" i="26"/>
  <c r="M6" i="26"/>
  <c r="M27" i="26"/>
  <c r="M22" i="26"/>
  <c r="M49" i="26"/>
  <c r="M23" i="26"/>
  <c r="M24" i="26"/>
  <c r="M14" i="26"/>
  <c r="M54" i="26"/>
  <c r="M64" i="26"/>
  <c r="M50" i="26"/>
  <c r="M60" i="26"/>
  <c r="M46" i="26"/>
  <c r="E74" i="47" s="1"/>
  <c r="DE22" i="14" s="1"/>
  <c r="D38" i="14" s="1"/>
  <c r="M15" i="26"/>
  <c r="M18" i="26"/>
  <c r="M41" i="26"/>
  <c r="M7" i="26"/>
  <c r="M40" i="26"/>
  <c r="M62" i="26"/>
  <c r="M10" i="26"/>
  <c r="M33" i="26"/>
  <c r="M65" i="26"/>
  <c r="M29" i="26"/>
  <c r="M21" i="26"/>
  <c r="M31" i="26"/>
  <c r="M56" i="26"/>
  <c r="C14" i="48"/>
  <c r="W10" i="26"/>
  <c r="W9" i="26"/>
  <c r="F5" i="22"/>
  <c r="H5" i="38"/>
  <c r="I5" i="38" s="1"/>
  <c r="C3" i="26"/>
  <c r="B3" i="26" s="1"/>
  <c r="H20" i="38"/>
  <c r="I20" i="38" s="1"/>
  <c r="H52" i="38"/>
  <c r="I52" i="38" s="1"/>
  <c r="H49" i="38"/>
  <c r="I49" i="38" s="1"/>
  <c r="H17" i="38"/>
  <c r="I17" i="38" s="1"/>
  <c r="H39" i="38"/>
  <c r="I39" i="38" s="1"/>
  <c r="H7" i="38"/>
  <c r="I7" i="38" s="1"/>
  <c r="H38" i="38"/>
  <c r="I38" i="38" s="1"/>
  <c r="H6" i="38"/>
  <c r="I6" i="38" s="1"/>
  <c r="H12" i="38"/>
  <c r="I12" i="38" s="1"/>
  <c r="H40" i="38"/>
  <c r="I40" i="38" s="1"/>
  <c r="H45" i="38"/>
  <c r="I45" i="38" s="1"/>
  <c r="H13" i="38"/>
  <c r="I13" i="38" s="1"/>
  <c r="H67" i="38"/>
  <c r="I67" i="38" s="1"/>
  <c r="H35" i="38"/>
  <c r="I35" i="38" s="1"/>
  <c r="H66" i="38"/>
  <c r="I66" i="38" s="1"/>
  <c r="H34" i="38"/>
  <c r="I34" i="38" s="1"/>
  <c r="H64" i="38"/>
  <c r="I64" i="38" s="1"/>
  <c r="H28" i="38"/>
  <c r="I28" i="38" s="1"/>
  <c r="H41" i="38"/>
  <c r="I41" i="38" s="1"/>
  <c r="H9" i="38"/>
  <c r="I9" i="38" s="1"/>
  <c r="H63" i="38"/>
  <c r="I63" i="38" s="1"/>
  <c r="H31" i="38"/>
  <c r="I31" i="38" s="1"/>
  <c r="H62" i="38"/>
  <c r="I62" i="38" s="1"/>
  <c r="H30" i="38"/>
  <c r="I30" i="38" s="1"/>
  <c r="H48" i="38"/>
  <c r="I48" i="38" s="1"/>
  <c r="H8" i="38"/>
  <c r="I8" i="38" s="1"/>
  <c r="H37" i="38"/>
  <c r="I37" i="38" s="1"/>
  <c r="H59" i="38"/>
  <c r="I59" i="38" s="1"/>
  <c r="H27" i="38"/>
  <c r="I27" i="38" s="1"/>
  <c r="H58" i="38"/>
  <c r="I58" i="38" s="1"/>
  <c r="H26" i="38"/>
  <c r="I26" i="38" s="1"/>
  <c r="H36" i="38"/>
  <c r="I36" i="38" s="1"/>
  <c r="H65" i="38"/>
  <c r="I65" i="38" s="1"/>
  <c r="H33" i="38"/>
  <c r="I33" i="38" s="1"/>
  <c r="H55" i="38"/>
  <c r="I55" i="38" s="1"/>
  <c r="H23" i="38"/>
  <c r="I23" i="38" s="1"/>
  <c r="H54" i="38"/>
  <c r="I54" i="38" s="1"/>
  <c r="H22" i="38"/>
  <c r="I22" i="38" s="1"/>
  <c r="H56" i="38"/>
  <c r="I56" i="38" s="1"/>
  <c r="H24" i="38"/>
  <c r="I24" i="38" s="1"/>
  <c r="H61" i="38"/>
  <c r="I61" i="38" s="1"/>
  <c r="H29" i="38"/>
  <c r="I29" i="38" s="1"/>
  <c r="H51" i="38"/>
  <c r="I51" i="38" s="1"/>
  <c r="H19" i="38"/>
  <c r="I19" i="38" s="1"/>
  <c r="H50" i="38"/>
  <c r="I50" i="38" s="1"/>
  <c r="H18" i="38"/>
  <c r="I18" i="38" s="1"/>
  <c r="H44" i="38"/>
  <c r="I44" i="38" s="1"/>
  <c r="H16" i="38"/>
  <c r="I16" i="38" s="1"/>
  <c r="H57" i="38"/>
  <c r="I57" i="38" s="1"/>
  <c r="H25" i="38"/>
  <c r="I25" i="38" s="1"/>
  <c r="H47" i="38"/>
  <c r="I47" i="38" s="1"/>
  <c r="H15" i="38"/>
  <c r="I15" i="38" s="1"/>
  <c r="H46" i="38"/>
  <c r="I46" i="38" s="1"/>
  <c r="H14" i="38"/>
  <c r="I14" i="38" s="1"/>
  <c r="H32" i="38"/>
  <c r="I32" i="38" s="1"/>
  <c r="H60" i="38"/>
  <c r="I60" i="38" s="1"/>
  <c r="H53" i="38"/>
  <c r="I53" i="38" s="1"/>
  <c r="H21" i="38"/>
  <c r="I21" i="38" s="1"/>
  <c r="H43" i="38"/>
  <c r="I43" i="38" s="1"/>
  <c r="H11" i="38"/>
  <c r="I11" i="38" s="1"/>
  <c r="H42" i="38"/>
  <c r="I42" i="38" s="1"/>
  <c r="H10" i="38"/>
  <c r="I10" i="38" s="1"/>
  <c r="E78" i="47" l="1"/>
  <c r="E76" i="47"/>
  <c r="E79" i="47"/>
  <c r="E81" i="47"/>
  <c r="E77" i="47"/>
  <c r="E80" i="47"/>
  <c r="G72" i="47"/>
  <c r="M11" i="50"/>
  <c r="P11" i="50"/>
  <c r="L11" i="50"/>
  <c r="L20" i="50" s="1"/>
  <c r="O11" i="50"/>
  <c r="N11" i="50"/>
  <c r="N20" i="50" s="1"/>
  <c r="V16" i="22" s="1"/>
  <c r="S7" i="50"/>
  <c r="W7" i="50"/>
  <c r="V7" i="50"/>
  <c r="U7" i="50"/>
  <c r="T7" i="50"/>
  <c r="W7" i="26"/>
  <c r="W8" i="26"/>
  <c r="C117" i="46"/>
  <c r="C121" i="46"/>
  <c r="D16" i="22" l="1"/>
  <c r="H35" i="50"/>
  <c r="H43" i="50" s="1"/>
  <c r="D10" i="22" s="1"/>
  <c r="X7" i="50"/>
  <c r="V13" i="26"/>
  <c r="V12" i="26"/>
  <c r="W13" i="26"/>
  <c r="W12" i="26"/>
  <c r="C119" i="46"/>
  <c r="D118" i="46"/>
  <c r="D117" i="46"/>
  <c r="C120" i="46"/>
  <c r="D115" i="46"/>
  <c r="C116" i="46"/>
  <c r="C122" i="46"/>
  <c r="C123" i="46"/>
  <c r="D114" i="46"/>
  <c r="D119" i="46"/>
  <c r="C114" i="46"/>
  <c r="D120" i="46"/>
  <c r="D121" i="46"/>
  <c r="D122" i="46"/>
  <c r="C115" i="46"/>
  <c r="C118" i="46"/>
  <c r="D116" i="46"/>
  <c r="K1" i="22" l="1"/>
  <c r="Q11" i="50"/>
  <c r="Q20" i="50" s="1"/>
  <c r="V18" i="22" s="1"/>
  <c r="G15" i="50"/>
  <c r="P7" i="50" s="1"/>
  <c r="P20" i="50" s="1"/>
  <c r="M18" i="22" s="1"/>
  <c r="C107" i="46"/>
  <c r="O7" i="50" l="1"/>
  <c r="O20" i="50" s="1"/>
  <c r="D18" i="22" s="1"/>
  <c r="M7" i="50"/>
  <c r="M20" i="50" s="1"/>
  <c r="M16" i="22" s="1"/>
  <c r="A41" i="27"/>
  <c r="AA22" i="26"/>
  <c r="Y22" i="26" s="1"/>
  <c r="X22" i="26" s="1"/>
  <c r="F55" i="47"/>
  <c r="DE5" i="14" s="1"/>
  <c r="DF18" i="14" l="1"/>
  <c r="DE32" i="14"/>
  <c r="C68" i="46"/>
  <c r="C65" i="46"/>
  <c r="C84" i="46"/>
  <c r="C72" i="46"/>
  <c r="D87" i="46"/>
  <c r="D88" i="46"/>
  <c r="C70" i="46"/>
  <c r="D67" i="46"/>
  <c r="D97" i="46"/>
  <c r="D90" i="46"/>
  <c r="C73" i="46"/>
  <c r="D91" i="46"/>
  <c r="D86" i="46"/>
  <c r="D84" i="46"/>
  <c r="C91" i="46"/>
  <c r="D65" i="46"/>
  <c r="D95" i="46"/>
  <c r="C83" i="46"/>
  <c r="C96" i="46"/>
  <c r="C99" i="46"/>
  <c r="D99" i="46"/>
  <c r="C69" i="46"/>
  <c r="C88" i="46"/>
  <c r="D69" i="46"/>
  <c r="C67" i="46"/>
  <c r="C97" i="46"/>
  <c r="C90" i="46"/>
  <c r="D89" i="46"/>
  <c r="C86" i="46"/>
  <c r="C66" i="46"/>
  <c r="D98" i="46"/>
  <c r="C98" i="46"/>
  <c r="D85" i="46"/>
  <c r="C89" i="46"/>
  <c r="C95" i="46"/>
  <c r="C71" i="46"/>
  <c r="C85" i="46"/>
  <c r="D83" i="46"/>
  <c r="C87" i="46"/>
  <c r="D68" i="46"/>
  <c r="D96" i="46" l="1"/>
  <c r="D94" i="46" s="1"/>
  <c r="D82" i="46" s="1"/>
  <c r="D66" i="46"/>
  <c r="C74" i="46"/>
  <c r="C94" i="46"/>
  <c r="C82" i="46" s="1"/>
  <c r="D73" i="46"/>
  <c r="D70" i="46"/>
  <c r="D74" i="46"/>
  <c r="D72" i="46"/>
  <c r="D71" i="46"/>
  <c r="C63" i="46" l="1"/>
  <c r="M6" i="27" s="1"/>
  <c r="C80" i="46"/>
  <c r="E57" i="47" s="1"/>
  <c r="A7" i="47" l="1"/>
  <c r="A42" i="27" s="1"/>
  <c r="DE10" i="14" l="1"/>
  <c r="DE8" i="14" l="1"/>
  <c r="I6" i="47" l="1"/>
  <c r="I58" i="47" s="1"/>
  <c r="I55" i="47" s="1"/>
  <c r="E59" i="47"/>
  <c r="E55" i="47" s="1"/>
  <c r="BF6" i="14" s="1"/>
  <c r="DE13" i="14" l="1"/>
  <c r="B5" i="14"/>
  <c r="DE6" i="14"/>
  <c r="F64" i="49"/>
  <c r="F80" i="49"/>
  <c r="P33" i="49"/>
  <c r="P15" i="49"/>
  <c r="P60" i="49"/>
  <c r="P80" i="49"/>
  <c r="F15" i="49" l="1"/>
  <c r="P85" i="49"/>
  <c r="P17" i="49"/>
  <c r="P30" i="49"/>
  <c r="P54" i="49"/>
  <c r="F63" i="49"/>
  <c r="P76" i="49"/>
  <c r="F22" i="49"/>
  <c r="F66" i="49"/>
  <c r="F31" i="49"/>
  <c r="F54" i="49"/>
  <c r="F17" i="49"/>
  <c r="F57" i="49"/>
  <c r="F76" i="49"/>
  <c r="P63" i="49"/>
  <c r="P27" i="49"/>
  <c r="P65" i="49"/>
  <c r="P66" i="49"/>
  <c r="P31" i="49"/>
  <c r="F30" i="49"/>
  <c r="F65" i="49"/>
  <c r="P57" i="49"/>
  <c r="P22" i="49"/>
  <c r="F27" i="49"/>
  <c r="F21" i="49" l="1"/>
  <c r="F23" i="49"/>
  <c r="F24" i="49"/>
  <c r="F33" i="49"/>
  <c r="F40" i="49"/>
  <c r="F44" i="49"/>
  <c r="F47" i="49"/>
  <c r="F58" i="49"/>
  <c r="F60" i="49"/>
  <c r="F61" i="49"/>
  <c r="F74" i="49"/>
  <c r="F85" i="49"/>
  <c r="P61" i="49"/>
  <c r="P24" i="49"/>
  <c r="P47" i="49"/>
  <c r="P58" i="49"/>
  <c r="P23" i="49"/>
  <c r="P64" i="49"/>
  <c r="P40" i="49"/>
  <c r="P44" i="49"/>
  <c r="P74" i="49"/>
  <c r="P21" i="49"/>
  <c r="E39" i="47" l="1"/>
  <c r="DM36" i="14" s="1"/>
  <c r="E29" i="47"/>
  <c r="DM26" i="14" s="1"/>
  <c r="E47" i="47"/>
  <c r="DM44" i="14" s="1"/>
  <c r="E27" i="47"/>
  <c r="DM24" i="14" s="1"/>
  <c r="E46" i="47"/>
  <c r="DM43" i="14" s="1"/>
  <c r="E42" i="47"/>
  <c r="DM39" i="14" s="1"/>
  <c r="E45" i="47"/>
  <c r="DM42" i="14" s="1"/>
  <c r="E34" i="47"/>
  <c r="DM31" i="14" s="1"/>
  <c r="E36" i="47"/>
  <c r="DM33" i="14" s="1"/>
  <c r="E25" i="47"/>
  <c r="DM22" i="14" s="1"/>
  <c r="E11" i="47"/>
  <c r="DM8" i="14" s="1"/>
  <c r="E17" i="47"/>
  <c r="DM14" i="14" s="1"/>
  <c r="E10" i="47"/>
  <c r="DM7" i="14" s="1"/>
  <c r="E32" i="47"/>
  <c r="DM29" i="14" s="1"/>
  <c r="E24" i="47"/>
  <c r="DM21" i="14" s="1"/>
  <c r="E23" i="47"/>
  <c r="DM20" i="14" s="1"/>
  <c r="E31" i="47"/>
  <c r="DM28" i="14" s="1"/>
  <c r="E37" i="47"/>
  <c r="DM34" i="14" s="1"/>
  <c r="E20" i="47"/>
  <c r="DM17" i="14" s="1"/>
  <c r="E44" i="47"/>
  <c r="DM41" i="14" s="1"/>
  <c r="E19" i="47"/>
  <c r="DM16" i="14" s="1"/>
  <c r="E18" i="47"/>
  <c r="DM15" i="14" s="1"/>
  <c r="E16" i="47"/>
  <c r="DM13" i="14" s="1"/>
  <c r="E22" i="47"/>
  <c r="DM19" i="14" s="1"/>
  <c r="E50" i="47"/>
  <c r="DM47" i="14" s="1"/>
  <c r="E41" i="47"/>
  <c r="DM38" i="14" s="1"/>
  <c r="E38" i="47"/>
  <c r="DM35" i="14" s="1"/>
  <c r="E43" i="47"/>
  <c r="DM40" i="14" s="1"/>
  <c r="E35" i="47"/>
  <c r="DM32" i="14" s="1"/>
  <c r="E26" i="47"/>
  <c r="DM23" i="14" s="1"/>
  <c r="E28" i="47"/>
  <c r="DM25" i="14" s="1"/>
  <c r="E15" i="47"/>
  <c r="DM12" i="14" s="1"/>
  <c r="E40" i="47"/>
  <c r="DM37" i="14" s="1"/>
  <c r="E48" i="47"/>
  <c r="DM45" i="14" s="1"/>
  <c r="E9" i="47"/>
  <c r="DM6" i="14" s="1"/>
  <c r="E33" i="47"/>
  <c r="DM30" i="14" s="1"/>
  <c r="E13" i="47"/>
  <c r="DM10" i="14" s="1"/>
  <c r="E49" i="47"/>
  <c r="DM46" i="14" s="1"/>
  <c r="E30" i="47"/>
  <c r="DM27" i="14" s="1"/>
  <c r="E21" i="47"/>
  <c r="DM18" i="14" s="1"/>
  <c r="E14" i="47"/>
  <c r="DM11" i="14" s="1"/>
  <c r="E12" i="47"/>
  <c r="DM9" i="14" s="1"/>
  <c r="D35" i="14"/>
  <c r="P79" i="49"/>
  <c r="M27" i="47" l="1"/>
  <c r="O27" i="47" s="1"/>
  <c r="DN24" i="14" s="1"/>
  <c r="P55" i="49" l="1"/>
  <c r="M30" i="47" l="1"/>
  <c r="M29" i="47"/>
  <c r="M22" i="47"/>
  <c r="M19" i="47"/>
  <c r="M20" i="47"/>
  <c r="M18" i="47"/>
  <c r="M24" i="47"/>
  <c r="O24" i="47" s="1"/>
  <c r="DN21" i="14" s="1"/>
  <c r="M26" i="47"/>
  <c r="M15" i="47"/>
  <c r="O15" i="47" s="1"/>
  <c r="DN12" i="14" s="1"/>
  <c r="M25" i="47"/>
  <c r="O25" i="47" s="1"/>
  <c r="DN22" i="14" s="1"/>
  <c r="M23" i="47"/>
  <c r="O23" i="47" s="1"/>
  <c r="DN20" i="14" s="1"/>
  <c r="M16" i="47"/>
  <c r="O16" i="47" s="1"/>
  <c r="DN13" i="14" s="1"/>
  <c r="M21" i="47"/>
  <c r="O21" i="47" s="1"/>
  <c r="DN18" i="14" s="1"/>
  <c r="M17" i="47"/>
  <c r="M12" i="47"/>
  <c r="M14" i="47"/>
  <c r="M9" i="47"/>
  <c r="O9" i="47" s="1"/>
  <c r="DN6" i="14" s="1"/>
  <c r="M13" i="47"/>
  <c r="O13" i="47" s="1"/>
  <c r="DN10" i="14" s="1"/>
  <c r="M37" i="47"/>
  <c r="O37" i="47" s="1"/>
  <c r="DN34" i="14" s="1"/>
  <c r="M35" i="47"/>
  <c r="O35" i="47" s="1"/>
  <c r="DN32" i="14" s="1"/>
  <c r="M31" i="47"/>
  <c r="O31" i="47" s="1"/>
  <c r="DN28" i="14" s="1"/>
  <c r="M34" i="47"/>
  <c r="O34" i="47" s="1"/>
  <c r="DN31" i="14" s="1"/>
  <c r="M36" i="47"/>
  <c r="M42" i="47"/>
  <c r="O42" i="47" s="1"/>
  <c r="DN39" i="14" s="1"/>
  <c r="M32" i="47"/>
  <c r="O32" i="47" s="1"/>
  <c r="DN29" i="14" s="1"/>
  <c r="M44" i="47"/>
  <c r="O44" i="47" s="1"/>
  <c r="DN41" i="14" s="1"/>
  <c r="M45" i="47"/>
  <c r="M38" i="47"/>
  <c r="M43" i="47"/>
  <c r="M46" i="47"/>
  <c r="O46" i="47" s="1"/>
  <c r="DN43" i="14" s="1"/>
  <c r="M39" i="47"/>
  <c r="O39" i="47" s="1"/>
  <c r="DN36" i="14" s="1"/>
  <c r="M40" i="47"/>
  <c r="O40" i="47" s="1"/>
  <c r="DN37" i="14" s="1"/>
  <c r="M41" i="47"/>
  <c r="O41" i="47" s="1"/>
  <c r="DN38" i="14" s="1"/>
  <c r="M47" i="47"/>
  <c r="O47" i="47" s="1"/>
  <c r="DN44" i="14" s="1"/>
  <c r="M50" i="47"/>
  <c r="O50" i="47" s="1"/>
  <c r="DN47" i="14" s="1"/>
  <c r="M48" i="47"/>
  <c r="O48" i="47" s="1"/>
  <c r="DN45" i="14" s="1"/>
  <c r="M49" i="47"/>
  <c r="O49" i="47" s="1"/>
  <c r="DN46" i="14" s="1"/>
  <c r="U31" i="47" l="1"/>
  <c r="K31" i="47" s="1"/>
  <c r="U49" i="47"/>
  <c r="K49" i="47" s="1"/>
  <c r="U40" i="47"/>
  <c r="K40" i="47" s="1"/>
  <c r="U16" i="47"/>
  <c r="K16" i="47" s="1"/>
  <c r="U9" i="47"/>
  <c r="K9" i="47" s="1"/>
  <c r="U37" i="47"/>
  <c r="K37" i="47" s="1"/>
  <c r="U22" i="47"/>
  <c r="K22" i="47" s="1"/>
  <c r="O22" i="47" s="1"/>
  <c r="DN19" i="14" s="1"/>
  <c r="U10" i="47"/>
  <c r="K10" i="47" s="1"/>
  <c r="U27" i="47"/>
  <c r="K27" i="47" s="1"/>
  <c r="U33" i="47"/>
  <c r="K33" i="47" s="1"/>
  <c r="U39" i="47"/>
  <c r="K39" i="47" s="1"/>
  <c r="U46" i="47"/>
  <c r="K46" i="47" s="1"/>
  <c r="U18" i="47"/>
  <c r="K18" i="47" s="1"/>
  <c r="O18" i="47" s="1"/>
  <c r="DN15" i="14" s="1"/>
  <c r="U43" i="47"/>
  <c r="K43" i="47" s="1"/>
  <c r="O43" i="47" s="1"/>
  <c r="DN40" i="14" s="1"/>
  <c r="U34" i="47"/>
  <c r="K34" i="47" s="1"/>
  <c r="U44" i="47"/>
  <c r="K44" i="47" s="1"/>
  <c r="U28" i="47"/>
  <c r="K28" i="47" s="1"/>
  <c r="U25" i="47"/>
  <c r="K25" i="47" s="1"/>
  <c r="U30" i="47"/>
  <c r="K30" i="47" s="1"/>
  <c r="O30" i="47" s="1"/>
  <c r="DN27" i="14" s="1"/>
  <c r="U17" i="47"/>
  <c r="K17" i="47" s="1"/>
  <c r="O17" i="47" s="1"/>
  <c r="DN14" i="14" s="1"/>
  <c r="U41" i="47"/>
  <c r="K41" i="47" s="1"/>
  <c r="U32" i="47"/>
  <c r="K32" i="47" s="1"/>
  <c r="U29" i="47"/>
  <c r="K29" i="47" s="1"/>
  <c r="O29" i="47" s="1"/>
  <c r="DN26" i="14" s="1"/>
  <c r="U50" i="47"/>
  <c r="K50" i="47" s="1"/>
  <c r="U11" i="47"/>
  <c r="K11" i="47" s="1"/>
  <c r="U12" i="47"/>
  <c r="K12" i="47" s="1"/>
  <c r="O12" i="47" s="1"/>
  <c r="DN9" i="14" s="1"/>
  <c r="U42" i="47"/>
  <c r="K42" i="47" s="1"/>
  <c r="U36" i="47"/>
  <c r="K36" i="47" s="1"/>
  <c r="O36" i="47" s="1"/>
  <c r="DN33" i="14" s="1"/>
  <c r="U47" i="47"/>
  <c r="K47" i="47" s="1"/>
  <c r="U26" i="47"/>
  <c r="K26" i="47" s="1"/>
  <c r="O26" i="47" s="1"/>
  <c r="DN23" i="14" s="1"/>
  <c r="U45" i="47"/>
  <c r="K45" i="47" s="1"/>
  <c r="O45" i="47" s="1"/>
  <c r="DN42" i="14" s="1"/>
  <c r="U15" i="47"/>
  <c r="K15" i="47" s="1"/>
  <c r="U23" i="47"/>
  <c r="K23" i="47" s="1"/>
  <c r="U20" i="47"/>
  <c r="K20" i="47" s="1"/>
  <c r="O20" i="47" s="1"/>
  <c r="DN17" i="14" s="1"/>
  <c r="U19" i="47"/>
  <c r="K19" i="47" s="1"/>
  <c r="O19" i="47" s="1"/>
  <c r="DN16" i="14" s="1"/>
  <c r="U48" i="47"/>
  <c r="K48" i="47" s="1"/>
  <c r="U38" i="47"/>
  <c r="K38" i="47" s="1"/>
  <c r="O38" i="47" s="1"/>
  <c r="DN35" i="14" s="1"/>
  <c r="U21" i="47"/>
  <c r="K21" i="47" s="1"/>
  <c r="U35" i="47"/>
  <c r="K35" i="47" s="1"/>
  <c r="U13" i="47"/>
  <c r="K13" i="47" s="1"/>
  <c r="U24" i="47"/>
  <c r="K24" i="47" s="1"/>
  <c r="U14" i="47"/>
  <c r="K14" i="47" s="1"/>
  <c r="O14" i="47" s="1"/>
  <c r="DN11" i="14" s="1"/>
  <c r="K53" i="47" l="1"/>
  <c r="S2" i="47" l="1"/>
  <c r="P68" i="49"/>
  <c r="Q68" i="49"/>
  <c r="F68" i="49" s="1"/>
  <c r="P67" i="49"/>
  <c r="Q67" i="49"/>
  <c r="F67" i="49" s="1"/>
  <c r="P28" i="49"/>
  <c r="Q28" i="49"/>
  <c r="F28" i="49" s="1"/>
  <c r="P69" i="49"/>
  <c r="Q69" i="49"/>
  <c r="F69" i="49" s="1"/>
  <c r="Q36" i="49"/>
  <c r="F36" i="49" s="1"/>
  <c r="P36" i="49"/>
  <c r="Q13" i="49"/>
  <c r="F13" i="49" s="1"/>
  <c r="B13" i="49" s="1"/>
  <c r="B14" i="49" s="1"/>
  <c r="B15" i="49" s="1"/>
  <c r="B16" i="49" s="1"/>
  <c r="B17" i="49" s="1"/>
  <c r="B18" i="49" s="1"/>
  <c r="B19" i="49" s="1"/>
  <c r="B20" i="49" s="1"/>
  <c r="B21" i="49" s="1"/>
  <c r="B22" i="49" s="1"/>
  <c r="B23" i="49" s="1"/>
  <c r="B24" i="49" s="1"/>
  <c r="B25" i="49" s="1"/>
  <c r="B26" i="49" s="1"/>
  <c r="B27" i="49" s="1"/>
  <c r="P13" i="49"/>
  <c r="Q72" i="49"/>
  <c r="F72" i="49" s="1"/>
  <c r="P72" i="49"/>
  <c r="Q55" i="49"/>
  <c r="F55" i="49" s="1"/>
  <c r="M33" i="47"/>
  <c r="O33" i="47" s="1"/>
  <c r="DN30" i="14" s="1"/>
  <c r="M11" i="47" l="1"/>
  <c r="O11" i="47" s="1"/>
  <c r="DN8" i="14" s="1"/>
  <c r="M28" i="47"/>
  <c r="O28" i="47" s="1"/>
  <c r="DN25" i="14" s="1"/>
  <c r="B28" i="49"/>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R30" i="26"/>
  <c r="N36" i="26" s="1"/>
  <c r="M10" i="47"/>
  <c r="O10" i="47" s="1"/>
  <c r="DN7" i="14" s="1"/>
  <c r="R8" i="26"/>
  <c r="N4" i="26" s="1"/>
  <c r="R34" i="26"/>
  <c r="N44" i="26" s="1"/>
  <c r="R19" i="26"/>
  <c r="N83" i="26" s="1"/>
  <c r="R48" i="26"/>
  <c r="N63" i="26" s="1"/>
  <c r="R24" i="26"/>
  <c r="N28" i="26" s="1"/>
  <c r="P83" i="49" s="1"/>
  <c r="R9" i="26"/>
  <c r="N66" i="26" s="1"/>
  <c r="R22" i="26"/>
  <c r="N24" i="26" s="1"/>
  <c r="R12" i="26"/>
  <c r="N9" i="26" s="1"/>
  <c r="R43" i="26"/>
  <c r="N117" i="26" s="1"/>
  <c r="R40" i="26"/>
  <c r="N52" i="26" s="1"/>
  <c r="R16" i="26"/>
  <c r="N15" i="26" s="1"/>
  <c r="R25" i="26"/>
  <c r="N90" i="26" s="1"/>
  <c r="R35" i="26"/>
  <c r="N105" i="26" s="1"/>
  <c r="R32" i="26"/>
  <c r="N39" i="26" s="1"/>
  <c r="R20" i="26"/>
  <c r="N21" i="26" s="1"/>
  <c r="R18" i="26"/>
  <c r="N20" i="26" s="1"/>
  <c r="R39" i="26"/>
  <c r="N113" i="26" s="1"/>
  <c r="R11" i="26"/>
  <c r="N69" i="26" s="1"/>
  <c r="R31" i="26"/>
  <c r="N99" i="26" s="1"/>
  <c r="R15" i="26"/>
  <c r="N76" i="26" s="1"/>
  <c r="R42" i="26"/>
  <c r="N54" i="26" s="1"/>
  <c r="R14" i="26"/>
  <c r="N14" i="26" s="1"/>
  <c r="R27" i="26"/>
  <c r="N95" i="26" s="1"/>
  <c r="R46" i="26"/>
  <c r="N61" i="26" s="1"/>
  <c r="R17" i="26"/>
  <c r="N80" i="26" s="1"/>
  <c r="R10" i="26"/>
  <c r="N6" i="26" s="1"/>
  <c r="R41" i="26"/>
  <c r="N114" i="26" s="1"/>
  <c r="R21" i="26"/>
  <c r="N84" i="26" s="1"/>
  <c r="R36" i="26"/>
  <c r="N46" i="26" s="1"/>
  <c r="R49" i="26"/>
  <c r="N128" i="26" s="1"/>
  <c r="R28" i="26"/>
  <c r="N33" i="26" s="1"/>
  <c r="R37" i="26"/>
  <c r="N108" i="26" s="1"/>
  <c r="R29" i="26"/>
  <c r="N98" i="26" s="1"/>
  <c r="R38" i="26"/>
  <c r="N49" i="26" s="1"/>
  <c r="R23" i="26"/>
  <c r="N89" i="26" s="1"/>
  <c r="R47" i="26"/>
  <c r="R33" i="26"/>
  <c r="N104" i="26" s="1"/>
  <c r="R45" i="26"/>
  <c r="R44" i="26"/>
  <c r="N59" i="26" s="1"/>
  <c r="R13" i="26"/>
  <c r="R26" i="26"/>
  <c r="N37" i="26"/>
  <c r="N38" i="26" l="1"/>
  <c r="N3" i="26"/>
  <c r="N81" i="26"/>
  <c r="N82" i="26"/>
  <c r="N42" i="26"/>
  <c r="N64" i="26"/>
  <c r="N118" i="26"/>
  <c r="N111" i="26"/>
  <c r="N5" i="26"/>
  <c r="N26" i="26"/>
  <c r="N25" i="26"/>
  <c r="N29" i="26"/>
  <c r="Q83" i="49" s="1"/>
  <c r="F83" i="49" s="1"/>
  <c r="B83" i="49" s="1"/>
  <c r="N27" i="26"/>
  <c r="N91" i="26"/>
  <c r="N67" i="26"/>
  <c r="N68" i="26"/>
  <c r="N43" i="26"/>
  <c r="N65" i="26"/>
  <c r="N11" i="26"/>
  <c r="N16" i="26"/>
  <c r="N119" i="26"/>
  <c r="N53" i="26"/>
  <c r="N10" i="26"/>
  <c r="N60" i="26"/>
  <c r="N51" i="26"/>
  <c r="N17" i="26"/>
  <c r="N56" i="26"/>
  <c r="N75" i="26"/>
  <c r="N13" i="26"/>
  <c r="N40" i="26"/>
  <c r="N18" i="26"/>
  <c r="N92" i="26"/>
  <c r="N88" i="26"/>
  <c r="N23" i="26"/>
  <c r="N12" i="26"/>
  <c r="N107" i="26"/>
  <c r="N22" i="26"/>
  <c r="N41" i="26"/>
  <c r="N106" i="26"/>
  <c r="N19" i="26"/>
  <c r="N101" i="26"/>
  <c r="N55" i="26"/>
  <c r="N77" i="26"/>
  <c r="N100" i="26"/>
  <c r="N112" i="26"/>
  <c r="N71" i="26"/>
  <c r="N70" i="26"/>
  <c r="N62" i="26"/>
  <c r="N94" i="26"/>
  <c r="N58" i="26"/>
  <c r="N93" i="26"/>
  <c r="N127" i="26"/>
  <c r="N78" i="26"/>
  <c r="N79" i="26"/>
  <c r="N8" i="26"/>
  <c r="N7" i="26"/>
  <c r="N115" i="26"/>
  <c r="N116" i="26"/>
  <c r="N45" i="26"/>
  <c r="N85" i="26"/>
  <c r="N86" i="26"/>
  <c r="N109" i="26"/>
  <c r="N110" i="26"/>
  <c r="N47" i="26"/>
  <c r="N34" i="26"/>
  <c r="N35" i="26"/>
  <c r="N126" i="26"/>
  <c r="N97" i="26"/>
  <c r="N48" i="26"/>
  <c r="N96" i="26"/>
  <c r="N50" i="26"/>
  <c r="N87" i="26"/>
  <c r="N57" i="26"/>
  <c r="N125" i="26"/>
  <c r="N123" i="26"/>
  <c r="N124" i="26"/>
  <c r="N102" i="26"/>
  <c r="N103" i="26"/>
  <c r="N121" i="26"/>
  <c r="N122" i="26"/>
  <c r="N120" i="26"/>
  <c r="N32" i="26"/>
  <c r="N30" i="26"/>
  <c r="N31" i="26"/>
  <c r="N72" i="26"/>
  <c r="N73" i="26"/>
  <c r="N74" i="26"/>
  <c r="AE35" i="26" l="1"/>
  <c r="Q6" i="47" s="1"/>
  <c r="B84" i="49"/>
  <c r="B85" i="49" s="1"/>
  <c r="B86" i="49" s="1"/>
  <c r="B87" i="49" s="1"/>
  <c r="C4" i="49" l="1"/>
  <c r="U3001" i="21" s="1"/>
  <c r="K3001" i="21" s="1"/>
</calcChain>
</file>

<file path=xl/sharedStrings.xml><?xml version="1.0" encoding="utf-8"?>
<sst xmlns="http://schemas.openxmlformats.org/spreadsheetml/2006/main" count="4409" uniqueCount="1523">
  <si>
    <t>Country</t>
  </si>
  <si>
    <t>Location</t>
  </si>
  <si>
    <t>Colors</t>
  </si>
  <si>
    <t>W</t>
  </si>
  <si>
    <t>U</t>
  </si>
  <si>
    <t>B</t>
  </si>
  <si>
    <t>R</t>
  </si>
  <si>
    <t>G</t>
  </si>
  <si>
    <t>N</t>
  </si>
  <si>
    <t>Alive</t>
  </si>
  <si>
    <t>Dead</t>
  </si>
  <si>
    <t>Bonus</t>
  </si>
  <si>
    <t>Penalty</t>
  </si>
  <si>
    <t>Casual</t>
  </si>
  <si>
    <t>Preconstructed</t>
  </si>
  <si>
    <t>Assemble the Doomsday Machine</t>
  </si>
  <si>
    <t>Archenemy</t>
  </si>
  <si>
    <t>Back to the Graveyard</t>
  </si>
  <si>
    <t>Barrage</t>
  </si>
  <si>
    <t>Big Blue</t>
  </si>
  <si>
    <t>Red Samurai</t>
  </si>
  <si>
    <t>Blizak and Wizite</t>
  </si>
  <si>
    <t>Bouncefest</t>
  </si>
  <si>
    <t>Bright Future</t>
  </si>
  <si>
    <t>Bring About the Undead Apocalypse</t>
  </si>
  <si>
    <t>Broken the 20th Level of Enlightenment</t>
  </si>
  <si>
    <t>Chaos Reigns</t>
  </si>
  <si>
    <t>Cheap Artifacts</t>
  </si>
  <si>
    <t>Coalition</t>
  </si>
  <si>
    <t>Command Your Creatures</t>
  </si>
  <si>
    <t>Commander</t>
  </si>
  <si>
    <t>Erupt and Overwhelm</t>
  </si>
  <si>
    <t>Critical Mass</t>
  </si>
  <si>
    <t>Dark Cycle</t>
  </si>
  <si>
    <t>Death March</t>
  </si>
  <si>
    <t>Dimir's Intrigues</t>
  </si>
  <si>
    <t>Dimir's Revenge</t>
  </si>
  <si>
    <t>Dirty Work</t>
  </si>
  <si>
    <t>Distorted Reality Pool</t>
  </si>
  <si>
    <t>Angels</t>
  </si>
  <si>
    <t>Dragons</t>
  </si>
  <si>
    <t>Elemental Thunder</t>
  </si>
  <si>
    <t>Elemental's Path</t>
  </si>
  <si>
    <t>Duty and Protection</t>
  </si>
  <si>
    <t>Eternal Bargain</t>
  </si>
  <si>
    <t>Evasive Maneuvers</t>
  </si>
  <si>
    <t>Everybody Dies</t>
  </si>
  <si>
    <t>Eye of Distortion</t>
  </si>
  <si>
    <t>Fate</t>
  </si>
  <si>
    <t>Flippin' Crazy</t>
  </si>
  <si>
    <t>From the Graveyard</t>
  </si>
  <si>
    <t>Fury</t>
  </si>
  <si>
    <t>George's Special Forces</t>
  </si>
  <si>
    <t>Golgari</t>
  </si>
  <si>
    <t>Green Slivers</t>
  </si>
  <si>
    <t>Heath Nelson</t>
  </si>
  <si>
    <t>Hope's Crusade</t>
  </si>
  <si>
    <t>Hunt and Feed</t>
  </si>
  <si>
    <t>Sorin</t>
  </si>
  <si>
    <t>I Have Crabs</t>
  </si>
  <si>
    <t>Ivory Doom</t>
  </si>
  <si>
    <t>Ixidor's Legacy</t>
  </si>
  <si>
    <t>Izzet</t>
  </si>
  <si>
    <t>Knights</t>
  </si>
  <si>
    <t>Kreatur Killa'</t>
  </si>
  <si>
    <t>Death and Ambition</t>
  </si>
  <si>
    <t>Little Bashers</t>
  </si>
  <si>
    <t>Mill Oh My</t>
  </si>
  <si>
    <t>Mind Over Matter</t>
  </si>
  <si>
    <t>Jace</t>
  </si>
  <si>
    <t>Mirror Mastery</t>
  </si>
  <si>
    <t>Monsters</t>
  </si>
  <si>
    <t>Monster's Tribute</t>
  </si>
  <si>
    <t>Mortal Coil</t>
  </si>
  <si>
    <t>Myr Oh My</t>
  </si>
  <si>
    <t>Nature of the Beast</t>
  </si>
  <si>
    <t>Newfect</t>
  </si>
  <si>
    <t>Night of the Ninja</t>
  </si>
  <si>
    <t>Outside Chance</t>
  </si>
  <si>
    <t>Phyrexia</t>
  </si>
  <si>
    <t>Power Hungry</t>
  </si>
  <si>
    <t>Primordial Hunger</t>
  </si>
  <si>
    <t>Profect</t>
  </si>
  <si>
    <t>Puppet Master</t>
  </si>
  <si>
    <t>Reality Escape Blade</t>
  </si>
  <si>
    <t>Rebels Unite</t>
  </si>
  <si>
    <t>Rescue From the Underworld</t>
  </si>
  <si>
    <t>Ripples of Fun</t>
  </si>
  <si>
    <t>Sacrificial Bam</t>
  </si>
  <si>
    <t>Savage Auras</t>
  </si>
  <si>
    <t>Shamanism</t>
  </si>
  <si>
    <t>Sidestep</t>
  </si>
  <si>
    <t>Simic Mutology</t>
  </si>
  <si>
    <t>Slivers</t>
  </si>
  <si>
    <t>Spawn of Eldrazi</t>
  </si>
  <si>
    <t>Spiritual Revolution</t>
  </si>
  <si>
    <t>Starvation of Hope</t>
  </si>
  <si>
    <t>Super Abundance</t>
  </si>
  <si>
    <t>Swarm and Slam</t>
  </si>
  <si>
    <t>Power and Secrecy</t>
  </si>
  <si>
    <t>Torment and Agonize</t>
  </si>
  <si>
    <t>Tibalt</t>
  </si>
  <si>
    <t>Trample Civilization Underfoot</t>
  </si>
  <si>
    <t>Twilight of the Fifth Dawn</t>
  </si>
  <si>
    <t>Twisted Copies of a Broken Reality</t>
  </si>
  <si>
    <t>Unholy Alliance</t>
  </si>
  <si>
    <t>Urza's Empire</t>
  </si>
  <si>
    <t>Evade and Shimmer</t>
  </si>
  <si>
    <t>Evil Presence</t>
  </si>
  <si>
    <t>Scarwood Treefolk</t>
  </si>
  <si>
    <t>Myr</t>
  </si>
  <si>
    <t>Atog Atog</t>
  </si>
  <si>
    <t>Attack of the Clones</t>
  </si>
  <si>
    <t>Auroch Herd</t>
  </si>
  <si>
    <t>Spawn of Rix Maadi</t>
  </si>
  <si>
    <t>Balthazor</t>
  </si>
  <si>
    <t>Case</t>
  </si>
  <si>
    <t>Balthazor's Groupies</t>
  </si>
  <si>
    <t>Hot Chick</t>
  </si>
  <si>
    <t>Balthor's Minions</t>
  </si>
  <si>
    <t>Torch Fiend</t>
  </si>
  <si>
    <t>Zombies</t>
  </si>
  <si>
    <t>Beatdown for Hire</t>
  </si>
  <si>
    <t>Mercenaries</t>
  </si>
  <si>
    <t>Beeble Beatdown</t>
  </si>
  <si>
    <t>Dutiful Thrull</t>
  </si>
  <si>
    <t>Big Green</t>
  </si>
  <si>
    <t>Big White</t>
  </si>
  <si>
    <t>Kor Cartographer</t>
  </si>
  <si>
    <t>Bird is the Word</t>
  </si>
  <si>
    <t>Bling</t>
  </si>
  <si>
    <t>Blitz Kreig</t>
  </si>
  <si>
    <t>Tel-Jilad Wolf</t>
  </si>
  <si>
    <t>Blood Carnival</t>
  </si>
  <si>
    <t>Perilous Shadow</t>
  </si>
  <si>
    <t>Bones</t>
  </si>
  <si>
    <t>Skeletons</t>
  </si>
  <si>
    <t>Brain Scramble</t>
  </si>
  <si>
    <t>Shocker</t>
  </si>
  <si>
    <t>Bruna</t>
  </si>
  <si>
    <t>Bump in the Night</t>
  </si>
  <si>
    <t>Nightstalkers</t>
  </si>
  <si>
    <t>Burn the Earth</t>
  </si>
  <si>
    <t>Oaken Brawler</t>
  </si>
  <si>
    <t>Burning Fury of a Thousand Suns</t>
  </si>
  <si>
    <t>Wildwood Geist</t>
  </si>
  <si>
    <t>Champions of the Pit - Initiation Deck</t>
  </si>
  <si>
    <t>Initiation</t>
  </si>
  <si>
    <t>Chatter of the Squirrel</t>
  </si>
  <si>
    <t>Cheap Goblins</t>
  </si>
  <si>
    <t>Circle of Life</t>
  </si>
  <si>
    <t>Drooling Ogre</t>
  </si>
  <si>
    <t>Dragon Spirits</t>
  </si>
  <si>
    <t>Color in the Beatdown</t>
  </si>
  <si>
    <t>Stormwatch Eagle</t>
  </si>
  <si>
    <t>Scarecrow</t>
  </si>
  <si>
    <t>Combat Mastery</t>
  </si>
  <si>
    <t>Flanking</t>
  </si>
  <si>
    <t>Counter Punch</t>
  </si>
  <si>
    <t>Coven of Nine</t>
  </si>
  <si>
    <t>Witches</t>
  </si>
  <si>
    <t>Crab People</t>
  </si>
  <si>
    <t>Crackling Goblins</t>
  </si>
  <si>
    <t>Crazy Goblins</t>
  </si>
  <si>
    <t>Crazy Train</t>
  </si>
  <si>
    <t>Croaking Goblins</t>
  </si>
  <si>
    <t>Crunchy Goblins</t>
  </si>
  <si>
    <t>Phyrexian Hulk</t>
  </si>
  <si>
    <t>Cult of Nefarox</t>
  </si>
  <si>
    <t>Dakkon Blackblade</t>
  </si>
  <si>
    <t>Damage for Breakfast</t>
  </si>
  <si>
    <t>Darien's Legacy</t>
  </si>
  <si>
    <t>Dark Devotion</t>
  </si>
  <si>
    <t>Deal With the Devil</t>
  </si>
  <si>
    <t>Deathklok</t>
  </si>
  <si>
    <t>Scavenging Scarab</t>
  </si>
  <si>
    <t>Deckmaster Jon Finkel</t>
  </si>
  <si>
    <t>Deckmaster Richard Garfield</t>
  </si>
  <si>
    <t>Denial of Will</t>
  </si>
  <si>
    <t>Devour for Power</t>
  </si>
  <si>
    <t>Diaoshan Artful Beauty</t>
  </si>
  <si>
    <t>Doom Men of the Moon</t>
  </si>
  <si>
    <t>Double or Nothing</t>
  </si>
  <si>
    <t>Dragon Fury</t>
  </si>
  <si>
    <t>Drooling Ogre 2</t>
  </si>
  <si>
    <t>Dragon Storm</t>
  </si>
  <si>
    <t>Dragon Mountain</t>
  </si>
  <si>
    <t>Dragon's Horde</t>
  </si>
  <si>
    <t>Drop of Daylight</t>
  </si>
  <si>
    <t>Sunburst</t>
  </si>
  <si>
    <t>Dwarven Thunder</t>
  </si>
  <si>
    <t>Elves of Fury</t>
  </si>
  <si>
    <t>Elves of the Chosen</t>
  </si>
  <si>
    <t>Empire Strikes Back</t>
  </si>
  <si>
    <t>Enter Shahrazad</t>
  </si>
  <si>
    <t>Everything Burns</t>
  </si>
  <si>
    <t>Evil Eye</t>
  </si>
  <si>
    <t>Fall of Troy</t>
  </si>
  <si>
    <t>Fat Cobra</t>
  </si>
  <si>
    <t>Ferngully's Payback</t>
  </si>
  <si>
    <t>Float like a Butterfly, Sting like a Bee</t>
  </si>
  <si>
    <t>For the Cause</t>
  </si>
  <si>
    <t>Rebels</t>
  </si>
  <si>
    <t>Frankenstein</t>
  </si>
  <si>
    <t>Frankie's Question</t>
  </si>
  <si>
    <t>Ghave's Growth</t>
  </si>
  <si>
    <t>Gin</t>
  </si>
  <si>
    <t>Good Will</t>
  </si>
  <si>
    <t>Donate</t>
  </si>
  <si>
    <t>Graveborn</t>
  </si>
  <si>
    <t>Green Acres</t>
  </si>
  <si>
    <t>Green Beets</t>
  </si>
  <si>
    <t>Green Giant</t>
  </si>
  <si>
    <t>Green Manaburn</t>
  </si>
  <si>
    <t>Guardians of the Wild</t>
  </si>
  <si>
    <t>Druids</t>
  </si>
  <si>
    <t>Hakunin</t>
  </si>
  <si>
    <t>Shamans</t>
  </si>
  <si>
    <t>Happy Days</t>
  </si>
  <si>
    <t>Hazezom Tamar</t>
  </si>
  <si>
    <t>Heavenly Inferno</t>
  </si>
  <si>
    <t>Hidden Phoenix</t>
  </si>
  <si>
    <t>Hippie Denial</t>
  </si>
  <si>
    <t>Hive's Breath</t>
  </si>
  <si>
    <t>Uncontrolled Infestation</t>
  </si>
  <si>
    <t>Hive's Crusade</t>
  </si>
  <si>
    <t>Hive's Diversity</t>
  </si>
  <si>
    <t>Hive's Growth</t>
  </si>
  <si>
    <t>Hive's Neglect</t>
  </si>
  <si>
    <t>Hive's Rage</t>
  </si>
  <si>
    <t>Hive's Shadow</t>
  </si>
  <si>
    <t>Holy Crusade</t>
  </si>
  <si>
    <t>Holy Relics</t>
  </si>
  <si>
    <t>Honden of The Myojin</t>
  </si>
  <si>
    <t>House of Pain by George Baxter</t>
  </si>
  <si>
    <t>I am Legend</t>
  </si>
  <si>
    <t>Ice Kitten</t>
  </si>
  <si>
    <t>Ice Scraper</t>
  </si>
  <si>
    <t>iSpell</t>
  </si>
  <si>
    <t>Ivy League</t>
  </si>
  <si>
    <t>Wizards</t>
  </si>
  <si>
    <t>Jhoira</t>
  </si>
  <si>
    <t>John's Modern</t>
  </si>
  <si>
    <t>John's Ocean Critters</t>
  </si>
  <si>
    <t>Juicy Fruit</t>
  </si>
  <si>
    <t>Planeswalkers</t>
  </si>
  <si>
    <t>Junkyard</t>
  </si>
  <si>
    <t>Justin Time</t>
  </si>
  <si>
    <t>Karona</t>
  </si>
  <si>
    <t>Knowledge is Power</t>
  </si>
  <si>
    <t>Life Not Unlived</t>
  </si>
  <si>
    <t>Shapeshifter</t>
  </si>
  <si>
    <t>Light and Fury</t>
  </si>
  <si>
    <t>Lim-Dul's Oasis</t>
  </si>
  <si>
    <t>Mad Scientist</t>
  </si>
  <si>
    <t>Madara Uchia Clan</t>
  </si>
  <si>
    <t>Maraxus</t>
  </si>
  <si>
    <t>Master of the Slaves</t>
  </si>
  <si>
    <t>Mavrick</t>
  </si>
  <si>
    <t>Medic!</t>
  </si>
  <si>
    <t>Mermaider</t>
  </si>
  <si>
    <t>Michael's Affinity</t>
  </si>
  <si>
    <t>Michael's Dragons</t>
  </si>
  <si>
    <t>Michael's Madness</t>
  </si>
  <si>
    <t>Michael's Norin</t>
  </si>
  <si>
    <t>Michael's Psychatog</t>
  </si>
  <si>
    <t>Michael's Reanimator</t>
  </si>
  <si>
    <t>Michael's Slivers</t>
  </si>
  <si>
    <t>Michael's Tezzeret</t>
  </si>
  <si>
    <t>Michael's Zombies</t>
  </si>
  <si>
    <t>Minamo Namikaze Clan</t>
  </si>
  <si>
    <t>Mind Boggle</t>
  </si>
  <si>
    <t>Mind Fog</t>
  </si>
  <si>
    <t>Mind Seize</t>
  </si>
  <si>
    <t>Mirror Mirror</t>
  </si>
  <si>
    <t>Miscalculation</t>
  </si>
  <si>
    <t>Mishra</t>
  </si>
  <si>
    <t>Monkey Business</t>
  </si>
  <si>
    <t>Monks Of The Full Palm</t>
  </si>
  <si>
    <t>Mythical Proportions</t>
  </si>
  <si>
    <t>Nantuko Knights</t>
  </si>
  <si>
    <t>Nath</t>
  </si>
  <si>
    <t>Nick's Illusionary Dreadnought</t>
  </si>
  <si>
    <t>Nightmare's Reward</t>
  </si>
  <si>
    <t>Niv-Mizzet</t>
  </si>
  <si>
    <t>Niv's Rage</t>
  </si>
  <si>
    <t>Norin</t>
  </si>
  <si>
    <t>Northern Horde</t>
  </si>
  <si>
    <t>Obsessive Madness</t>
  </si>
  <si>
    <t>Octopie Buttkrakens and Serpents Oh My!</t>
  </si>
  <si>
    <t>One For All</t>
  </si>
  <si>
    <t>Changelings</t>
  </si>
  <si>
    <t>Orc Hordes</t>
  </si>
  <si>
    <t>Ordeals Aplenty</t>
  </si>
  <si>
    <t>Pack Hunt</t>
  </si>
  <si>
    <t>Pain Scramble</t>
  </si>
  <si>
    <t>Pianna Roams</t>
  </si>
  <si>
    <t>Political Puppets</t>
  </si>
  <si>
    <t>Polluted Minds</t>
  </si>
  <si>
    <t>Pon Farr</t>
  </si>
  <si>
    <t>Vampires</t>
  </si>
  <si>
    <t>Rabid Dancer</t>
  </si>
  <si>
    <t>Rabid Wombat</t>
  </si>
  <si>
    <t>Rafiq of the Many</t>
  </si>
  <si>
    <t>Rage With the Machine</t>
  </si>
  <si>
    <t>Ramirez DePietro</t>
  </si>
  <si>
    <t>Rattlin Bog</t>
  </si>
  <si>
    <t>Recycled Life</t>
  </si>
  <si>
    <t>Thallids</t>
  </si>
  <si>
    <t>Red Wizard's Doom</t>
  </si>
  <si>
    <t>Relentless Rats</t>
  </si>
  <si>
    <t>Revenge of the Orb</t>
  </si>
  <si>
    <t>Rohgahh</t>
  </si>
  <si>
    <t>Kobolds</t>
  </si>
  <si>
    <t>Sands of Life</t>
  </si>
  <si>
    <t>Scrambled Eggs</t>
  </si>
  <si>
    <t>Secret Scrolls</t>
  </si>
  <si>
    <t>Senju Hashirama Clan</t>
  </si>
  <si>
    <t>Serra Angel Speed Bump</t>
  </si>
  <si>
    <t>Seven Seas</t>
  </si>
  <si>
    <t>Shady Business</t>
  </si>
  <si>
    <t>Siren Gwendlyn</t>
  </si>
  <si>
    <t>Siren Merieke Ri Berit</t>
  </si>
  <si>
    <t>Siren Rubinia</t>
  </si>
  <si>
    <t>Sky is Falling</t>
  </si>
  <si>
    <t>Slip and Slide</t>
  </si>
  <si>
    <t>Slumgolem Casserole</t>
  </si>
  <si>
    <t>Snakes on a Bow</t>
  </si>
  <si>
    <t>Sparkley Bits</t>
  </si>
  <si>
    <t>Spread the Sickness</t>
  </si>
  <si>
    <t>Starre Night</t>
  </si>
  <si>
    <t>Stealthy Attack</t>
  </si>
  <si>
    <t>Morph</t>
  </si>
  <si>
    <t>Summer Expedition</t>
  </si>
  <si>
    <t>Tamanoa Sunrise</t>
  </si>
  <si>
    <t>Tetsuo Umezawa</t>
  </si>
  <si>
    <t>Texas Justice</t>
  </si>
  <si>
    <t>Angry Mob</t>
  </si>
  <si>
    <t>That Deck</t>
  </si>
  <si>
    <t>The Avengers</t>
  </si>
  <si>
    <t>The Coalition</t>
  </si>
  <si>
    <t>The Hive</t>
  </si>
  <si>
    <t>Thriss</t>
  </si>
  <si>
    <t>Tiamat</t>
  </si>
  <si>
    <t>Tinkering Gnomes</t>
  </si>
  <si>
    <t>Top Gun</t>
  </si>
  <si>
    <t>Toshiro's Pact</t>
  </si>
  <si>
    <t>Tour De Jour</t>
  </si>
  <si>
    <t>Traitor's of Glissa</t>
  </si>
  <si>
    <t>Transformers</t>
  </si>
  <si>
    <t>Triumph of the Orb</t>
  </si>
  <si>
    <t>Trostani's Grove</t>
  </si>
  <si>
    <t>Trumpets of Peace</t>
  </si>
  <si>
    <t>Trumpets of War</t>
  </si>
  <si>
    <t>Twisted Bramble Bugs</t>
  </si>
  <si>
    <t>Uril the Miststalker</t>
  </si>
  <si>
    <t>War</t>
  </si>
  <si>
    <t>War Never Changes</t>
  </si>
  <si>
    <t>Weezer</t>
  </si>
  <si>
    <t>Weird Science</t>
  </si>
  <si>
    <t>Werewolf Pack</t>
  </si>
  <si>
    <t>What Is Real?</t>
  </si>
  <si>
    <t>Who's The Bosh</t>
  </si>
  <si>
    <t>Wild BBQ</t>
  </si>
  <si>
    <t>Windseeker Hillbillies</t>
  </si>
  <si>
    <t>Witch Hunt</t>
  </si>
  <si>
    <t>Wolf Pack</t>
  </si>
  <si>
    <t>Wombat Wannabe</t>
  </si>
  <si>
    <t>Wooz's Deck of Ooze</t>
  </si>
  <si>
    <t>Wort</t>
  </si>
  <si>
    <t>Yamazaki Clan</t>
  </si>
  <si>
    <t>Yellowstone</t>
  </si>
  <si>
    <t>You Only Live Twice</t>
  </si>
  <si>
    <t>Zedruu</t>
  </si>
  <si>
    <t>Zuberi</t>
  </si>
  <si>
    <t>Zur the Enchanter</t>
  </si>
  <si>
    <t>Plane Color</t>
  </si>
  <si>
    <t xml:space="preserve"> +Card</t>
  </si>
  <si>
    <t xml:space="preserve"> -Card</t>
  </si>
  <si>
    <t>Astral Arena</t>
  </si>
  <si>
    <t>S</t>
  </si>
  <si>
    <t>North America</t>
  </si>
  <si>
    <t>White</t>
  </si>
  <si>
    <t>Life</t>
  </si>
  <si>
    <t>Permanent in Play</t>
  </si>
  <si>
    <t>Counter Spell</t>
  </si>
  <si>
    <t>Glen Elendra</t>
  </si>
  <si>
    <t>Europe</t>
  </si>
  <si>
    <t>Blue</t>
  </si>
  <si>
    <t>Cards</t>
  </si>
  <si>
    <t>Cheaper Spells</t>
  </si>
  <si>
    <t>Mill 10</t>
  </si>
  <si>
    <t>Asia</t>
  </si>
  <si>
    <t>Glimmervoid Basin</t>
  </si>
  <si>
    <t>Africa</t>
  </si>
  <si>
    <t>Black</t>
  </si>
  <si>
    <t>Tutor for Land</t>
  </si>
  <si>
    <t>Lands Tapped</t>
  </si>
  <si>
    <t>Hedron Fields of Agadeem</t>
  </si>
  <si>
    <t>Australia</t>
  </si>
  <si>
    <t>Red</t>
  </si>
  <si>
    <t xml:space="preserve"> +Life</t>
  </si>
  <si>
    <t xml:space="preserve"> -Life</t>
  </si>
  <si>
    <t>Horizon Boughs</t>
  </si>
  <si>
    <t>Green</t>
  </si>
  <si>
    <t xml:space="preserve"> +/+</t>
  </si>
  <si>
    <t xml:space="preserve"> -/-</t>
  </si>
  <si>
    <t>South America</t>
  </si>
  <si>
    <t>Kharasha Foothills</t>
  </si>
  <si>
    <t>Snow</t>
  </si>
  <si>
    <t>Krosa</t>
  </si>
  <si>
    <t>Otaria</t>
  </si>
  <si>
    <t>Pools of Becoming</t>
  </si>
  <si>
    <t>Skybreen</t>
  </si>
  <si>
    <t>Stairs to Infinity</t>
  </si>
  <si>
    <t>The Hippodrome</t>
  </si>
  <si>
    <t>The Maelstrom</t>
  </si>
  <si>
    <t>WB</t>
  </si>
  <si>
    <t>UB</t>
  </si>
  <si>
    <t>BG</t>
  </si>
  <si>
    <t>BR</t>
  </si>
  <si>
    <t>Velis Vel</t>
  </si>
  <si>
    <t>WBG</t>
  </si>
  <si>
    <t>UBG</t>
  </si>
  <si>
    <t>BRG</t>
  </si>
  <si>
    <t>Academy at Tolaria West</t>
  </si>
  <si>
    <t>WBR</t>
  </si>
  <si>
    <t>UBR</t>
  </si>
  <si>
    <t>RG</t>
  </si>
  <si>
    <t>Furnace Layer</t>
  </si>
  <si>
    <t>No Colors</t>
  </si>
  <si>
    <t>WBRG</t>
  </si>
  <si>
    <t>UBRG</t>
  </si>
  <si>
    <t>Grand Ossuary</t>
  </si>
  <si>
    <t>WU</t>
  </si>
  <si>
    <t>White Blue</t>
  </si>
  <si>
    <t>WG</t>
  </si>
  <si>
    <t>UG</t>
  </si>
  <si>
    <t>Grixis</t>
  </si>
  <si>
    <t>White Black</t>
  </si>
  <si>
    <t>WR</t>
  </si>
  <si>
    <t>UR</t>
  </si>
  <si>
    <t>Lair of the Ashen Idol</t>
  </si>
  <si>
    <t>White Red</t>
  </si>
  <si>
    <t>WRG</t>
  </si>
  <si>
    <t>URG</t>
  </si>
  <si>
    <t>Nephalia</t>
  </si>
  <si>
    <t>White Green</t>
  </si>
  <si>
    <t>Norn's Dominion</t>
  </si>
  <si>
    <t>Blue Black</t>
  </si>
  <si>
    <t>WUB</t>
  </si>
  <si>
    <t>Onakke Catacomb</t>
  </si>
  <si>
    <t>Blue Red</t>
  </si>
  <si>
    <t>WUBG</t>
  </si>
  <si>
    <t>Raven's Run</t>
  </si>
  <si>
    <t>Blue Green</t>
  </si>
  <si>
    <t>WUBR</t>
  </si>
  <si>
    <t>Tember City</t>
  </si>
  <si>
    <t>Black Red</t>
  </si>
  <si>
    <t>WUBRG</t>
  </si>
  <si>
    <t>The Dark Barony</t>
  </si>
  <si>
    <t>Black Green</t>
  </si>
  <si>
    <t>WUG</t>
  </si>
  <si>
    <t>The Fourth Sphere</t>
  </si>
  <si>
    <t>Red Green</t>
  </si>
  <si>
    <t>WUR</t>
  </si>
  <si>
    <t>Eloren Wilds</t>
  </si>
  <si>
    <t>White Blue Black</t>
  </si>
  <si>
    <t>WURG</t>
  </si>
  <si>
    <t>Grove of the Dreampods</t>
  </si>
  <si>
    <t>White Blue Red</t>
  </si>
  <si>
    <t>Kessig</t>
  </si>
  <si>
    <t>White Blue Green</t>
  </si>
  <si>
    <t>Llanowar</t>
  </si>
  <si>
    <t>Murasa</t>
  </si>
  <si>
    <t>White Black Green</t>
  </si>
  <si>
    <t>Naya</t>
  </si>
  <si>
    <t>White Red Green</t>
  </si>
  <si>
    <t>Orochi Colony</t>
  </si>
  <si>
    <t>Blue Black Red</t>
  </si>
  <si>
    <t>Selesnya Loft Gardens</t>
  </si>
  <si>
    <t>Blue Black Green</t>
  </si>
  <si>
    <t>Tazeem</t>
  </si>
  <si>
    <t>Blue Red Green</t>
  </si>
  <si>
    <t>The Great Forest</t>
  </si>
  <si>
    <t>Black Red Green</t>
  </si>
  <si>
    <t>Truga Jungle</t>
  </si>
  <si>
    <t>White Blue Black Red</t>
  </si>
  <si>
    <t>Turri Island</t>
  </si>
  <si>
    <t>White Blue Red Green</t>
  </si>
  <si>
    <t>Bloodhill Bastion</t>
  </si>
  <si>
    <t>White Blue Black Green</t>
  </si>
  <si>
    <t>Feeding Grounds</t>
  </si>
  <si>
    <t>White Black Red Green</t>
  </si>
  <si>
    <t>Immersturm</t>
  </si>
  <si>
    <t>Blue Black Red Green</t>
  </si>
  <si>
    <t>Izzet Steam Maze</t>
  </si>
  <si>
    <t>All Colors</t>
  </si>
  <si>
    <t>Jund</t>
  </si>
  <si>
    <t>Kilnspire District</t>
  </si>
  <si>
    <t>Mirrored Depths</t>
  </si>
  <si>
    <t>No more tha one creature can attack each combat.
 No more tha one creature can block each combat.
 Whenever you roll {chaos}, Astral Arena deals 2 damage to each creature.</t>
  </si>
  <si>
    <t>Mount Keralia</t>
  </si>
  <si>
    <t>At end of combat, you may exchange control of target creature you control that dealt combat damage to a player this combat and target creature that player controls.
 Whenever you roll {chaos}, gain control of target creature you own.</t>
  </si>
  <si>
    <t>Naar Isle</t>
  </si>
  <si>
    <t xml:space="preserve">Whenever a player casts an instant or sorcery spell with a single target, he or she copies that spell for each other spell, permanent, card not on the battlefield, and/or player the spell could target. Each copy targets a different one of them.
 Whenever you roll {chaos}, choose target creature. Each player except that creature's controller puts a token onto the battlefield that's a copy of that creature. 
</t>
  </si>
  <si>
    <t>Shiv</t>
  </si>
  <si>
    <t xml:space="preserve">Creatures with power 7 or greater can't attack or block.
 Whenever you roll {chaos}, put a 7/7 colorless Eldrazi creature token with annihilator 1 onto the battlefield. (Whenever it attacks, defending player sacrifices a permanent.) 
</t>
  </si>
  <si>
    <t>Sokenzan</t>
  </si>
  <si>
    <t xml:space="preserve">All permanents untap during each player's untap step.
 Whenever you roll {chaos}, you may search your library for up to three basic land cards, put them onto the battlefield tapped, then shuffle your library. </t>
  </si>
  <si>
    <t>Stensia</t>
  </si>
  <si>
    <t xml:space="preserve">Whenever a creature you control attacks a player, for each other opponent, you may put a token that's a copy of that creature onto the battlefield tapped and attacking that opponent. Exile those tokens at the beginning of the next end step.
 Whenever you roll {chaos}, you may sacrifice any number of creatures. If you do, Kharasha Foothills deals that much damage to target creature. 
</t>
  </si>
  <si>
    <t>Stronghold Furnace</t>
  </si>
  <si>
    <t xml:space="preserve">All creatures get +2/+2.
 Whenever you roll {chaos}, you may add (W)(U)(B)(R)(G)  to your mana pool. 
</t>
  </si>
  <si>
    <t>Celestine Reef</t>
  </si>
  <si>
    <t>Instant and sorcery cards in graveyards have flashback. The flashback cost is equal to the card's mana cost. (Its owner may cast the card from his or her graveyard for its mana cost. Then he or she exiles it.)
 Whenever you roll {chaos}, take an extra turn after this one.</t>
  </si>
  <si>
    <t>Edge of Malacol</t>
  </si>
  <si>
    <t xml:space="preserve">At the beginning of your end step, put the cards in your hand on the bottom of your library in any order, then draw that many cards.
 Whenever you roll {chaos}, reveal the top three cards of your planar deck. Each of the revealed cards' {chaos} abilities triggers. Then put the revealed cards on the bottom of your planar deck in any order. 
</t>
  </si>
  <si>
    <t>Lethe Lake</t>
  </si>
  <si>
    <t xml:space="preserve">Players play with the top card of their libraries revealed.
 Spells that share a card type with the top card of a library can't be cast.
 Whenever you roll {chaos}, target player loses life equal to the number of cards in his or her hand. 
</t>
  </si>
  <si>
    <t>Minamo</t>
  </si>
  <si>
    <t xml:space="preserve">Players have no maximum hand size.
 Whenever you roll the planar die, draw a card.
 Whenever you roll {chaos}, reveal the top card of your planar deck. You may put it on the bottom of your planar deck. 
</t>
  </si>
  <si>
    <t>Panopticon</t>
  </si>
  <si>
    <t xml:space="preserve">All creatures get -5/-0.
 Whenever you roll {chaos}, you may destroy target creature if its power is 0 or less. 
</t>
  </si>
  <si>
    <t>Quicksilver Sea</t>
  </si>
  <si>
    <t xml:space="preserve">When you planeswalk to The Maelstrom or at the beginning of your upkeep, you may reveal the top card of your library. If it's a permanent card, you may put it onto the battlefield. If you revealed a card but didn't put it onto the battlefield, put it on the bottom of your library. Whenever you roll {chaos}, return target permanent card from your graveyard to the battlefield. 
</t>
  </si>
  <si>
    <t>Takenuma</t>
  </si>
  <si>
    <t xml:space="preserve">Each creature gets +1/+1 for each other creature on the battlefield that shares at least one creature type with it. (For example, if two Elemental Shamans and an Elemental Spirit are on the battlefield, each gets +2/+2)
 Whenever you roll {chaos}, target creature gains all creature types until end of turn. 
</t>
  </si>
  <si>
    <t>Talon Gates</t>
  </si>
  <si>
    <t xml:space="preserve">At the beginning of your end step, if you have no cards in hand, draw seven cards.
 Whenever you roll {chaos}, discard your hand. </t>
  </si>
  <si>
    <t>The Eon Fog</t>
  </si>
  <si>
    <t xml:space="preserve">When you planeswalk to Furnace Layer or at the beginning of your upkeep, select target player at random. That player discards a card. If that player discards a land card this way, he or she loses 3 life.
 Whenever you roll {chaos}, you may destroy target nonland permanent. 
</t>
  </si>
  <si>
    <t>The Zephyr Maze</t>
  </si>
  <si>
    <t xml:space="preserve">Whenever a creature dies, its controller distributes a number of +1/+1 counters equal to its power among any number of target creatures he or she controls.
 Whenever you roll {chaos}, each player exiles all creatures he or she controls and puts X 1/1 green Saproling creature tokens onto the battlefield, where X is the total power of the creatures he or she exiled this way. Then planeswalk. 
</t>
  </si>
  <si>
    <t>Trail of the Mage-Rings</t>
  </si>
  <si>
    <t>Blue, black, and/or red creature cards in your graveyard have unearth. The unearth cost is equal to the card's mana cost. (Pay the card's mana cost: Return it to the battlefield. The creature gains haste. Exile it at the beginning of the next end step or if it would leave the battlefield. Unearth only as a sorcery.)
 Whenever you roll {chaos}, put target creature card from a graveyard onto the battlefield under your control.</t>
  </si>
  <si>
    <t>Undercity Reaches</t>
  </si>
  <si>
    <t xml:space="preserve">At the beginning of your upkeep, sacrifice a creature. If you can't, planeswalk.
 Whenever you roll {chaos}, any number of target players each put a 2/2 black Zombie creature token onto the battlefield. 
</t>
  </si>
  <si>
    <t>Windriddle Palaces</t>
  </si>
  <si>
    <t xml:space="preserve">At the beginning of your end step, put the top seven cards of your library into your graveyard. Then return a card at random from your graveyard to your hand.
 Whenever you roll {chaos}, return taget card from your graveyard to your hand. 
</t>
  </si>
  <si>
    <t>Agyrem</t>
  </si>
  <si>
    <t xml:space="preserve">When you planeswalk away from Norn's Dominion, destroy each nonland permanent without a fate counter on it, then remove all fate counters from all permanents.
 Whenever you roll {chaos}, you may put a fate counter on target permanent. 
</t>
  </si>
  <si>
    <t>Akoum</t>
  </si>
  <si>
    <t xml:space="preserve">All creatures are black and have deathtouch.
 Whenever you roll {chaos}, creatures you control get +1/+0 and gain first strike until end of turn. 
</t>
  </si>
  <si>
    <t>Aretopolis</t>
  </si>
  <si>
    <t xml:space="preserve">All creatures have wither. (They deal damage to creatures in the form of -1/-1 counters.)
 Whenever you roll {chaos}, put a -1/-1 counter on target creature, two -1/-1 counters on another target creature, and three -1/-1 counters on a third target creature. 
</t>
  </si>
  <si>
    <t>Bant</t>
  </si>
  <si>
    <t xml:space="preserve">Whenever a player taps a land for mana, Tember City deals 1 damage to that player.
 Whenever you roll {chaos}, each other player sacrifices a nonland permanent. 
</t>
  </si>
  <si>
    <t>Cliffside Market</t>
  </si>
  <si>
    <t xml:space="preserve">Whenever a nonblack card is put into a player's graveyard from anywhere, that player loses 1 life.
 Whenever you roll {chaos}, each opponent discards a card. 
</t>
  </si>
  <si>
    <t>Fields of Summer</t>
  </si>
  <si>
    <t xml:space="preserve">At the beginning of your upkeep, sacrifice a nonblack creature.
 Whenever you roll {chaos}, put a 2/2 black Zombie creature token onto the battlefield. 
</t>
  </si>
  <si>
    <t>Gavony</t>
  </si>
  <si>
    <t xml:space="preserve">Whenever a player taps a permanent for mana, that player adds one mana to his or her mana pool of any type that permanent produced.
 Whenever you roll {chaos}, target player can't cast spells until a player planeswalks. 
</t>
  </si>
  <si>
    <t>Goldmeadow</t>
  </si>
  <si>
    <t xml:space="preserve">When you planeswalk to Grove of the Dreampods or at the beginning of your upkeep, reveal cards from the top of your library until you reveal a creature card. Put that card onto the battelfield and the rest on the bottom of your library in a random order.
 When you roll {Chaos}, return target creature card from your graveyard to the battlefield. 
</t>
  </si>
  <si>
    <t>Isle of Vesuva</t>
  </si>
  <si>
    <t xml:space="preserve">Prevent all combat damage that would be dealt by non-Werewolf creatures.
 Whenever you roll {chaos}, each creature you control gets +2/+2, gains trample, and becomes a Werewolf in addition to its other types until end of turn. 
</t>
  </si>
  <si>
    <t>Orzhova</t>
  </si>
  <si>
    <t xml:space="preserve">All creatures have ": Add (GG) to your mana pool."
 Whenever you roll {chaos}, untap all creatures you control. 
</t>
  </si>
  <si>
    <t>Prahv</t>
  </si>
  <si>
    <t xml:space="preserve">Whenever a nontoken creature enters the battlefield, its controller may search his or her library for a basic land card, put it onto the battlefield tapped, then shuffle his or her library.
 Whenever you roll {chaos}, target land becomes a 4/4 creature that's still a land. 
</t>
  </si>
  <si>
    <t>Sanctum of Serra</t>
  </si>
  <si>
    <t xml:space="preserve">You may play any number of additional lands on each of your turns.
 Whenever you roll {chaos}, target red, green, or white creature you control gets +1/+1 until end of turn for each land you control. 
</t>
  </si>
  <si>
    <t>Sea of Sand</t>
  </si>
  <si>
    <t xml:space="preserve">Whenever a creature you control deals combat damage to a player, you may search your library for a basic land card, put it onto the battlefield tapped, then shuffle your library.
 Whenever you roll {chaos}, target creature is unblockable this turn. 
</t>
  </si>
  <si>
    <t>The Aether Flues</t>
  </si>
  <si>
    <t xml:space="preserve">If an effect would put one or more tokens onto the battlefield, it puts twice that many of those tokens onto the battlefield instead.
 If an effect would place one or more counters on a permanent, it places twice that many of those counters on that permanent instead.
 Whenever you roll {chaos}, until end of turn whenever you tap a land for mana, add one mana to your mana pool of any type that land produced. 
</t>
  </si>
  <si>
    <t xml:space="preserve">Creatures can't block.
 Whenever you roll {chaos}, draw a card for each land you control. </t>
  </si>
  <si>
    <t xml:space="preserve">Each creature assigns combat damage equal to its toughness rather than its power.
 Whenever you roll {chaos}, creatures you control get +0/+2 and gain trample until end of turn. 
</t>
  </si>
  <si>
    <t xml:space="preserve">All lands have "Tap: Add one mana of any color to your mana pool.
 Whenever you roll {chaos}, reveal the top three cards of your library. Put all land cards revealed this way into your hand and the rest on the bottom of your library in any order. 
</t>
  </si>
  <si>
    <t xml:space="preserve">Creature spells cost (2) less to cast.
Whenever you roll {chaos}, reveal the top three cards of your library. Put all creature cards revealed this way into your hand and the rest into your graveyard. </t>
  </si>
  <si>
    <t xml:space="preserve">Whenever a creature enters the battlefield, it gains double strike and haste until end of turn.
 Whenever you roll {chaos}, exile target nontoken creature you control, then return it to the battlefield under your control. 
</t>
  </si>
  <si>
    <t xml:space="preserve">Red spells cost (1) less to cast.
 Green spells cost (1) less to cast.
 Whenever you roll {chaos}, put X +1/+1 counters on target creature, where X is that creature's converted mana cost. </t>
  </si>
  <si>
    <t xml:space="preserve">Whenever a creature enters the battlefield, that creature's controller may have it deal damage equal to its power to target creature or player of his or her choice.
 Whenever you roll {chaos}, exile target creature, then return it to the battlefield under its owner's control. 
</t>
  </si>
  <si>
    <t xml:space="preserve">Whenever a player casts an instant or sorcery spell, that player copies it. The player may choose new targets for the copy.
 Whenever you roll {chaos}, instant and sorcery spells you cast this turn cost (3) less to cast. </t>
  </si>
  <si>
    <t xml:space="preserve">Whenever a player casts a black, red, or green creature spell, it gains devour 5. (As the creature enters the battlefield, its controller may sacrifice any number of creatures. The creature enters the battlefield with five times that many +1/+1 counters on it.)
 Whenever you roll {chaos}, put two 1/1 red Goblin creature tokens onto the battlefield. </t>
  </si>
  <si>
    <t xml:space="preserve">When you planeswalk to Kilnspire District or at the beginning of your precombat main phase, put a charge counter on Kilnspire District, then add  to your mana pool for each charge counter on it.
 Whenever you roll {chaos}, you may pay . If you do, Kilnspire District deals X damage to target creature or player. 
</t>
  </si>
  <si>
    <t xml:space="preserve">Whenever a player casts a spell, that player flips a coin. If he or she loses the flip, counter that spell.
 Whenever you roll {chaos}, target player reveals the top card of his or her library. If it's a nonland card, you may cast it without paying its mana cost. 
</t>
  </si>
  <si>
    <t xml:space="preserve">At the beginning of your end step, put a pressure counter on Mount Keralia.
 When you planeswalk away from Mount Keralia, it deals damage equal to the number of pressure counters on it to each creature and each planeswalker.
 Whenever you roll {chaos}, prevent all damage that planes named Mount Keralia would deal this game to permanents you control. 
</t>
  </si>
  <si>
    <t xml:space="preserve">At the beginning of your upkeep, put a flame counter on Naar Isle, then Naar Isle deals damage to you equal to the number of flame counters on it.
 Whenever you roll {chaos}, Naar Isle deals 3 damage to target player. 
</t>
  </si>
  <si>
    <t xml:space="preserve">All creatures have "(R): This creature gets +1/+0 until end of turn."
 Whenever you roll {chaos}, put a 5/5 red Dragon creature token with flying onto the battlefield. 
</t>
  </si>
  <si>
    <t xml:space="preserve">All creatures get +1/+1 and have haste.
 Whenever you roll {chaos}, untap all creatures that attacked this turn. After this main phase, there is an additional combat phase followed by an additional main phase. 
</t>
  </si>
  <si>
    <t xml:space="preserve">Whenever a creature deals damage to one or more players for the first time in a turn, put a +1/+1 counter on it.
 Whenever you roll {chaos}, each creature you control gains "Tap:This creature deals 1 damage to target player" until end of turn. </t>
  </si>
  <si>
    <t xml:space="preserve">If a source would deal damage to a creature or player, it deals double that damage to that creature or player instead.
 Whenever you roll {chaos}, Stronghold Furnace deals 1 damage to target creature or player. 
</t>
  </si>
  <si>
    <t xml:space="preserve">Creatures without flying or islandwalk can't attack.
 Whenever you roll {chaos}, until a player planeswalks, you can't lose the game and your opponents can't win the game. 
</t>
  </si>
  <si>
    <t>If a creature you control would untap during your untap step, put two +1/+1 counters on it instead.
 Whenever you roll {chaos}, untap each creature you control.</t>
  </si>
  <si>
    <t xml:space="preserve">At the beginning of your upkeep, put the top ten cards of your library into your graveyard.
 Whenever you roll {chaos}, target player puts the top ten cards of his or her library into his or her graveyard. 
</t>
  </si>
  <si>
    <t xml:space="preserve">Whenever a player casts a spell, that player may draw a card.
 Whenever you roll {chaos}, each player may return a blue card from his or her graveyard to his or her hand. 
</t>
  </si>
  <si>
    <t xml:space="preserve">When you planeswalk to Panopticon, draw a card.
 At the beginning of your draw step, draw an additional card.
 Whenever you roll {chaos}, draw a card. 
</t>
  </si>
  <si>
    <t xml:space="preserve">When you planeswalk to Quicksilver Sea or at the beginning of your upkeep, scry 4. (To scry 4, look at the top four cards of your library, then put any number of them on the bottom of your library and the rest on top in any order.)
 Whenever you roll {Chaos}, reveal the top card of your library. You may play it without paying its mana cost. 
</t>
  </si>
  <si>
    <t xml:space="preserve">Whenever a creature leaves the battlefield, its controller draws a card.
 Whenever you roll {chaos}, return target creature you control to its owner's hand. 
</t>
  </si>
  <si>
    <t xml:space="preserve">Any time you could cast a sorcery, you may exile a nonland card from your hand with X time counters on it, where X is its converted mana cost. If the exiled card doesn't have suspend, it gains suspend. (At the beginning of its owner's upkeep, he or she removes a time counter. When the last is removed, the player casts it without playing its mana cost. If it's a creature, it has haste.)
 Whenever you roll {chaos}, remove two time counters from each suspended card you own. 
</t>
  </si>
  <si>
    <t xml:space="preserve">Players skip their untap steps.
 Whenever you roll {chaos}, untap all permanents you control. 
</t>
  </si>
  <si>
    <t xml:space="preserve">Creatures with flying get +2/+0.
 Creatures without flying get -2/-0.
 Whenever you roll {chaos}, target creature gains flying until end of turn. 
</t>
  </si>
  <si>
    <t xml:space="preserve">Instant and sorcery spells have rebound. (The spell's controller exiles the spell as it resolves if he or she cast it from his or her hand. At the beginning of your next upkeep, he or she may cast that card from exile without paying its mana cost.)
 Whenever you roll {chaos}, you may search your library for an instant or or sorcery card, reveal it, put it into your hand, then shuffle your library. 
</t>
  </si>
  <si>
    <t xml:space="preserve">Whenever a creature deals combat damage to a player, its controller may draw a card.
 Whenever you roll {chaos}, you have no maximum hand size for the rest of the game. </t>
  </si>
  <si>
    <t xml:space="preserve">Players play with the top card of their libraries revealed.
 You may play the top card of any player's library.
 Whenever you roll {chaos}, each player puts the top card of his or her library into his or her graveyard. 
</t>
  </si>
  <si>
    <t>Whenever a white creature is put into a graveyard from the battlefield, return it to the battlefield under its owner's control at the beginning of the next end step.
 Whenever a nonwhite creature is put into a graveyard from the battlefield, return it to its owner's hand at the beginning of the next end step.
 Whenever you roll {chaos}, creatures can't attack you until a player planeswalks.</t>
  </si>
  <si>
    <t xml:space="preserve">Players may cast enchantment cards as though they had flash.
 Whenever you roll {chaos}, destroy target creature that isn't enchanted. 
</t>
  </si>
  <si>
    <t xml:space="preserve">When you planeswalk to Aretopolis or at the beginning of your upkeep, put a scroll counter on Aretopolis, then you gain life equal to the number of scroll counters on it.
 When Aretopolis has ten or more scroll counters on it, planeswalk.
 Whenever you roll {chaos}, put a scroll counter on Aretopolis, then draw cards equal to the number of scroll counters on it. 
</t>
  </si>
  <si>
    <t xml:space="preserve">All creatures have exalted. (Whenever a creature attacks alone, it gets +1/+1 until end of turn for each instance of exalted among creatures its controller controls.)
 Whenever you roll {chaos} put a divinity counter on target green, white or blue creature. That creature is indestructible as long as it has a divinity counter on it. 
</t>
  </si>
  <si>
    <t xml:space="preserve">When you planeswalk to Cliffside Market or at the beginning of your upkeep, you may exchange life totals with target player.
 Whenever you roll {chaos}, exchange control of two target permanents that share a type. 
</t>
  </si>
  <si>
    <t xml:space="preserve">Whenever a player casts a spell, that player may gain 2 life.
 Whenever you roll {chaos}, you may gain 10 life. 
</t>
  </si>
  <si>
    <t xml:space="preserve">All creatures have vigilance.
 Whenever you roll {chaos}, creatures you control are indestructibale this turn. 
</t>
  </si>
  <si>
    <t xml:space="preserve">Whenever a land enters the battlefield, that land's controller puts three 0/1 white Goat creature tokens onto the battlefield.
 Whenever you roll {chaos}, put a 0/1 white Goat creature token onto the battlefield. 
</t>
  </si>
  <si>
    <t xml:space="preserve">Whenever a nontoken creature enters the battlefield, its controller puts a token onto the battlefield that's a copy of that creature.
 Whenever you roll {chaos}, destroy target creature and all other creatures with the same name as that creature. 
</t>
  </si>
  <si>
    <t xml:space="preserve">When you planeswalk away from Orzhova, each player returns all creature cards from his or her graveyard to the battlefield.
 Whenever you roll {chaos}, for each opponent, exile up to one target creature card from that player's graveyard. 
</t>
  </si>
  <si>
    <t xml:space="preserve">If you cast a spell this turn, you can't attack with creatures.
 If you attacked with creatures this turn, you can't cast spells.
 Whenever you roll {chaos}, you gain life equal to the number of cards in your hand. 
</t>
  </si>
  <si>
    <t xml:space="preserve">When you planeswalk away from Sanctum of Serra, destroy all nonland permanents.
Whenever you roll {chaos}, you may have your life total become 20. </t>
  </si>
  <si>
    <t xml:space="preserve">Players reveal each card they draw.
Whenever a player draws a land card, that player gains 3 life.
Whenever a players draws a nonland card, that player loses 3 life.
Whenever you roll {chaos}, put target permanenet on top of its owner's library. </t>
  </si>
  <si>
    <t xml:space="preserve">When you planeswalk to The Aether Flues or at the beginning of your upkeep, you may sacrifice a creature. If you do, reveal cards from the top of your library until you reveal a creature card, put that card onto the battlefield, then shuffle all other cards revealed this way into your library.
Whenever you roll {chaos}, you may put a creature card from your hand onto the battlefield. </t>
  </si>
  <si>
    <t>Chaotic Aether</t>
  </si>
  <si>
    <t xml:space="preserve">When you encounter Chaotic Aether, each blank roll of the planar die is a {chaos} roll until a player planeswalks away from a plane. (Then planeswalk away from this phenomenon.) </t>
  </si>
  <si>
    <t>Interplanar Tunnel</t>
  </si>
  <si>
    <t>When you encounter Interplanar Tunnel, reveal cards from the top of your planar deck until you reveal five plane cards. Put a plane card from among them on top of your planar deck, then put the rest of the revealed cards on the bottom in a random order. (Then planeswalk away from this phenomenon.)</t>
  </si>
  <si>
    <t>Morphic Tide</t>
  </si>
  <si>
    <t xml:space="preserve">When you encounter Morphic Tide, each player shuffles all permanents he or she owns into his or her library, then reveals that many cards from the top of his or her library. Each player puts all artifact, creature, land, and planeswalker cards revealed this way onto the battlefield, then does the same for enchantment cards, then puts all cards revealed this way that weren't put onto the battlefield on the bottom of his or her library in any order. (Then planeswalk away from this phenomenon.) </t>
  </si>
  <si>
    <t>Mutual Epiphany</t>
  </si>
  <si>
    <t xml:space="preserve">When you encounter Mutual Epiphany, each player draws four cards. (Then planeswalk away from this phenomenon.) </t>
  </si>
  <si>
    <t>Planewide Disaster</t>
  </si>
  <si>
    <t>When you encounter Planewide Disaster, destroy all creatures. (Then planeswalk away from this phenomenon.)</t>
  </si>
  <si>
    <t>Reality Shaping</t>
  </si>
  <si>
    <t>When you encounter Reality Shaping, starting with you, each player may put a permanent card from his or her hand onto the battlefield. (Then planeswalk away from this phenomenon.)</t>
  </si>
  <si>
    <t>Spatial Merging</t>
  </si>
  <si>
    <t xml:space="preserve">When you encounter Spatial Merging, reveal cards from the top of your planar deck until you reveal two plane cards. Simultaneously planeswalk to both of them. Put all other cards revealed this way on the bottom of your planar deck in any order. </t>
  </si>
  <si>
    <t>Time Distortion</t>
  </si>
  <si>
    <t xml:space="preserve">When you encounter Time Distortion, reverse the game's turn order. (For example, if play had proceeded clockwise around the table, it now goes counterclockwise. Then planeswalk away from this phenomenon.) </t>
  </si>
  <si>
    <t>P</t>
  </si>
  <si>
    <t>Wins</t>
  </si>
  <si>
    <t>Vanguard</t>
  </si>
  <si>
    <t>Hand</t>
  </si>
  <si>
    <t>Ability</t>
  </si>
  <si>
    <t>Akroma, Angel of Wrath</t>
  </si>
  <si>
    <t>Whenever a creature enters the battlefield under your control, it gains two abilities chosen at random from flying, first strike, trample, haste, protection from black, protection from red, and vigilance.</t>
  </si>
  <si>
    <t>Arcbound Overseer</t>
  </si>
  <si>
    <t>At the beginning of your upkeep, you may put a +1/+1 counter on target creature you control.
At the beginning of your upkeep, you may put a charge counter on target permanent you control.</t>
  </si>
  <si>
    <t>Ashnod</t>
  </si>
  <si>
    <t>Whenever a creature damages you destroy it</t>
  </si>
  <si>
    <t>Barrin</t>
  </si>
  <si>
    <t>Sacrifice a permanent: Return target creature to its owner's hand.</t>
  </si>
  <si>
    <t>Birds of Paradise</t>
  </si>
  <si>
    <t>Lands you control have "Tap: Add one mana of any color to your mana pool."</t>
  </si>
  <si>
    <t>Bosh Iron Golem</t>
  </si>
  <si>
    <t>X, Sacrifice an artifact with converted mana cost X: Bosh, Iron Golem Avatar deals X damage to target creature or player.</t>
  </si>
  <si>
    <t>Braids Conjuer Adept</t>
  </si>
  <si>
    <t>2: Each player may put a land card from his or her hand onto the battlefield tapped.
3: Each player may put a noncreature artifact card from his or her hand onto the battlefield.
4: Each player may put a creature card from his or her hand onto the battlefield. Activate this ability only any time you could cast a sorcery.</t>
  </si>
  <si>
    <t>Chronotog</t>
  </si>
  <si>
    <t>You have no maximum hand size.
0: Draw three cards. You skip your next turn. Activate this ability only once each turn.</t>
  </si>
  <si>
    <t>Crovax</t>
  </si>
  <si>
    <t>Whenever a creature you control deals damage to a creature or player, you gain 1 life.</t>
  </si>
  <si>
    <t>Diamond Farie</t>
  </si>
  <si>
    <t>*: Target creature gets +1/+1 until end of turn</t>
  </si>
  <si>
    <t>Eight and A Half Tails</t>
  </si>
  <si>
    <t>1: Until end of turn, target permanent you control gains protection from a color chosen at random from colors it doesn't have protection from.</t>
  </si>
  <si>
    <t>Eladamri</t>
  </si>
  <si>
    <t>Redirect damage delt to your creatures to yourself</t>
  </si>
  <si>
    <t>Elvish Champion</t>
  </si>
  <si>
    <t>You begin the game with a 1/1 green Elf creature token on the battlefield. It has "Tap: Add Green to your mana pool."</t>
  </si>
  <si>
    <t>Erhnam Djinn</t>
  </si>
  <si>
    <t>Whenever you cast a creature spell, put a 1/1 green Saproling creature token onto the battlefield.</t>
  </si>
  <si>
    <t>Ertai</t>
  </si>
  <si>
    <t>Your creatures have hexproof</t>
  </si>
  <si>
    <t>Etched Oracle</t>
  </si>
  <si>
    <t>You may pay (WUBRG) rather than pay the mana cost for spells that you cast.</t>
  </si>
  <si>
    <t>Fallen Angel</t>
  </si>
  <si>
    <t>Whenever a creature you control dies, target opponent loses 1 life and you gain 1 life.</t>
  </si>
  <si>
    <t>Flametongue Kavu</t>
  </si>
  <si>
    <t>Whenever a nontoken creature enters the battlefield under your control, that creature deals X damage to target creature, where X is a number chosen at random from 0 to 4.</t>
  </si>
  <si>
    <t>Frenetic Efreet</t>
  </si>
  <si>
    <t>Each permanent you control has phasing. (It phases in or out before you untap during each of your untap steps. While it's phased out, it's treated as though it doesn't exist.)
At the beginning of your end step, flip a coin. If you win the flip, take an extra turn after this one.</t>
  </si>
  <si>
    <t>Gerrard</t>
  </si>
  <si>
    <t>Draw an extra card during your draw phase</t>
  </si>
  <si>
    <t>Gix</t>
  </si>
  <si>
    <t>3: Return target creature card from your graveyard to your hand.</t>
  </si>
  <si>
    <t>Goblin Warchief</t>
  </si>
  <si>
    <t>Attacking creatures you control get +1/+0.</t>
  </si>
  <si>
    <t>Greven Il-Vec</t>
  </si>
  <si>
    <t>Whenever a creature you control deals damage to a creature, destroy the other creature. It can't be regenerated.</t>
  </si>
  <si>
    <t>Grinning Demon</t>
  </si>
  <si>
    <t>Whenever a nontoken creature you control dies, target opponent discards a card.</t>
  </si>
  <si>
    <t>Haakon the Stromgald</t>
  </si>
  <si>
    <t>Pay 1 life: You may play target creature card in your graveyard this turn.
Whenever you play a creature card from your graveyard, it becomes a black Zombie Knight.
If a Zombie Knight would be put into your graveyard from the battlefield, exile it instead.</t>
  </si>
  <si>
    <t>Hanna</t>
  </si>
  <si>
    <t>Spells you cast cost 1 less to cast.</t>
  </si>
  <si>
    <t>Heartwood Storyteller</t>
  </si>
  <si>
    <t>The first creature spell you cast each turn costs 1 less to cast.
The first noncreature spell each opponent casts each turn costs 1 more to cast.</t>
  </si>
  <si>
    <t>Hell's Caretaker</t>
  </si>
  <si>
    <t>3, Sacrifice a creature: Return target creature card from your graveyard to the battlefield.</t>
  </si>
  <si>
    <t>Higure the Still Wind</t>
  </si>
  <si>
    <t>Whenever a nontoken creature you control deals combat damage to an opponent, choose a creature card at random from your library, reveal that card, and put it into your hand. Then shuffle your library.</t>
  </si>
  <si>
    <t>Ink-Eye, Servant of Oni</t>
  </si>
  <si>
    <t>At the beginning of the game, look at target opponent's hand and choose a nonland card from it. That player discards that card.
Variable Colorless, Pay X life: Put target creature card with converted mana cost X from an opponent's graveyard onto the battlefield under your control.</t>
  </si>
  <si>
    <t>Jaya Ballard</t>
  </si>
  <si>
    <t>x: Jaya Ballard Avatar deals an amount of damage chosen at random from 0 to X to target creature or player.  Activate this ability only once each turn.</t>
  </si>
  <si>
    <t>Jhoira of the Ghitu</t>
  </si>
  <si>
    <t>3, Discard a card: Copy three instant cards chosen at random. You may cast one of the copies without paying its mana cost.
3, Discard a card: Copy three sorcery cards chosen at random. You may cast one of the copies without paying its mana cost. Activate this ability only any time you could cast a sorcery.</t>
  </si>
  <si>
    <t>Karn</t>
  </si>
  <si>
    <t>Each noncreature artifact you control is an artifact creature with power and toughness each equal to its converted mana cost.</t>
  </si>
  <si>
    <t>Korona False God</t>
  </si>
  <si>
    <t>At the beginning of your upkeep, exchange control of a permanent you control chosen at random and a permanent target opponent controls chosen at random.</t>
  </si>
  <si>
    <t>Loxodon Hirearch</t>
  </si>
  <si>
    <t>Sacrifice a permanent: Regenerate target creature you control.</t>
  </si>
  <si>
    <t>Lyna</t>
  </si>
  <si>
    <t>Creatures you control have shadow. (They can block and be blocked only by creatures with shadow.)</t>
  </si>
  <si>
    <t>Lyzolda the Blood Witch</t>
  </si>
  <si>
    <t>Hellbent — As long as you have no cards in hand, if a source you control would deal damage to a creature or player, it deals double that damage to that creature or player instead.
Hellbent — At the beginning of your end step, if you have no cards in hand, each of your opponents discards a card.</t>
  </si>
  <si>
    <t>Creatures you control get +1/+0.</t>
  </si>
  <si>
    <t>Maro</t>
  </si>
  <si>
    <t>Tap an untapped creature you control, Discard a card: Target creature you control gets +X/+X until end of turn, where X is the number of cards in your hand.</t>
  </si>
  <si>
    <t>Momir Vig Simic Visionary</t>
  </si>
  <si>
    <t>Variable Colorless, Discard a card: Put a token onto the battlefield that's a copy of a creature card with converted mana cost X chosen at random. Activate this ability only any time you could cast a sorcery and only once each turn.</t>
  </si>
  <si>
    <t>Mirri</t>
  </si>
  <si>
    <t>Each of your basic lands may be tapped to produce any color of mana instead of its normal type.</t>
  </si>
  <si>
    <t>Mirri the cursed</t>
  </si>
  <si>
    <t>Creatures you control have "Tap: Another target creature gets -1/-1 until end of turn. Put a +1/+1 counter on this creature."</t>
  </si>
  <si>
    <t>creatures deal double damage</t>
  </si>
  <si>
    <t>Multani</t>
  </si>
  <si>
    <t>Creatures you control get +X/+0, where X is the number of cards in your hand.</t>
  </si>
  <si>
    <t>Nekrataal</t>
  </si>
  <si>
    <t>Creature spells you cast cost Black less to cast. This effect reduces only the amount of colored mana you pay.</t>
  </si>
  <si>
    <t>Oni of the Wild Places</t>
  </si>
  <si>
    <t>Creatures you control have haste.
At the beginning of your upkeep, return a creature you control to its owner's hand.</t>
  </si>
  <si>
    <t>Oracle</t>
  </si>
  <si>
    <t>0: Untap target attacking creature you control and remove it from combat.</t>
  </si>
  <si>
    <t>Orim</t>
  </si>
  <si>
    <t>Creatures you control have reach.</t>
  </si>
  <si>
    <t>Phage the Untouchable</t>
  </si>
  <si>
    <t xml:space="preserve">Pay 1 life: Until end of turn, whenever a creature deals combat damage to you, destroy that creature.
Pay 1 life: Until end of turn, whenever target creature you control deals combat damage to a creature, destroy the damaged creature.
</t>
  </si>
  <si>
    <t>Platinum Angel</t>
  </si>
  <si>
    <t>If you control an artifact, a creature, an enchantment, and a land, you can't lose the game and your opponents can't win the game.</t>
  </si>
  <si>
    <t>Prodigal Sorcerer</t>
  </si>
  <si>
    <t>At the beginning of your upkeep, look at the top card of your library. You may put that card into your graveyard.</t>
  </si>
  <si>
    <t>Raksha Golden Cub</t>
  </si>
  <si>
    <t>Creatures you control get +0/+1.
Equipped creatures you control get +1/+0 and have first strike.</t>
  </si>
  <si>
    <t>Rofellos</t>
  </si>
  <si>
    <t>Whenever a creature you control dies, draw a card.</t>
  </si>
  <si>
    <t>Royal Assassain</t>
  </si>
  <si>
    <t>At the beginning of your upkeep, you draw a card and you lose 1 life.</t>
  </si>
  <si>
    <t>Rumbling Slum</t>
  </si>
  <si>
    <t>beginning of upkeep, Rumbling Slum deals 1 damage to each opponent</t>
  </si>
  <si>
    <t>Sakashima, the Imposter</t>
  </si>
  <si>
    <t>2: Choose a creature you control. It becomes a copy of target creature except for its name.</t>
  </si>
  <si>
    <t>Selenia</t>
  </si>
  <si>
    <t>Creatures you control have vigilance.</t>
  </si>
  <si>
    <t>Serra</t>
  </si>
  <si>
    <t>Creatures you control get +0/+2.</t>
  </si>
  <si>
    <t>Serra Angel</t>
  </si>
  <si>
    <t>Whenever you cast a spell, you gain 2 life.</t>
  </si>
  <si>
    <t>Seshiro the Anointed</t>
  </si>
  <si>
    <t>At the beginning of the game, choose a creature type. Creatures you control, creature spells you control, and creature cards you own in any zone other than the battlefield or the stack have the chosen type in addition to their other types.</t>
  </si>
  <si>
    <t>Sidar Kondo</t>
  </si>
  <si>
    <t>3: Target creature gets +3/+3 until end of turn.</t>
  </si>
  <si>
    <t>Sisay</t>
  </si>
  <si>
    <t>Whenever you tap a land for mana, add one mana to your mana pool of any type that land produced.</t>
  </si>
  <si>
    <t>Squee</t>
  </si>
  <si>
    <t>Your opponents play with their hands revealed.</t>
  </si>
  <si>
    <t>Stalking Tiger</t>
  </si>
  <si>
    <t>Whenever you cast a creature spell, you may pay 1. If you do, draw a card.</t>
  </si>
  <si>
    <t>Starke</t>
  </si>
  <si>
    <t>At the beginning of your draw step, you may draw an additional card. If you do, put a card from your hand on the bottom of your library.</t>
  </si>
  <si>
    <t>Stuffy Doll</t>
  </si>
  <si>
    <t>0: If damage would be dealt to you this turn by a source of your choice, prevent that damage. Stuffy Doll Avatar deals damage to you and target opponent equal to half the damage prevented this way, rounded up. Activate this ability only once each turn.</t>
  </si>
  <si>
    <t>Tahngarth</t>
  </si>
  <si>
    <t>Creatures you control have haste.</t>
  </si>
  <si>
    <t>Takara</t>
  </si>
  <si>
    <t>Sacrifice a creature: Takara deals 1 damage to target creature or player.</t>
  </si>
  <si>
    <t>Tawnos</t>
  </si>
  <si>
    <t>Atrtifact, creatures, enchantments you control have flash</t>
  </si>
  <si>
    <t>Teysa Orzhov Scion</t>
  </si>
  <si>
    <t>Whenever a nontoken creature dies, put a 1/1 white Spirit creature token with flying onto the battlefield.</t>
  </si>
  <si>
    <t>Titania</t>
  </si>
  <si>
    <t>You can play an additional land each turn</t>
  </si>
  <si>
    <t>Two-Headed Giant of Farlys</t>
  </si>
  <si>
    <t>Each creature you control can block an additional creature each combat.
Each creature you control can't be blocked except by two or more creatures.</t>
  </si>
  <si>
    <t>Urza</t>
  </si>
  <si>
    <t>3: deals 1 damage to target</t>
  </si>
  <si>
    <t>Viridian Zealot</t>
  </si>
  <si>
    <t>2: Sacrifice a creature: Destroy target artifact or enchantment. Search your library for a card with the same name as the sacrificed creature, reveal that card, and put it into your hand. Then shuffle your library.</t>
  </si>
  <si>
    <t>Volrath</t>
  </si>
  <si>
    <t>Whenever a creature you control is put into your graveyard from the battlefield, you may put it on top of your library.</t>
  </si>
  <si>
    <t>Xantcha</t>
  </si>
  <si>
    <t>Sac a permanent: regenerate target creature</t>
  </si>
  <si>
    <t>Sheets("NRC").Visible = False</t>
  </si>
  <si>
    <t>Sheets("NRC").Visible = True</t>
  </si>
  <si>
    <t>Application.CutCopyMode = False</t>
  </si>
  <si>
    <t>ActiveWorkbook.Save</t>
  </si>
  <si>
    <t>Application.screenupdating = False</t>
  </si>
  <si>
    <t>Application.screenupdating = True</t>
  </si>
  <si>
    <t>End If</t>
  </si>
  <si>
    <t>If ActiveSheet.Cells(7, 8) = "9" Then</t>
  </si>
  <si>
    <t>ActiveWindow.ScrollRow = 1</t>
  </si>
  <si>
    <t>ActiveWindow.ScrollColumn = 1</t>
  </si>
  <si>
    <t>Continent</t>
  </si>
  <si>
    <t>Plane</t>
  </si>
  <si>
    <t>Plane Ability</t>
  </si>
  <si>
    <t>Abb Color</t>
  </si>
  <si>
    <t>Color Speak</t>
  </si>
  <si>
    <t>Color Possibilities</t>
  </si>
  <si>
    <t>None</t>
  </si>
  <si>
    <t>PL1</t>
  </si>
  <si>
    <t>PL2</t>
  </si>
  <si>
    <t>Deck</t>
  </si>
  <si>
    <t>Format</t>
  </si>
  <si>
    <t>Notes</t>
  </si>
  <si>
    <t>Possible Attack</t>
  </si>
  <si>
    <t>Patrick</t>
  </si>
  <si>
    <t>C</t>
  </si>
  <si>
    <t>D</t>
  </si>
  <si>
    <t>A</t>
  </si>
  <si>
    <t>Justin Sane</t>
  </si>
  <si>
    <t>Rank</t>
  </si>
  <si>
    <t>Roll</t>
  </si>
  <si>
    <t>Battle</t>
  </si>
  <si>
    <t>Player</t>
  </si>
  <si>
    <t>Deck ID</t>
  </si>
  <si>
    <t>Status</t>
  </si>
  <si>
    <t>Locked</t>
  </si>
  <si>
    <t>Vanguards</t>
  </si>
  <si>
    <t>Current Turn</t>
  </si>
  <si>
    <t>Grey</t>
  </si>
  <si>
    <t>North Africa</t>
  </si>
  <si>
    <t>Egypt</t>
  </si>
  <si>
    <t>East Africa</t>
  </si>
  <si>
    <t>Congo</t>
  </si>
  <si>
    <t>South Africa</t>
  </si>
  <si>
    <t>Madagascar</t>
  </si>
  <si>
    <t>Siberia</t>
  </si>
  <si>
    <t>Yakutsk</t>
  </si>
  <si>
    <t>Ural</t>
  </si>
  <si>
    <t>Irkutsk</t>
  </si>
  <si>
    <t>Kamchatka</t>
  </si>
  <si>
    <t>Afghanistan</t>
  </si>
  <si>
    <t>Mongolia</t>
  </si>
  <si>
    <t>Japan</t>
  </si>
  <si>
    <t>China</t>
  </si>
  <si>
    <t>Middle East</t>
  </si>
  <si>
    <t>India</t>
  </si>
  <si>
    <t>Siam</t>
  </si>
  <si>
    <t>Indonesia</t>
  </si>
  <si>
    <t>New Guinea</t>
  </si>
  <si>
    <t>Eastern Australia</t>
  </si>
  <si>
    <t>Western Australia</t>
  </si>
  <si>
    <t>Veneseulea</t>
  </si>
  <si>
    <t>Brazil</t>
  </si>
  <si>
    <t>Peru</t>
  </si>
  <si>
    <t>Argentina</t>
  </si>
  <si>
    <t>Iceland</t>
  </si>
  <si>
    <t>Scandanavia</t>
  </si>
  <si>
    <t>Great Britan</t>
  </si>
  <si>
    <t>Northern Europe</t>
  </si>
  <si>
    <t>Ukraine</t>
  </si>
  <si>
    <t>Western Europe</t>
  </si>
  <si>
    <t>Southern Europe</t>
  </si>
  <si>
    <t>Alaska</t>
  </si>
  <si>
    <t>Northwest Territory</t>
  </si>
  <si>
    <t>Greenland</t>
  </si>
  <si>
    <t>Alberta</t>
  </si>
  <si>
    <t>Ontario</t>
  </si>
  <si>
    <t>Quebec</t>
  </si>
  <si>
    <t>Western USA</t>
  </si>
  <si>
    <t>Eastern USA</t>
  </si>
  <si>
    <t>Central America</t>
  </si>
  <si>
    <t>Range("AQ4").Value = Range("AQ4").Value + 1</t>
  </si>
  <si>
    <t>Hidden</t>
  </si>
  <si>
    <t>Drop</t>
  </si>
  <si>
    <t>A Permanent in Play</t>
  </si>
  <si>
    <t>Tutor for a Basic Land</t>
  </si>
  <si>
    <t>Counter a Spell</t>
  </si>
  <si>
    <t xml:space="preserve"> +1/+1 On all Creatures</t>
  </si>
  <si>
    <t>Map View</t>
  </si>
  <si>
    <t>Yellow</t>
  </si>
  <si>
    <t>Select</t>
  </si>
  <si>
    <t>Clear</t>
  </si>
  <si>
    <t xml:space="preserve"> -2/-0 On All Creatures</t>
  </si>
  <si>
    <t>Application.Wait(Now + #0:00:01#)</t>
  </si>
  <si>
    <t>Justin</t>
  </si>
  <si>
    <t>Losses</t>
  </si>
  <si>
    <t>Adun Oakenshield</t>
  </si>
  <si>
    <t>Age of Ice</t>
  </si>
  <si>
    <t>Alms for the Cure</t>
  </si>
  <si>
    <t>Ancestors</t>
  </si>
  <si>
    <t>Angel's Grace</t>
  </si>
  <si>
    <t>Baru for You</t>
  </si>
  <si>
    <t>Built From Scratch</t>
  </si>
  <si>
    <t>Chill Pauper</t>
  </si>
  <si>
    <t>Democratic Conspiracy</t>
  </si>
  <si>
    <t>Elves Vs</t>
  </si>
  <si>
    <t>Forged in Stone</t>
  </si>
  <si>
    <t>Goblins Vs</t>
  </si>
  <si>
    <t>Guided By Nature</t>
  </si>
  <si>
    <t>It Came From the Malestrom</t>
  </si>
  <si>
    <t>Peer Through Time</t>
  </si>
  <si>
    <t>Scalpelexis Exists</t>
  </si>
  <si>
    <t>Sworn to Darkness</t>
  </si>
  <si>
    <t>Skyline Predator</t>
  </si>
  <si>
    <t>Security Blockade</t>
  </si>
  <si>
    <t>Neurok Prodigy</t>
  </si>
  <si>
    <t>Towering Indrik</t>
  </si>
  <si>
    <t>Commander Preconstructed</t>
  </si>
  <si>
    <t>Casual Pauper</t>
  </si>
  <si>
    <t>Spirits</t>
  </si>
  <si>
    <t>Availability</t>
  </si>
  <si>
    <t>66% of the Time, it Works Every Time</t>
  </si>
  <si>
    <t>Justice and Fury</t>
  </si>
  <si>
    <t>Ajani</t>
  </si>
  <si>
    <t>Scorch the World with Dragonsfire</t>
  </si>
  <si>
    <t>Army of Entropy</t>
  </si>
  <si>
    <t>Aura Masters</t>
  </si>
  <si>
    <t>Azorus Ascendant</t>
  </si>
  <si>
    <t>Bailfire Liege</t>
  </si>
  <si>
    <t>Battalion</t>
  </si>
  <si>
    <t>Bestow upon You</t>
  </si>
  <si>
    <t>Big Red Blast Fest</t>
  </si>
  <si>
    <t>Boggart's Feast</t>
  </si>
  <si>
    <t>Bogs Brew</t>
  </si>
  <si>
    <t>Burokku Sa Renal Seishin</t>
  </si>
  <si>
    <t>Buybacks A Bitch</t>
  </si>
  <si>
    <t>Chandler Nalaar</t>
  </si>
  <si>
    <t>Burn and Destroy</t>
  </si>
  <si>
    <t>Charmed Existense</t>
  </si>
  <si>
    <t>Code of the Orzhov</t>
  </si>
  <si>
    <t>Guided by Nature</t>
  </si>
  <si>
    <t>Mindseize</t>
  </si>
  <si>
    <t>Demons</t>
  </si>
  <si>
    <t>Elvish Predication</t>
  </si>
  <si>
    <t>Elspeth Tirel</t>
  </si>
  <si>
    <t>Evolutions A Happin'</t>
  </si>
  <si>
    <t>Ev're Day I'm Shufflin'</t>
  </si>
  <si>
    <t>Flayer of the Hartbound</t>
  </si>
  <si>
    <t>Goblin</t>
  </si>
  <si>
    <t>Going Rouge</t>
  </si>
  <si>
    <t>Grull Weilding</t>
  </si>
  <si>
    <t>Ferocity and Growth</t>
  </si>
  <si>
    <t>Guscloke</t>
  </si>
  <si>
    <t>Hero</t>
  </si>
  <si>
    <t>Hollow Ground</t>
  </si>
  <si>
    <t>Joe's Domination</t>
  </si>
  <si>
    <t>Koth</t>
  </si>
  <si>
    <t>Erupt and Overwhenm</t>
  </si>
  <si>
    <t>Kreatur Feature</t>
  </si>
  <si>
    <t>Life 4 Death</t>
  </si>
  <si>
    <t>Lift Off</t>
  </si>
  <si>
    <t>Liliana Vess</t>
  </si>
  <si>
    <t>Merfolk</t>
  </si>
  <si>
    <t>My Shitty Ass Affinity Deck</t>
  </si>
  <si>
    <t>Avrice and Deceit</t>
  </si>
  <si>
    <t>Metallic Dreams</t>
  </si>
  <si>
    <t>Chaos Reins</t>
  </si>
  <si>
    <t>Planeschase</t>
  </si>
  <si>
    <t>Strikeforce</t>
  </si>
  <si>
    <t>Zombie Empire</t>
  </si>
  <si>
    <t>Prelife Punch to the Face</t>
  </si>
  <si>
    <t>Premium Slivers</t>
  </si>
  <si>
    <t>Foil</t>
  </si>
  <si>
    <t>Rancor's Bloodsport</t>
  </si>
  <si>
    <t>Razing Psyche</t>
  </si>
  <si>
    <t>Rose</t>
  </si>
  <si>
    <t>Sacrificial Human</t>
  </si>
  <si>
    <t>Snakes Path</t>
  </si>
  <si>
    <t>Son of Goblin</t>
  </si>
  <si>
    <t>Son of Guscloke</t>
  </si>
  <si>
    <t>Soratimsi's Wisdom</t>
  </si>
  <si>
    <t>Sotrmkirk Nobles</t>
  </si>
  <si>
    <t>Suspended Scentance</t>
  </si>
  <si>
    <t>Tezzeret</t>
  </si>
  <si>
    <t>Tourney Fect</t>
  </si>
  <si>
    <t>Vanishing Hope</t>
  </si>
  <si>
    <t>Venser</t>
  </si>
  <si>
    <t>Varaska</t>
  </si>
  <si>
    <t>Warrior's Code</t>
  </si>
  <si>
    <t>Way of the Warrior</t>
  </si>
  <si>
    <t>Wicked Big</t>
  </si>
  <si>
    <t>Wicked Big's Even More Wicked Bigger Older Brother</t>
  </si>
  <si>
    <t>UGR</t>
  </si>
  <si>
    <t>11th Hour (Check Color)</t>
  </si>
  <si>
    <t>Athiest's  Truth  (Check Color)</t>
  </si>
  <si>
    <t>Cunning</t>
  </si>
  <si>
    <t>Forgetful Explorer</t>
  </si>
  <si>
    <t>Horde of the Dragons</t>
  </si>
  <si>
    <t>RU</t>
  </si>
  <si>
    <t>Master Blaster</t>
  </si>
  <si>
    <t>Paralyzing Peek Past Present Perils</t>
  </si>
  <si>
    <t>Speed</t>
  </si>
  <si>
    <t>RWB</t>
  </si>
  <si>
    <t>Wisest of All</t>
  </si>
  <si>
    <t>Balthazor's Minions</t>
  </si>
  <si>
    <t>Blight of the Fens</t>
  </si>
  <si>
    <t>For Honor and Valor</t>
  </si>
  <si>
    <t>Great Forest Emergence</t>
  </si>
  <si>
    <t>Guardians of the Muck</t>
  </si>
  <si>
    <t>Whimsical Musings of Delight</t>
  </si>
  <si>
    <t>Leyline Phantom</t>
  </si>
  <si>
    <t>Cube</t>
  </si>
  <si>
    <t>Squire of Balthazor</t>
  </si>
  <si>
    <t/>
  </si>
  <si>
    <t>Cunning Vs</t>
  </si>
  <si>
    <t>End of the World</t>
  </si>
  <si>
    <t>SPECTRE</t>
  </si>
  <si>
    <t>Speed Vs</t>
  </si>
  <si>
    <t>Aeoa Paquete look up color</t>
  </si>
  <si>
    <t>Power</t>
  </si>
  <si>
    <t>Profit</t>
  </si>
  <si>
    <t>Rituals of Rebirth</t>
  </si>
  <si>
    <t>Elemental Mastery</t>
  </si>
  <si>
    <t>More "Fang &amp; Man" Fest</t>
  </si>
  <si>
    <t>Kiora</t>
  </si>
  <si>
    <t>White Mocha</t>
  </si>
  <si>
    <t>Team</t>
  </si>
  <si>
    <t>Count</t>
  </si>
  <si>
    <t>Risk</t>
  </si>
  <si>
    <t>Simple ID</t>
  </si>
  <si>
    <t>Placement</t>
  </si>
  <si>
    <t>Games Played</t>
  </si>
  <si>
    <t>Conspiracy</t>
  </si>
  <si>
    <t>Bonus Color</t>
  </si>
  <si>
    <t>Stats</t>
  </si>
  <si>
    <t>Valiant Discord check color</t>
  </si>
  <si>
    <t>Reason</t>
  </si>
  <si>
    <t>Attacker</t>
  </si>
  <si>
    <t>Defender</t>
  </si>
  <si>
    <t>PL1-01</t>
  </si>
  <si>
    <t>PL1-02</t>
  </si>
  <si>
    <t>PL1-03</t>
  </si>
  <si>
    <t>PL1-04</t>
  </si>
  <si>
    <t>PL1-05</t>
  </si>
  <si>
    <t>PL1-06</t>
  </si>
  <si>
    <t>PL1-07</t>
  </si>
  <si>
    <t>PL1-08</t>
  </si>
  <si>
    <t>PL1-09</t>
  </si>
  <si>
    <t>PL1-10</t>
  </si>
  <si>
    <t>PL1-11</t>
  </si>
  <si>
    <t>PL1-12</t>
  </si>
  <si>
    <t>PL1-13</t>
  </si>
  <si>
    <t>PL1-14</t>
  </si>
  <si>
    <t>PL1-15</t>
  </si>
  <si>
    <t>PL1-16</t>
  </si>
  <si>
    <t>PL1-17</t>
  </si>
  <si>
    <t>PL1-18</t>
  </si>
  <si>
    <t>PL1-19</t>
  </si>
  <si>
    <t>PL1-20</t>
  </si>
  <si>
    <t>PL1-21</t>
  </si>
  <si>
    <t>PL2-01</t>
  </si>
  <si>
    <t>PL2-02</t>
  </si>
  <si>
    <t>PL2-03</t>
  </si>
  <si>
    <t>PL2-04</t>
  </si>
  <si>
    <t>PL2-05</t>
  </si>
  <si>
    <t>PL2-06</t>
  </si>
  <si>
    <t>PL2-07</t>
  </si>
  <si>
    <t>PL2-08</t>
  </si>
  <si>
    <t>PL2-09</t>
  </si>
  <si>
    <t>PL2-10</t>
  </si>
  <si>
    <t>PL2-11</t>
  </si>
  <si>
    <t>PL2-12</t>
  </si>
  <si>
    <t>PL2-13</t>
  </si>
  <si>
    <t>PL2-14</t>
  </si>
  <si>
    <t>PL2-15</t>
  </si>
  <si>
    <t>PL2-16</t>
  </si>
  <si>
    <t>PL2-17</t>
  </si>
  <si>
    <t>PL2-18</t>
  </si>
  <si>
    <t>PL2-19</t>
  </si>
  <si>
    <t>PL2-20</t>
  </si>
  <si>
    <t>PL2-21</t>
  </si>
  <si>
    <t>PL1 Wins</t>
  </si>
  <si>
    <t>PL2 Wins</t>
  </si>
  <si>
    <t>Game Type</t>
  </si>
  <si>
    <t>Cursor Park</t>
  </si>
  <si>
    <t>Next Select</t>
  </si>
  <si>
    <t>Mode</t>
  </si>
  <si>
    <t>Team Locked</t>
  </si>
  <si>
    <t>Map Setup</t>
  </si>
  <si>
    <t>Map Select</t>
  </si>
  <si>
    <t>Static Country</t>
  </si>
  <si>
    <t>Click Lock</t>
  </si>
  <si>
    <t>Setup Lock</t>
  </si>
  <si>
    <t>Map Message</t>
  </si>
  <si>
    <t>MapSetup</t>
  </si>
  <si>
    <t>Border Color</t>
  </si>
  <si>
    <t>Gold</t>
  </si>
  <si>
    <t>Map Border Colors</t>
  </si>
  <si>
    <t>Default</t>
  </si>
  <si>
    <t>Team Name</t>
  </si>
  <si>
    <t>Country Color</t>
  </si>
  <si>
    <t>Threat</t>
  </si>
  <si>
    <t>Comment</t>
  </si>
  <si>
    <t>Type</t>
  </si>
  <si>
    <t>Deck1</t>
  </si>
  <si>
    <t>Clock</t>
  </si>
  <si>
    <t>Attacker1</t>
  </si>
  <si>
    <t>Attacker2</t>
  </si>
  <si>
    <t>Defender1</t>
  </si>
  <si>
    <t>Defender2</t>
  </si>
  <si>
    <t>Winner1</t>
  </si>
  <si>
    <t>Winner2</t>
  </si>
  <si>
    <t>Loser1</t>
  </si>
  <si>
    <t>Loser2</t>
  </si>
  <si>
    <t>Start Time</t>
  </si>
  <si>
    <t>End Time</t>
  </si>
  <si>
    <t>Initiative Game</t>
  </si>
  <si>
    <t>#</t>
  </si>
  <si>
    <t>Locked1</t>
  </si>
  <si>
    <t>Locked2</t>
  </si>
  <si>
    <t>Attack Rotation</t>
  </si>
  <si>
    <t>Turn Rotation</t>
  </si>
  <si>
    <t>Mode Rotation</t>
  </si>
  <si>
    <t>Winning Player</t>
  </si>
  <si>
    <t>Losing Player</t>
  </si>
  <si>
    <t>Battle Taunt</t>
  </si>
  <si>
    <t>Loses</t>
  </si>
  <si>
    <t>Deck2</t>
  </si>
  <si>
    <t>Deck Name</t>
  </si>
  <si>
    <t>Static Team</t>
  </si>
  <si>
    <t>Not Dead</t>
  </si>
  <si>
    <t>The Champion</t>
  </si>
  <si>
    <t>The Explorer</t>
  </si>
  <si>
    <t>You may play an additional land on each of your turns.</t>
  </si>
  <si>
    <t>Cloak of the Philosopher</t>
  </si>
  <si>
    <t>Equipped creature gets +1/+1. 2: Untap equipped creature. Equip 2</t>
  </si>
  <si>
    <t>The Avenger</t>
  </si>
  <si>
    <t>3, (Tap): Target creature you control gains deathtouch until end of turn.</t>
  </si>
  <si>
    <t>2, (Tap), Exile The Champion: Search your library for a legendary artifact card that isn't a creature, reveal it, and put it onto the battlefield. Then shuffle your library.</t>
  </si>
  <si>
    <t>The Warmonger</t>
  </si>
  <si>
    <t>Exile The Warmonger: Creatures you control get +2/+0 and gain haste until end of turn.</t>
  </si>
  <si>
    <t>The Destined</t>
  </si>
  <si>
    <t>Spells you cast that target a creature you control cost 2 less to cast.</t>
  </si>
  <si>
    <t>The Philosopher</t>
  </si>
  <si>
    <t>2, (Tap): Tap target creature.</t>
  </si>
  <si>
    <t>The Savant</t>
  </si>
  <si>
    <t>Exile The Savant: Tap all creatures your opponents control. Those creatures don’t untap during their controllers' next untap steps.</t>
  </si>
  <si>
    <t>The Provider</t>
  </si>
  <si>
    <t>Exile The Provider: Put two +1/+1 counters on target creature you control. You gain life equal to that creature's toughness.</t>
  </si>
  <si>
    <t>The Protector</t>
  </si>
  <si>
    <t>(Tap): Prevent the next 1 damage that would be dealt to target creature or player this turn.</t>
  </si>
  <si>
    <t>The General</t>
  </si>
  <si>
    <t>Exile The General: Creatures you control get +1/+1 until end of turn. Untap them.</t>
  </si>
  <si>
    <t>The Vanquisher</t>
  </si>
  <si>
    <t>Axe of the Warmonger</t>
  </si>
  <si>
    <t>Equipped creature gets +2/+1 and has haste. Equip 2</t>
  </si>
  <si>
    <t>The Warrior</t>
  </si>
  <si>
    <t>(Tap): Target creature you control gains haste until end of turn.</t>
  </si>
  <si>
    <t>Spear of the General</t>
  </si>
  <si>
    <t>Equipped creature gets +2/+0 and has first strike. Equip 2</t>
  </si>
  <si>
    <t>Bow of the Hunter</t>
  </si>
  <si>
    <t>Equipped creature has "(Tap): This creature deals 2 damage to target creature or player." Equip 2</t>
  </si>
  <si>
    <t>The Hunter</t>
  </si>
  <si>
    <t>(Tap): Target creature you control gets +1/+1 until end of turn.</t>
  </si>
  <si>
    <t>Lash of the Tyrant</t>
  </si>
  <si>
    <t>Equipped creature gets +1/+2 and has deathtouch. Equip 2</t>
  </si>
  <si>
    <t>The Tyrant</t>
  </si>
  <si>
    <t>Exile The Tyrant: Creatures your opponents control get -1/-1 until end of turn.</t>
  </si>
  <si>
    <t>The Slayer</t>
  </si>
  <si>
    <t>You start the game with an additional 7 life.</t>
  </si>
  <si>
    <t>hand</t>
  </si>
  <si>
    <t>The Harvester</t>
  </si>
  <si>
    <t>(Tap): Draw a card, then discard a card.</t>
  </si>
  <si>
    <t>Your starting hand size is increased by one. Your maximum hand size is increased by one.</t>
  </si>
  <si>
    <t>Immeciate Action</t>
  </si>
  <si>
    <t>Creatures you control with the chosen name have haste.</t>
  </si>
  <si>
    <t>Double Stroke</t>
  </si>
  <si>
    <t>Whenever you cast an instant or sorcery with the chosen name, you may copy it. You may choose new targets for the copy.</t>
  </si>
  <si>
    <t>Backup Plan</t>
  </si>
  <si>
    <t>Draw an additional hand of seven cards as the game begins. Before taking mulligans, shuffle all but one of your hands into your library.</t>
  </si>
  <si>
    <t>Unexpected Results</t>
  </si>
  <si>
    <t>You may spend mana as though it were many of any color to cast spells with the chosen name.</t>
  </si>
  <si>
    <t>Secret Summoning</t>
  </si>
  <si>
    <t>Whenever a creature with the chosen name enters the battlefield under your control, you may search your library for any number of cards with that name, reveal them, put them into your hand, then shuffle your library.</t>
  </si>
  <si>
    <t>Power Play</t>
  </si>
  <si>
    <t>You are the starting player. If multiple players would be the starting player, one of those players is chosen at random.</t>
  </si>
  <si>
    <t>Worldknit</t>
  </si>
  <si>
    <t>Sentinel Dispatch</t>
  </si>
  <si>
    <t>At the beginning of the first upkeep, put a 1/1 colorless Construct artifact creature token with defender onto the battlefield.</t>
  </si>
  <si>
    <t>Secrets of Paradise</t>
  </si>
  <si>
    <t>Creatures you control with the chosen name have "(Tap): Add one mana of any color to your mana pool."</t>
  </si>
  <si>
    <t>Muzzio's Preparations</t>
  </si>
  <si>
    <t>Each creture you control with the chosen name enters the battlefield with an additional +1/+1 counter on it.</t>
  </si>
  <si>
    <t>Iterative Analysis</t>
  </si>
  <si>
    <t>Whenever you cast an instant or sorcery with the chosen name, you may draw a card.</t>
  </si>
  <si>
    <t>Brago's Favor</t>
  </si>
  <si>
    <t>Spells with the chosen name you cast cost 1 less to cast.</t>
  </si>
  <si>
    <t>Advantageous Proclamation</t>
  </si>
  <si>
    <t>Your minimum Deck size is reduced by 5.</t>
  </si>
  <si>
    <t>As long as every card in your cardpool (deck) started the game in your library or in the command zone, lands you control have "(Tap): Add one mana of any color to your mana pool."</t>
  </si>
  <si>
    <t>11/16/2015 Began Build</t>
  </si>
  <si>
    <t>Calc1</t>
  </si>
  <si>
    <t>Calc2</t>
  </si>
  <si>
    <t>Toughness</t>
  </si>
  <si>
    <t>Static Variables</t>
  </si>
  <si>
    <t>Next Country Setup</t>
  </si>
  <si>
    <t>Unraveling Mind</t>
  </si>
  <si>
    <t>Cancel Button</t>
  </si>
  <si>
    <t>Visible</t>
  </si>
  <si>
    <t>Cancel Possible</t>
  </si>
  <si>
    <t>Welcome Message</t>
  </si>
  <si>
    <t>Previous Winner</t>
  </si>
  <si>
    <t>Next Turn</t>
  </si>
  <si>
    <t>Setup Mode</t>
  </si>
  <si>
    <t>Current Turn Opposite</t>
  </si>
  <si>
    <t>Other Case</t>
  </si>
  <si>
    <t>Allies Aplenty</t>
  </si>
  <si>
    <t>Dark Revenant</t>
  </si>
  <si>
    <t>Rusting Golem</t>
  </si>
  <si>
    <t xml:space="preserve"> </t>
  </si>
  <si>
    <t>Elder Cathar</t>
  </si>
  <si>
    <t>Kruin Striker</t>
  </si>
  <si>
    <t>Casual Preconstructed</t>
  </si>
  <si>
    <t>Tine Shrike</t>
  </si>
  <si>
    <t>Tangle Spider</t>
  </si>
  <si>
    <t>Yotian Soldier</t>
  </si>
  <si>
    <t>Sentry Oak</t>
  </si>
  <si>
    <t>Soldier Replica</t>
  </si>
  <si>
    <t>Chimeric Coils</t>
  </si>
  <si>
    <t>Exsanguimator</t>
  </si>
  <si>
    <t>Marath</t>
  </si>
  <si>
    <t>Commander Tiny Leader</t>
  </si>
  <si>
    <t>Wolves</t>
  </si>
  <si>
    <t>Stewards of Kher</t>
  </si>
  <si>
    <t>Top of Turn</t>
  </si>
  <si>
    <t>Failed Attack</t>
  </si>
  <si>
    <t>Move</t>
  </si>
  <si>
    <t>Attack</t>
  </si>
  <si>
    <t>Map Color</t>
  </si>
  <si>
    <t>Mode Type</t>
  </si>
  <si>
    <t>Selected Borders</t>
  </si>
  <si>
    <t>Countries Selected</t>
  </si>
  <si>
    <t>Selected Player</t>
  </si>
  <si>
    <t>Opposing Team Selected Borders</t>
  </si>
  <si>
    <t>Same Team Selected Borders</t>
  </si>
  <si>
    <t>Attack Check</t>
  </si>
  <si>
    <t>Settings</t>
  </si>
  <si>
    <t>Random Setup</t>
  </si>
  <si>
    <t>Decks on Country</t>
  </si>
  <si>
    <t>Living Deck Letter</t>
  </si>
  <si>
    <t>Deck Lock</t>
  </si>
  <si>
    <t>Country 2</t>
  </si>
  <si>
    <t>Country 1</t>
  </si>
  <si>
    <t>Deck 2</t>
  </si>
  <si>
    <t>Deck 1</t>
  </si>
  <si>
    <t>Owned</t>
  </si>
  <si>
    <t>Controlled</t>
  </si>
  <si>
    <t>Random Setup Check</t>
  </si>
  <si>
    <t>Opposite</t>
  </si>
  <si>
    <t>Map setup</t>
  </si>
  <si>
    <t>Loser Decks</t>
  </si>
  <si>
    <t>Winner Decks</t>
  </si>
  <si>
    <t>Next Mode</t>
  </si>
  <si>
    <t>Focus</t>
  </si>
  <si>
    <t>Selected Team</t>
  </si>
  <si>
    <t>PL1-01-A</t>
  </si>
  <si>
    <t>PL1-01-B</t>
  </si>
  <si>
    <t>PL1-01-C</t>
  </si>
  <si>
    <t>PL1-02-A</t>
  </si>
  <si>
    <t>PL1-02-B</t>
  </si>
  <si>
    <t>PL1-02-C</t>
  </si>
  <si>
    <t>PL1-03-A</t>
  </si>
  <si>
    <t>PL1-03-B</t>
  </si>
  <si>
    <t>PL1-03-C</t>
  </si>
  <si>
    <t>PL1-04-A</t>
  </si>
  <si>
    <t>PL1-04-B</t>
  </si>
  <si>
    <t>PL1-04-C</t>
  </si>
  <si>
    <t>PL1-05-A</t>
  </si>
  <si>
    <t>PL1-05-B</t>
  </si>
  <si>
    <t>PL1-05-C</t>
  </si>
  <si>
    <t>PL1-06-A</t>
  </si>
  <si>
    <t>PL1-06-B</t>
  </si>
  <si>
    <t>PL1-06-C</t>
  </si>
  <si>
    <t>PL1-07-A</t>
  </si>
  <si>
    <t>PL1-07-B</t>
  </si>
  <si>
    <t>PL1-07-C</t>
  </si>
  <si>
    <t>PL1-08-A</t>
  </si>
  <si>
    <t>PL1-08-B</t>
  </si>
  <si>
    <t>PL1-08-C</t>
  </si>
  <si>
    <t>PL1-09-A</t>
  </si>
  <si>
    <t>PL1-09-B</t>
  </si>
  <si>
    <t>PL1-09-C</t>
  </si>
  <si>
    <t>PL1-10-A</t>
  </si>
  <si>
    <t>PL1-10-B</t>
  </si>
  <si>
    <t>PL1-10-C</t>
  </si>
  <si>
    <t>PL1-11-A</t>
  </si>
  <si>
    <t>PL1-11-B</t>
  </si>
  <si>
    <t>PL1-11-C</t>
  </si>
  <si>
    <t>PL1-12-A</t>
  </si>
  <si>
    <t>PL1-12-B</t>
  </si>
  <si>
    <t>PL1-12-C</t>
  </si>
  <si>
    <t>PL1-13-A</t>
  </si>
  <si>
    <t>PL1-13-B</t>
  </si>
  <si>
    <t>PL1-13-C</t>
  </si>
  <si>
    <t>PL1-14-A</t>
  </si>
  <si>
    <t>PL1-14-B</t>
  </si>
  <si>
    <t>PL1-14-C</t>
  </si>
  <si>
    <t>PL1-15-A</t>
  </si>
  <si>
    <t>PL1-15-B</t>
  </si>
  <si>
    <t>PL1-15-C</t>
  </si>
  <si>
    <t>PL1-16-A</t>
  </si>
  <si>
    <t>PL1-16-B</t>
  </si>
  <si>
    <t>PL1-16-C</t>
  </si>
  <si>
    <t>PL1-17-A</t>
  </si>
  <si>
    <t>PL1-17-B</t>
  </si>
  <si>
    <t>PL1-17-C</t>
  </si>
  <si>
    <t>PL1-18-A</t>
  </si>
  <si>
    <t>PL1-18-B</t>
  </si>
  <si>
    <t>PL1-18-C</t>
  </si>
  <si>
    <t>PL1-19-A</t>
  </si>
  <si>
    <t>PL1-19-B</t>
  </si>
  <si>
    <t>PL1-19-C</t>
  </si>
  <si>
    <t>PL1-20-A</t>
  </si>
  <si>
    <t>PL1-20-B</t>
  </si>
  <si>
    <t>PL1-20-C</t>
  </si>
  <si>
    <t>PL1-21-A</t>
  </si>
  <si>
    <t>PL1-21-B</t>
  </si>
  <si>
    <t>PL1-21-C</t>
  </si>
  <si>
    <t>Player Name</t>
  </si>
  <si>
    <t>Random Decks</t>
  </si>
  <si>
    <t>Address</t>
  </si>
  <si>
    <t>Deck Address Locked</t>
  </si>
  <si>
    <t>Current Game Start Time</t>
  </si>
  <si>
    <t>Current Turn Start Time</t>
  </si>
  <si>
    <t>Current Game End Time</t>
  </si>
  <si>
    <t>Welcome Color</t>
  </si>
  <si>
    <t>Risk Start</t>
  </si>
  <si>
    <t>Timestamp</t>
  </si>
  <si>
    <t>Winner Confirm</t>
  </si>
  <si>
    <t>Yes</t>
  </si>
  <si>
    <t>Previous Game Type</t>
  </si>
  <si>
    <t>build</t>
  </si>
  <si>
    <t>DkBlue</t>
  </si>
  <si>
    <t>DkRed</t>
  </si>
  <si>
    <t>Neighbor Count</t>
  </si>
  <si>
    <t>In Attack Range</t>
  </si>
  <si>
    <t>Attack Started</t>
  </si>
  <si>
    <t>Attacking From</t>
  </si>
  <si>
    <t>Defending</t>
  </si>
  <si>
    <t>Attacked Countries</t>
  </si>
  <si>
    <t>Attacking Team</t>
  </si>
  <si>
    <t>Defending Team</t>
  </si>
  <si>
    <t>PL1 Team</t>
  </si>
  <si>
    <t>PL2 Team</t>
  </si>
  <si>
    <t>Previous Attack Selected</t>
  </si>
  <si>
    <t>Already Attacked</t>
  </si>
  <si>
    <t>Attackable Countries</t>
  </si>
  <si>
    <t>Can't Attack</t>
  </si>
  <si>
    <t>Player Total</t>
  </si>
  <si>
    <t>Risk Card</t>
  </si>
  <si>
    <t>Attack Next Country Update</t>
  </si>
  <si>
    <t>Move Check</t>
  </si>
  <si>
    <t>Deck Color</t>
  </si>
  <si>
    <t>Move Update</t>
  </si>
  <si>
    <t>Map Check</t>
  </si>
  <si>
    <t>Undo Map Setup</t>
  </si>
  <si>
    <t>Undo Move</t>
  </si>
  <si>
    <t>Update Move</t>
  </si>
  <si>
    <t>Reinforce</t>
  </si>
  <si>
    <t>Moves Used</t>
  </si>
  <si>
    <t>Move Next Turn</t>
  </si>
  <si>
    <t>Move Confirm</t>
  </si>
  <si>
    <t>Move Cancel Check</t>
  </si>
  <si>
    <t>Continent Move</t>
  </si>
  <si>
    <t>Minus 1 Card</t>
  </si>
  <si>
    <t>Next 3 Lands Tapped</t>
  </si>
  <si>
    <t>7 Less Life</t>
  </si>
  <si>
    <t xml:space="preserve"> -2/-0 On Creatures</t>
  </si>
  <si>
    <t>Mill</t>
  </si>
  <si>
    <t>Exile Top 10 Cards</t>
  </si>
  <si>
    <t>Penalty Description</t>
  </si>
  <si>
    <t>Penalty ID</t>
  </si>
  <si>
    <t>Two Headed Giant</t>
  </si>
  <si>
    <t>Game Penalty</t>
  </si>
  <si>
    <t>Card</t>
  </si>
  <si>
    <t>Creature</t>
  </si>
  <si>
    <t>Lands</t>
  </si>
  <si>
    <t>Random Roll</t>
  </si>
  <si>
    <t>Hero&amp;Conspiracy</t>
  </si>
  <si>
    <t>Hero &amp; Conspiracy</t>
  </si>
  <si>
    <t>Choice</t>
  </si>
  <si>
    <t>Selection</t>
  </si>
  <si>
    <t>PL2 Current</t>
  </si>
  <si>
    <t>PL1 Current</t>
  </si>
  <si>
    <t>Defense Plane</t>
  </si>
  <si>
    <t>Defense Check</t>
  </si>
  <si>
    <t>Defense check</t>
  </si>
  <si>
    <t>Taken</t>
  </si>
  <si>
    <t>Defense Deck</t>
  </si>
  <si>
    <t>Selection Taken</t>
  </si>
  <si>
    <t>Current Deck</t>
  </si>
  <si>
    <t>Shown Defense</t>
  </si>
  <si>
    <t>DefenseNote</t>
  </si>
  <si>
    <t>Taken By</t>
  </si>
  <si>
    <t>Dead Removed</t>
  </si>
  <si>
    <t>Country Support</t>
  </si>
  <si>
    <t>Continent Bonus</t>
  </si>
  <si>
    <t>Penalties</t>
  </si>
  <si>
    <t>Bonuses</t>
  </si>
  <si>
    <t>Setup</t>
  </si>
  <si>
    <t>Attack Drop Check</t>
  </si>
  <si>
    <t>Defense Drop Check</t>
  </si>
  <si>
    <t>Attack Undo</t>
  </si>
  <si>
    <t>Drop Lock Confirm</t>
  </si>
  <si>
    <t>Drop Check</t>
  </si>
  <si>
    <t>Selected Country</t>
  </si>
  <si>
    <t>Drop Available</t>
  </si>
  <si>
    <t>Drop Player</t>
  </si>
  <si>
    <t>Opposite Drop Player</t>
  </si>
  <si>
    <t>Drop Bonus</t>
  </si>
  <si>
    <t>Plus One Card</t>
  </si>
  <si>
    <t>Plus  Life</t>
  </si>
  <si>
    <t>Minus PL1-287 Cards</t>
  </si>
  <si>
    <t xml:space="preserve">Mill </t>
  </si>
  <si>
    <t>Next PL2-102 Lands Tapped</t>
  </si>
  <si>
    <t xml:space="preserve"> Less Life</t>
  </si>
  <si>
    <t>Card Played</t>
  </si>
  <si>
    <t>Drop Count</t>
  </si>
  <si>
    <t>Drop Play Check</t>
  </si>
  <si>
    <t>Defense Drop Country</t>
  </si>
  <si>
    <t>Curent Cards</t>
  </si>
  <si>
    <t>Earned Cards</t>
  </si>
  <si>
    <t>Played Cards</t>
  </si>
  <si>
    <t>Drop Cancel Check</t>
  </si>
  <si>
    <t>Drop Cancel</t>
  </si>
  <si>
    <t>End Drop</t>
  </si>
  <si>
    <t>Selected Borders Ok to Move</t>
  </si>
  <si>
    <t>Attack Cancel</t>
  </si>
  <si>
    <t>Available Count</t>
  </si>
  <si>
    <t>Next Random Vanguard</t>
  </si>
  <si>
    <t>Vanguard Prize</t>
  </si>
  <si>
    <t>Taken By 1</t>
  </si>
  <si>
    <t>Taken By 2</t>
  </si>
  <si>
    <t>Status 1</t>
  </si>
  <si>
    <t>Status 2</t>
  </si>
  <si>
    <t>In Game 1</t>
  </si>
  <si>
    <t>In Game 2</t>
  </si>
  <si>
    <t>Locked 1</t>
  </si>
  <si>
    <t>Locked 2</t>
  </si>
  <si>
    <t>Choosen Defense</t>
  </si>
  <si>
    <t xml:space="preserve">Attacking </t>
  </si>
  <si>
    <t>Taint</t>
  </si>
  <si>
    <t>Ground Zero Colors</t>
  </si>
  <si>
    <t>On Color</t>
  </si>
  <si>
    <t>Moves Remaining</t>
  </si>
  <si>
    <t>Continent Move Total</t>
  </si>
  <si>
    <t>Player Move Total</t>
  </si>
  <si>
    <t>Moves to Use</t>
  </si>
  <si>
    <t>Country Own Check</t>
  </si>
  <si>
    <t>Current Turn Owned Check</t>
  </si>
  <si>
    <t>Color Choice</t>
  </si>
  <si>
    <t>Moves Remaining on Continent</t>
  </si>
  <si>
    <t>This Move Check</t>
  </si>
  <si>
    <t>Return to Map</t>
  </si>
  <si>
    <t>Need Color Check</t>
  </si>
  <si>
    <t>Controlled Turn</t>
  </si>
  <si>
    <t>Fighting Continent</t>
  </si>
  <si>
    <t>Chosen Color</t>
  </si>
  <si>
    <t>Total Continent Bonus</t>
  </si>
  <si>
    <t>Owned on Color</t>
  </si>
  <si>
    <t>Controlled on Color</t>
  </si>
  <si>
    <t>Combined Deck Colors</t>
  </si>
  <si>
    <t>Total</t>
  </si>
  <si>
    <t>Battle Top Message</t>
  </si>
  <si>
    <t>Hero/Conspiracy</t>
  </si>
  <si>
    <t>Starting</t>
  </si>
  <si>
    <t>Living Player</t>
  </si>
  <si>
    <t>Flat</t>
  </si>
  <si>
    <t>Country/</t>
  </si>
  <si>
    <t>Permanent</t>
  </si>
  <si>
    <t>Defending Borders</t>
  </si>
  <si>
    <t>Defending Life</t>
  </si>
  <si>
    <t>Defending Cards</t>
  </si>
  <si>
    <t>Defending Power</t>
  </si>
  <si>
    <t>Defending Toughness</t>
  </si>
  <si>
    <t>Attacking Life</t>
  </si>
  <si>
    <t>Attacking Cards</t>
  </si>
  <si>
    <t>Attacking Power</t>
  </si>
  <si>
    <t>Attacking Toughness</t>
  </si>
  <si>
    <t>Player Borders</t>
  </si>
  <si>
    <t>Per Border Friend</t>
  </si>
  <si>
    <t>Player Using</t>
  </si>
  <si>
    <t>PL1 Playing</t>
  </si>
  <si>
    <t>PL2 Playing</t>
  </si>
  <si>
    <t>Label</t>
  </si>
  <si>
    <t>Defending Drop</t>
  </si>
  <si>
    <t>Finish Drop</t>
  </si>
  <si>
    <t>Defending Random</t>
  </si>
  <si>
    <t>Ground Zero Random</t>
  </si>
  <si>
    <t>Border 2 Random</t>
  </si>
  <si>
    <t>Border 1 Random</t>
  </si>
  <si>
    <t>Border 3 Random</t>
  </si>
  <si>
    <t>Border 4 Random</t>
  </si>
  <si>
    <t>Border 5 Random</t>
  </si>
  <si>
    <t>Border 6 Random</t>
  </si>
  <si>
    <t>PL1-248 -Card</t>
  </si>
  <si>
    <t>PL2-256Tutor for Land</t>
  </si>
  <si>
    <t>Mandatory Drop</t>
  </si>
  <si>
    <t>Defending Drop Done</t>
  </si>
  <si>
    <t>Defence Drop Team</t>
  </si>
  <si>
    <t>Ground Zero Team</t>
  </si>
  <si>
    <t>Defense Drop Random</t>
  </si>
  <si>
    <t>player sheets</t>
  </si>
  <si>
    <t>PL2-189 +Life</t>
  </si>
  <si>
    <t>PL2-183Mill</t>
  </si>
  <si>
    <t>PL2-244Mill</t>
  </si>
  <si>
    <t>PL1-274 -Card</t>
  </si>
  <si>
    <t>lock extra buttons</t>
  </si>
  <si>
    <t>Earth Shaking Event Check</t>
  </si>
  <si>
    <t>Recent Attacks</t>
  </si>
  <si>
    <t>Skip Attack Check</t>
  </si>
  <si>
    <t>Player Moves Locked</t>
  </si>
  <si>
    <t>cleanup off screens</t>
  </si>
  <si>
    <t>PL1 Count</t>
  </si>
  <si>
    <t>PL2 Count</t>
  </si>
  <si>
    <t>Winner</t>
  </si>
  <si>
    <t>Winner Chosen</t>
  </si>
  <si>
    <t>Restart Game</t>
  </si>
  <si>
    <t>No</t>
  </si>
  <si>
    <t>Loser</t>
  </si>
  <si>
    <t>Defended Attack</t>
  </si>
  <si>
    <t>12/1/15 Build Functional</t>
  </si>
  <si>
    <t>Game Time</t>
  </si>
  <si>
    <t>Game Reset Override</t>
  </si>
  <si>
    <t>Override</t>
  </si>
  <si>
    <t>Map Reference</t>
  </si>
  <si>
    <t>Color</t>
  </si>
  <si>
    <t>Reference Shown</t>
  </si>
  <si>
    <t>Moves</t>
  </si>
  <si>
    <t>PL1-351Tutor for Land</t>
  </si>
  <si>
    <t>another deck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</si>
</sst>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59" x14ac:knownFonts="1">
    <font>
      <sz val="11"/>
      <color theme="1"/>
      <name val="Calibri"/>
      <family val="2"/>
      <scheme val="minor"/>
    </font>
    <font>
      <sz val="11"/>
      <color rgb="FFFF0000"/>
      <name val="Calibri"/>
      <family val="2"/>
      <scheme val="minor"/>
    </font>
    <font>
      <sz val="11"/>
      <color rgb="FF00B050"/>
      <name val="Calibri"/>
      <family val="2"/>
      <scheme val="minor"/>
    </font>
    <font>
      <sz val="11"/>
      <color rgb="FF00B0F0"/>
      <name val="Calibri"/>
      <family val="2"/>
      <scheme val="minor"/>
    </font>
    <font>
      <sz val="11"/>
      <name val="Calibri"/>
      <family val="2"/>
      <scheme val="minor"/>
    </font>
    <font>
      <sz val="11"/>
      <color theme="0"/>
      <name val="Calibri"/>
      <family val="2"/>
      <scheme val="minor"/>
    </font>
    <font>
      <sz val="24"/>
      <color rgb="FFC00000"/>
      <name val="Calibri"/>
      <family val="2"/>
      <scheme val="minor"/>
    </font>
    <font>
      <b/>
      <sz val="14"/>
      <color rgb="FF00B0F0"/>
      <name val="Calibri"/>
      <family val="2"/>
      <scheme val="minor"/>
    </font>
    <font>
      <b/>
      <sz val="12"/>
      <name val="Calibri"/>
      <family val="2"/>
      <scheme val="minor"/>
    </font>
    <font>
      <sz val="24"/>
      <color theme="0"/>
      <name val="Calibri"/>
      <family val="2"/>
      <scheme val="minor"/>
    </font>
    <font>
      <b/>
      <sz val="16"/>
      <color theme="1"/>
      <name val="Calibri"/>
      <family val="2"/>
      <scheme val="minor"/>
    </font>
    <font>
      <b/>
      <sz val="11"/>
      <color theme="1"/>
      <name val="Calibri"/>
      <family val="2"/>
      <scheme val="minor"/>
    </font>
    <font>
      <sz val="12"/>
      <name val="Calibri"/>
      <family val="2"/>
      <scheme val="minor"/>
    </font>
    <font>
      <b/>
      <sz val="20"/>
      <color theme="0"/>
      <name val="Calibri"/>
      <family val="2"/>
      <scheme val="minor"/>
    </font>
    <font>
      <b/>
      <sz val="12"/>
      <color theme="0"/>
      <name val="Calibri"/>
      <family val="2"/>
      <scheme val="minor"/>
    </font>
    <font>
      <b/>
      <sz val="14"/>
      <color theme="1"/>
      <name val="Calibri"/>
      <family val="2"/>
      <scheme val="minor"/>
    </font>
    <font>
      <b/>
      <sz val="14"/>
      <color theme="0"/>
      <name val="Calibri"/>
      <family val="2"/>
      <scheme val="minor"/>
    </font>
    <font>
      <sz val="22"/>
      <name val="Calibri"/>
      <family val="2"/>
      <scheme val="minor"/>
    </font>
    <font>
      <sz val="22"/>
      <color theme="1"/>
      <name val="Calibri"/>
      <family val="2"/>
      <scheme val="minor"/>
    </font>
    <font>
      <sz val="14"/>
      <color theme="0"/>
      <name val="Calibri"/>
      <family val="2"/>
      <scheme val="minor"/>
    </font>
    <font>
      <sz val="14"/>
      <color rgb="FF00B0F0"/>
      <name val="Calibri"/>
      <family val="2"/>
      <scheme val="minor"/>
    </font>
    <font>
      <sz val="14"/>
      <color theme="0" tint="-0.499984740745262"/>
      <name val="Calibri"/>
      <family val="2"/>
      <scheme val="minor"/>
    </font>
    <font>
      <sz val="14"/>
      <color rgb="FFFF0000"/>
      <name val="Calibri"/>
      <family val="2"/>
      <scheme val="minor"/>
    </font>
    <font>
      <sz val="14"/>
      <color rgb="FF00B050"/>
      <name val="Calibri"/>
      <family val="2"/>
      <scheme val="minor"/>
    </font>
    <font>
      <sz val="14"/>
      <color rgb="FFFFC000"/>
      <name val="Calibri"/>
      <family val="2"/>
      <scheme val="minor"/>
    </font>
    <font>
      <sz val="14"/>
      <name val="Calibri"/>
      <family val="2"/>
      <scheme val="minor"/>
    </font>
    <font>
      <sz val="22"/>
      <color theme="0"/>
      <name val="Calibri"/>
      <family val="2"/>
      <scheme val="minor"/>
    </font>
    <font>
      <sz val="14"/>
      <color theme="1"/>
      <name val="Calibri"/>
      <family val="2"/>
      <scheme val="minor"/>
    </font>
    <font>
      <sz val="12"/>
      <color theme="0"/>
      <name val="Calibri"/>
      <family val="2"/>
      <scheme val="minor"/>
    </font>
    <font>
      <sz val="12"/>
      <color theme="1"/>
      <name val="Calibri"/>
      <family val="2"/>
      <scheme val="minor"/>
    </font>
    <font>
      <sz val="12"/>
      <color rgb="FFFF0000"/>
      <name val="Calibri"/>
      <family val="2"/>
      <scheme val="minor"/>
    </font>
    <font>
      <sz val="18"/>
      <color theme="1"/>
      <name val="Calibri"/>
      <family val="2"/>
      <scheme val="minor"/>
    </font>
    <font>
      <b/>
      <sz val="14"/>
      <name val="Calibri"/>
      <family val="2"/>
      <scheme val="minor"/>
    </font>
    <font>
      <b/>
      <sz val="11"/>
      <color theme="0"/>
      <name val="Calibri"/>
      <family val="2"/>
      <scheme val="minor"/>
    </font>
    <font>
      <b/>
      <sz val="22"/>
      <name val="Calibri"/>
      <family val="2"/>
      <scheme val="minor"/>
    </font>
    <font>
      <b/>
      <sz val="22"/>
      <color theme="1"/>
      <name val="Calibri"/>
      <family val="2"/>
      <scheme val="minor"/>
    </font>
    <font>
      <sz val="11"/>
      <color rgb="FFC00000"/>
      <name val="Calibri"/>
      <family val="2"/>
      <scheme val="minor"/>
    </font>
    <font>
      <sz val="11"/>
      <color rgb="FF0070C0"/>
      <name val="Calibri"/>
      <family val="2"/>
      <scheme val="minor"/>
    </font>
    <font>
      <b/>
      <sz val="36"/>
      <name val="Calibri"/>
      <family val="2"/>
      <scheme val="minor"/>
    </font>
    <font>
      <b/>
      <sz val="16"/>
      <color theme="0"/>
      <name val="Calibri"/>
      <family val="2"/>
      <scheme val="minor"/>
    </font>
    <font>
      <b/>
      <sz val="16"/>
      <color rgb="FF00B0F0"/>
      <name val="Calibri"/>
      <family val="2"/>
      <scheme val="minor"/>
    </font>
    <font>
      <b/>
      <sz val="11"/>
      <name val="Calibri"/>
      <family val="2"/>
      <scheme val="minor"/>
    </font>
    <font>
      <b/>
      <sz val="18"/>
      <color theme="0"/>
      <name val="Calibri"/>
      <family val="2"/>
      <scheme val="minor"/>
    </font>
    <font>
      <sz val="11"/>
      <color rgb="FFFFC000"/>
      <name val="Calibri"/>
      <family val="2"/>
      <scheme val="minor"/>
    </font>
    <font>
      <b/>
      <sz val="14"/>
      <color rgb="FFFFC000"/>
      <name val="Calibri"/>
      <family val="2"/>
      <scheme val="minor"/>
    </font>
    <font>
      <b/>
      <sz val="24"/>
      <color theme="0"/>
      <name val="Calibri"/>
      <family val="2"/>
      <scheme val="minor"/>
    </font>
    <font>
      <sz val="26"/>
      <name val="Calibri"/>
      <family val="2"/>
      <scheme val="minor"/>
    </font>
    <font>
      <b/>
      <sz val="10"/>
      <color theme="0"/>
      <name val="Calibri"/>
      <family val="2"/>
      <scheme val="minor"/>
    </font>
    <font>
      <sz val="10"/>
      <color theme="0"/>
      <name val="Calibri"/>
      <family val="2"/>
      <scheme val="minor"/>
    </font>
    <font>
      <b/>
      <sz val="28"/>
      <name val="Calibri"/>
      <family val="2"/>
      <scheme val="minor"/>
    </font>
    <font>
      <b/>
      <sz val="48"/>
      <name val="Calibri"/>
      <family val="2"/>
      <scheme val="minor"/>
    </font>
    <font>
      <sz val="20"/>
      <color theme="0"/>
      <name val="Calibri"/>
      <family val="2"/>
      <scheme val="minor"/>
    </font>
    <font>
      <sz val="18"/>
      <color theme="0"/>
      <name val="Calibri"/>
      <family val="2"/>
      <scheme val="minor"/>
    </font>
    <font>
      <b/>
      <sz val="24"/>
      <name val="Calibri"/>
      <family val="2"/>
      <scheme val="minor"/>
    </font>
    <font>
      <sz val="18"/>
      <name val="Calibri"/>
      <family val="2"/>
      <scheme val="minor"/>
    </font>
    <font>
      <b/>
      <sz val="48"/>
      <color theme="0"/>
      <name val="Calibri"/>
      <family val="2"/>
      <scheme val="minor"/>
    </font>
    <font>
      <b/>
      <sz val="18"/>
      <name val="Calibri"/>
      <family val="2"/>
      <scheme val="minor"/>
    </font>
    <font>
      <b/>
      <sz val="16"/>
      <name val="Calibri"/>
      <family val="2"/>
      <scheme val="minor"/>
    </font>
    <font>
      <b/>
      <sz val="10"/>
      <color theme="1"/>
      <name val="Calibri"/>
      <family val="2"/>
      <scheme val="minor"/>
    </font>
  </fonts>
  <fills count="26">
    <fill>
      <patternFill patternType="none"/>
    </fill>
    <fill>
      <patternFill patternType="gray125"/>
    </fill>
    <fill>
      <patternFill patternType="solid">
        <fgColor theme="1"/>
        <bgColor indexed="64"/>
      </patternFill>
    </fill>
    <fill>
      <patternFill patternType="solid">
        <fgColor theme="0" tint="-0.499984740745262"/>
        <bgColor indexed="64"/>
      </patternFill>
    </fill>
    <fill>
      <patternFill patternType="solid">
        <fgColor rgb="FFC00000"/>
        <bgColor indexed="64"/>
      </patternFill>
    </fill>
    <fill>
      <patternFill patternType="solid">
        <fgColor rgb="FFFFC000"/>
        <bgColor indexed="64"/>
      </patternFill>
    </fill>
    <fill>
      <patternFill patternType="solid">
        <fgColor rgb="FF0070C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theme="9" tint="-0.499984740745262"/>
        <bgColor indexed="64"/>
      </patternFill>
    </fill>
    <fill>
      <patternFill patternType="solid">
        <fgColor rgb="FF00B0F0"/>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9"/>
        <bgColor indexed="64"/>
      </patternFill>
    </fill>
    <fill>
      <patternFill patternType="solid">
        <fgColor theme="8" tint="0.59999389629810485"/>
        <bgColor indexed="64"/>
      </patternFill>
    </fill>
    <fill>
      <patternFill patternType="solid">
        <fgColor theme="9" tint="0.59999389629810485"/>
        <bgColor indexed="64"/>
      </patternFill>
    </fill>
  </fills>
  <borders count="1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s>
  <cellStyleXfs count="1">
    <xf numFmtId="0" fontId="0" fillId="0" borderId="0"/>
  </cellStyleXfs>
  <cellXfs count="274">
    <xf numFmtId="0" fontId="0" fillId="0" borderId="0" xfId="0"/>
    <xf numFmtId="0" fontId="0" fillId="2" borderId="0" xfId="0" applyFill="1"/>
    <xf numFmtId="0" fontId="0" fillId="0" borderId="0" xfId="0" applyFill="1"/>
    <xf numFmtId="0" fontId="1" fillId="0" borderId="0" xfId="0" applyFont="1" applyFill="1"/>
    <xf numFmtId="0" fontId="0" fillId="7" borderId="0" xfId="0" applyFill="1"/>
    <xf numFmtId="0" fontId="4" fillId="2" borderId="0" xfId="0" applyFont="1" applyFill="1"/>
    <xf numFmtId="0" fontId="5" fillId="2" borderId="0" xfId="0" applyFont="1" applyFill="1"/>
    <xf numFmtId="0" fontId="4" fillId="0" borderId="0" xfId="0" applyFont="1" applyFill="1"/>
    <xf numFmtId="0" fontId="5" fillId="2" borderId="0" xfId="0" applyFont="1" applyFill="1" applyAlignment="1">
      <alignment horizontal="left"/>
    </xf>
    <xf numFmtId="0" fontId="6" fillId="0" borderId="0" xfId="0" applyFont="1" applyFill="1" applyAlignment="1">
      <alignment vertical="center"/>
    </xf>
    <xf numFmtId="0" fontId="5" fillId="0" borderId="0" xfId="0" applyFont="1" applyFill="1"/>
    <xf numFmtId="0" fontId="5" fillId="2" borderId="0" xfId="0" applyFont="1" applyFill="1" applyAlignment="1">
      <alignment horizontal="right"/>
    </xf>
    <xf numFmtId="0" fontId="5" fillId="2" borderId="0" xfId="0" applyFont="1" applyFill="1" applyAlignment="1" applyProtection="1">
      <alignment horizontal="left"/>
    </xf>
    <xf numFmtId="0" fontId="5" fillId="2" borderId="0" xfId="0" applyFont="1" applyFill="1" applyAlignment="1"/>
    <xf numFmtId="0" fontId="0" fillId="0" borderId="0" xfId="0" applyNumberFormat="1" applyFill="1"/>
    <xf numFmtId="164" fontId="0" fillId="0" borderId="0" xfId="0" applyNumberFormat="1" applyFill="1"/>
    <xf numFmtId="0" fontId="4" fillId="2" borderId="0" xfId="0" applyFont="1" applyFill="1" applyAlignment="1">
      <alignment horizontal="center"/>
    </xf>
    <xf numFmtId="0" fontId="0" fillId="2" borderId="0" xfId="0" applyFill="1" applyAlignment="1" applyProtection="1">
      <alignment horizontal="center" vertical="center"/>
    </xf>
    <xf numFmtId="0" fontId="17" fillId="2" borderId="0" xfId="0" applyFont="1" applyFill="1" applyAlignment="1" applyProtection="1">
      <alignment horizontal="center" vertical="center"/>
    </xf>
    <xf numFmtId="0" fontId="18" fillId="2" borderId="0" xfId="0" applyFont="1" applyFill="1" applyAlignment="1" applyProtection="1">
      <alignment horizontal="center" vertical="center"/>
    </xf>
    <xf numFmtId="0" fontId="5" fillId="2" borderId="0" xfId="0" applyFont="1" applyFill="1" applyAlignment="1" applyProtection="1">
      <alignment horizontal="center" vertical="center"/>
    </xf>
    <xf numFmtId="0" fontId="19" fillId="2" borderId="0" xfId="0" applyFont="1" applyFill="1" applyAlignment="1" applyProtection="1">
      <alignment horizontal="center" vertical="center"/>
    </xf>
    <xf numFmtId="0" fontId="20" fillId="2" borderId="0" xfId="0" applyFont="1" applyFill="1" applyAlignment="1" applyProtection="1">
      <alignment horizontal="center" vertical="center"/>
    </xf>
    <xf numFmtId="0" fontId="21" fillId="2"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24" fillId="2" borderId="0" xfId="0" applyFont="1" applyFill="1" applyAlignment="1" applyProtection="1">
      <alignment horizontal="center" vertical="center"/>
    </xf>
    <xf numFmtId="0" fontId="26" fillId="2" borderId="0" xfId="0" applyFont="1" applyFill="1" applyAlignment="1" applyProtection="1">
      <alignment horizontal="center" vertical="center"/>
    </xf>
    <xf numFmtId="0" fontId="18" fillId="2" borderId="0" xfId="0" applyFont="1" applyFill="1" applyAlignment="1" applyProtection="1">
      <alignment horizontal="center" vertical="center" shrinkToFit="1"/>
    </xf>
    <xf numFmtId="0" fontId="26" fillId="2" borderId="0" xfId="0" applyFont="1" applyFill="1" applyAlignment="1" applyProtection="1">
      <alignment horizontal="left" vertical="center"/>
    </xf>
    <xf numFmtId="0" fontId="27" fillId="2" borderId="0" xfId="0" applyFont="1" applyFill="1" applyAlignment="1" applyProtection="1">
      <alignment horizontal="center" vertical="center"/>
    </xf>
    <xf numFmtId="0" fontId="26" fillId="2" borderId="0" xfId="0" applyFont="1" applyFill="1" applyAlignment="1" applyProtection="1">
      <alignment horizontal="center"/>
    </xf>
    <xf numFmtId="0" fontId="18" fillId="2" borderId="0" xfId="0" applyFont="1" applyFill="1" applyAlignment="1" applyProtection="1">
      <alignment horizontal="center"/>
    </xf>
    <xf numFmtId="0" fontId="5" fillId="2" borderId="0" xfId="0" applyFont="1" applyFill="1" applyAlignment="1" applyProtection="1">
      <alignment horizontal="center" vertical="top"/>
    </xf>
    <xf numFmtId="0" fontId="0" fillId="2" borderId="0" xfId="0" applyFill="1" applyAlignment="1" applyProtection="1">
      <alignment horizontal="center" vertical="top"/>
    </xf>
    <xf numFmtId="0" fontId="5" fillId="2" borderId="0" xfId="0" applyFont="1" applyFill="1" applyAlignment="1" applyProtection="1">
      <alignment horizontal="center"/>
    </xf>
    <xf numFmtId="0" fontId="5" fillId="2" borderId="0" xfId="0" applyFont="1" applyFill="1" applyAlignment="1" applyProtection="1">
      <alignment horizontal="right"/>
    </xf>
    <xf numFmtId="0" fontId="28" fillId="2" borderId="0" xfId="0" applyFont="1" applyFill="1" applyAlignment="1" applyProtection="1">
      <alignment horizontal="center"/>
    </xf>
    <xf numFmtId="0" fontId="28" fillId="2" borderId="0" xfId="0" applyFont="1" applyFill="1" applyAlignment="1" applyProtection="1">
      <alignment horizontal="center" vertical="center"/>
    </xf>
    <xf numFmtId="0" fontId="28" fillId="2" borderId="0" xfId="0" applyFont="1" applyFill="1" applyAlignment="1" applyProtection="1">
      <alignment horizontal="left" vertical="center"/>
    </xf>
    <xf numFmtId="0" fontId="29" fillId="2" borderId="0" xfId="0" applyFont="1" applyFill="1" applyAlignment="1" applyProtection="1">
      <alignment horizontal="left" vertical="center"/>
    </xf>
    <xf numFmtId="0" fontId="12" fillId="2" borderId="0" xfId="0" applyFont="1" applyFill="1" applyAlignment="1" applyProtection="1">
      <alignment horizontal="left" vertical="center"/>
    </xf>
    <xf numFmtId="0" fontId="30" fillId="2" borderId="0" xfId="0" applyFont="1" applyFill="1" applyAlignment="1" applyProtection="1">
      <alignment horizontal="left" vertical="center"/>
    </xf>
    <xf numFmtId="0" fontId="10" fillId="2" borderId="0" xfId="0" applyFont="1" applyFill="1" applyAlignment="1" applyProtection="1">
      <alignment horizontal="center" vertical="center"/>
    </xf>
    <xf numFmtId="0" fontId="12" fillId="2" borderId="0" xfId="0" applyFont="1" applyFill="1" applyAlignment="1" applyProtection="1">
      <alignment horizontal="center" vertical="center"/>
    </xf>
    <xf numFmtId="0" fontId="0" fillId="2" borderId="0" xfId="0" applyFill="1" applyBorder="1" applyAlignment="1" applyProtection="1">
      <alignment horizontal="center" vertical="center"/>
    </xf>
    <xf numFmtId="0" fontId="0" fillId="2" borderId="7" xfId="0" applyFill="1" applyBorder="1" applyAlignment="1" applyProtection="1">
      <alignment horizontal="center" vertical="center"/>
    </xf>
    <xf numFmtId="0" fontId="0" fillId="2" borderId="8" xfId="0" applyFill="1" applyBorder="1" applyAlignment="1" applyProtection="1">
      <alignment horizontal="center" vertical="center"/>
    </xf>
    <xf numFmtId="0" fontId="0" fillId="2" borderId="4" xfId="0" applyFill="1" applyBorder="1" applyAlignment="1" applyProtection="1">
      <alignment horizontal="center" vertical="center"/>
    </xf>
    <xf numFmtId="0" fontId="0" fillId="2" borderId="6" xfId="0" applyFill="1" applyBorder="1" applyAlignment="1" applyProtection="1">
      <alignment horizontal="center" vertical="center"/>
    </xf>
    <xf numFmtId="0" fontId="26" fillId="2" borderId="0" xfId="0" applyFont="1" applyFill="1" applyAlignment="1" applyProtection="1">
      <alignment horizontal="center" vertical="center" shrinkToFit="1"/>
    </xf>
    <xf numFmtId="0" fontId="0" fillId="2" borderId="0" xfId="0" applyFill="1" applyBorder="1"/>
    <xf numFmtId="0" fontId="5" fillId="2" borderId="0" xfId="0" applyFont="1" applyFill="1" applyAlignment="1" applyProtection="1">
      <alignment horizontal="left" vertical="center"/>
    </xf>
    <xf numFmtId="0" fontId="0" fillId="0" borderId="0" xfId="0" applyFill="1" applyBorder="1"/>
    <xf numFmtId="0" fontId="10" fillId="2" borderId="0" xfId="0" applyFont="1" applyFill="1" applyBorder="1" applyAlignment="1">
      <alignment vertical="center"/>
    </xf>
    <xf numFmtId="0" fontId="10" fillId="4" borderId="0" xfId="0" applyFont="1" applyFill="1" applyBorder="1" applyAlignment="1">
      <alignment vertical="center"/>
    </xf>
    <xf numFmtId="0" fontId="10" fillId="6" borderId="0" xfId="0" applyFont="1" applyFill="1" applyBorder="1" applyAlignment="1">
      <alignment vertical="center"/>
    </xf>
    <xf numFmtId="0" fontId="4" fillId="0" borderId="0" xfId="0" applyFont="1" applyFill="1" applyBorder="1"/>
    <xf numFmtId="0" fontId="34" fillId="12" borderId="0" xfId="0" applyFont="1" applyFill="1" applyAlignment="1" applyProtection="1">
      <alignment horizontal="center" vertical="center" shrinkToFit="1"/>
    </xf>
    <xf numFmtId="0" fontId="35" fillId="2" borderId="0" xfId="0" applyFont="1" applyFill="1" applyAlignment="1" applyProtection="1">
      <alignment horizontal="center" vertical="center" shrinkToFit="1"/>
    </xf>
    <xf numFmtId="0" fontId="34" fillId="14" borderId="0" xfId="0" applyFont="1" applyFill="1" applyAlignment="1" applyProtection="1">
      <alignment horizontal="center" vertical="center" shrinkToFit="1"/>
    </xf>
    <xf numFmtId="0" fontId="34" fillId="3" borderId="0" xfId="0" applyFont="1" applyFill="1" applyAlignment="1" applyProtection="1">
      <alignment horizontal="center" vertical="center" shrinkToFit="1"/>
    </xf>
    <xf numFmtId="0" fontId="34" fillId="10" borderId="0" xfId="0" applyFont="1" applyFill="1" applyAlignment="1" applyProtection="1">
      <alignment horizontal="center" vertical="center" shrinkToFit="1"/>
    </xf>
    <xf numFmtId="0" fontId="34" fillId="15" borderId="0" xfId="0" applyFont="1" applyFill="1" applyAlignment="1" applyProtection="1">
      <alignment horizontal="center" vertical="center" shrinkToFit="1"/>
    </xf>
    <xf numFmtId="0" fontId="34" fillId="5" borderId="0" xfId="0" applyFont="1" applyFill="1" applyAlignment="1" applyProtection="1">
      <alignment horizontal="center" vertical="center" shrinkToFit="1"/>
    </xf>
    <xf numFmtId="0" fontId="11" fillId="2" borderId="0" xfId="0" applyFont="1" applyFill="1" applyBorder="1" applyAlignment="1">
      <alignment horizontal="center" vertical="center"/>
    </xf>
    <xf numFmtId="0" fontId="11" fillId="2" borderId="0" xfId="0" applyFont="1" applyFill="1" applyBorder="1"/>
    <xf numFmtId="0" fontId="14" fillId="0" borderId="0" xfId="0" applyFont="1" applyFill="1" applyBorder="1" applyAlignment="1">
      <alignment vertical="center"/>
    </xf>
    <xf numFmtId="0" fontId="15" fillId="0" borderId="0" xfId="0" applyFont="1" applyFill="1" applyBorder="1" applyAlignment="1">
      <alignment horizontal="center" vertical="center"/>
    </xf>
    <xf numFmtId="0" fontId="16" fillId="0" borderId="0" xfId="0" applyFont="1" applyFill="1" applyBorder="1" applyAlignment="1">
      <alignment vertical="center"/>
    </xf>
    <xf numFmtId="0" fontId="1" fillId="2" borderId="0" xfId="0" applyFont="1" applyFill="1"/>
    <xf numFmtId="0" fontId="10" fillId="2" borderId="0" xfId="0" applyFont="1" applyFill="1" applyAlignment="1">
      <alignment shrinkToFit="1"/>
    </xf>
    <xf numFmtId="0" fontId="39" fillId="2" borderId="0" xfId="0" applyFont="1" applyFill="1" applyAlignment="1">
      <alignment shrinkToFit="1"/>
    </xf>
    <xf numFmtId="0" fontId="39" fillId="2" borderId="0" xfId="0" applyFont="1" applyFill="1" applyAlignment="1">
      <alignment horizontal="right" shrinkToFit="1"/>
    </xf>
    <xf numFmtId="0" fontId="39" fillId="2" borderId="0" xfId="0" applyFont="1" applyFill="1" applyAlignment="1">
      <alignment horizontal="left" shrinkToFit="1"/>
    </xf>
    <xf numFmtId="0" fontId="25" fillId="2" borderId="0" xfId="0" applyFont="1" applyFill="1" applyAlignment="1">
      <alignment vertical="center"/>
    </xf>
    <xf numFmtId="0" fontId="11" fillId="2" borderId="0" xfId="0" applyFont="1" applyFill="1" applyAlignment="1">
      <alignment vertical="center"/>
    </xf>
    <xf numFmtId="0" fontId="33" fillId="2" borderId="0" xfId="0" applyFont="1" applyFill="1" applyAlignment="1">
      <alignment vertical="center"/>
    </xf>
    <xf numFmtId="0" fontId="41" fillId="0" borderId="0" xfId="0" applyFont="1" applyFill="1" applyAlignment="1">
      <alignment vertical="center"/>
    </xf>
    <xf numFmtId="0" fontId="11" fillId="0" borderId="0" xfId="0" applyFont="1" applyFill="1" applyAlignment="1">
      <alignment vertical="center"/>
    </xf>
    <xf numFmtId="0" fontId="0" fillId="11" borderId="0" xfId="0" applyFill="1"/>
    <xf numFmtId="0" fontId="39" fillId="2" borderId="0" xfId="0" applyFont="1" applyFill="1" applyAlignment="1">
      <alignment horizontal="left"/>
    </xf>
    <xf numFmtId="0" fontId="10" fillId="2" borderId="0" xfId="0" applyFont="1" applyFill="1" applyAlignment="1"/>
    <xf numFmtId="0" fontId="0" fillId="2" borderId="0" xfId="0" applyFill="1" applyAlignment="1"/>
    <xf numFmtId="0" fontId="4" fillId="0" borderId="0" xfId="0" applyFont="1" applyFill="1" applyBorder="1" applyAlignment="1">
      <alignment horizontal="center"/>
    </xf>
    <xf numFmtId="0" fontId="0" fillId="0" borderId="0" xfId="0" applyFill="1" applyBorder="1" applyAlignment="1">
      <alignment horizontal="center"/>
    </xf>
    <xf numFmtId="0" fontId="0" fillId="2" borderId="0" xfId="0" applyFill="1" applyBorder="1" applyAlignment="1">
      <alignment horizontal="center"/>
    </xf>
    <xf numFmtId="0" fontId="0" fillId="2" borderId="0" xfId="0" applyFont="1" applyFill="1"/>
    <xf numFmtId="0" fontId="44" fillId="2" borderId="0" xfId="0" applyFont="1" applyFill="1"/>
    <xf numFmtId="0" fontId="37" fillId="0" borderId="0" xfId="0" applyFont="1" applyFill="1" applyBorder="1" applyAlignment="1">
      <alignment horizontal="center" vertical="center"/>
    </xf>
    <xf numFmtId="0" fontId="1" fillId="0" borderId="0" xfId="0" applyFont="1" applyFill="1" applyAlignment="1">
      <alignment horizontal="left"/>
    </xf>
    <xf numFmtId="0" fontId="1" fillId="2" borderId="0" xfId="0" applyFont="1" applyFill="1" applyAlignment="1">
      <alignment horizontal="left"/>
    </xf>
    <xf numFmtId="0" fontId="0" fillId="0" borderId="0" xfId="0" applyFill="1" applyAlignment="1">
      <alignment horizontal="center"/>
    </xf>
    <xf numFmtId="0" fontId="4" fillId="0" borderId="0" xfId="0" applyFont="1" applyFill="1" applyAlignment="1">
      <alignment horizontal="center"/>
    </xf>
    <xf numFmtId="0" fontId="0" fillId="2" borderId="0" xfId="0" applyFill="1" applyAlignment="1">
      <alignment horizontal="center"/>
    </xf>
    <xf numFmtId="0" fontId="0" fillId="0" borderId="0" xfId="0" applyFill="1" applyAlignment="1">
      <alignment horizontal="center"/>
    </xf>
    <xf numFmtId="0" fontId="0" fillId="2" borderId="0" xfId="0" applyFill="1" applyAlignment="1">
      <alignment horizontal="center"/>
    </xf>
    <xf numFmtId="0" fontId="0" fillId="0" borderId="0" xfId="0" applyFill="1" applyAlignment="1">
      <alignment horizontal="center"/>
    </xf>
    <xf numFmtId="0" fontId="36" fillId="0" borderId="9" xfId="0" applyFont="1" applyFill="1" applyBorder="1" applyAlignment="1">
      <alignment horizontal="center"/>
    </xf>
    <xf numFmtId="0" fontId="36" fillId="0" borderId="9" xfId="0" applyFont="1" applyFill="1" applyBorder="1" applyAlignment="1" applyProtection="1">
      <alignment horizontal="center"/>
      <protection locked="0"/>
    </xf>
    <xf numFmtId="0" fontId="1" fillId="9" borderId="0" xfId="0" applyFont="1" applyFill="1"/>
    <xf numFmtId="2" fontId="1" fillId="0" borderId="0" xfId="0" applyNumberFormat="1" applyFont="1" applyFill="1"/>
    <xf numFmtId="2" fontId="1" fillId="2" borderId="0" xfId="0" applyNumberFormat="1" applyFont="1" applyFill="1"/>
    <xf numFmtId="2" fontId="4" fillId="0" borderId="0" xfId="0" applyNumberFormat="1" applyFont="1" applyFill="1"/>
    <xf numFmtId="2" fontId="4" fillId="2" borderId="0" xfId="0" applyNumberFormat="1" applyFont="1" applyFill="1"/>
    <xf numFmtId="0" fontId="32" fillId="0" borderId="0" xfId="0" applyFont="1" applyFill="1" applyBorder="1" applyAlignment="1">
      <alignment horizontal="center" vertical="center"/>
    </xf>
    <xf numFmtId="0" fontId="16" fillId="0" borderId="0" xfId="0" applyFont="1" applyFill="1" applyBorder="1" applyAlignment="1">
      <alignment horizontal="center" vertical="center"/>
    </xf>
    <xf numFmtId="0" fontId="0" fillId="2" borderId="0" xfId="0" applyFill="1" applyBorder="1" applyAlignment="1">
      <alignment horizontal="center" vertical="center"/>
    </xf>
    <xf numFmtId="0" fontId="4" fillId="16" borderId="0" xfId="0" applyFont="1" applyFill="1"/>
    <xf numFmtId="0" fontId="4" fillId="5" borderId="0" xfId="0" applyFont="1" applyFill="1"/>
    <xf numFmtId="0" fontId="16" fillId="0" borderId="0" xfId="0" applyFont="1" applyFill="1" applyBorder="1" applyAlignment="1">
      <alignment vertical="top" wrapText="1"/>
    </xf>
    <xf numFmtId="0" fontId="3" fillId="0" borderId="9" xfId="0" applyFont="1" applyFill="1" applyBorder="1" applyAlignment="1">
      <alignment horizontal="center"/>
    </xf>
    <xf numFmtId="0" fontId="3" fillId="0" borderId="9" xfId="0" applyFont="1" applyFill="1" applyBorder="1" applyAlignment="1" applyProtection="1">
      <alignment horizontal="center"/>
      <protection locked="0"/>
    </xf>
    <xf numFmtId="0" fontId="5" fillId="2" borderId="0" xfId="0" applyFont="1" applyFill="1" applyBorder="1"/>
    <xf numFmtId="0" fontId="5" fillId="2" borderId="0" xfId="0" applyFont="1" applyFill="1" applyBorder="1" applyAlignment="1">
      <alignment horizontal="center"/>
    </xf>
    <xf numFmtId="0" fontId="5" fillId="2" borderId="0" xfId="0" applyFont="1" applyFill="1" applyBorder="1" applyAlignment="1"/>
    <xf numFmtId="0" fontId="5" fillId="2" borderId="0" xfId="0" applyFont="1" applyFill="1" applyBorder="1" applyAlignment="1">
      <alignment horizontal="right"/>
    </xf>
    <xf numFmtId="0" fontId="4" fillId="17" borderId="0" xfId="0" applyFont="1" applyFill="1"/>
    <xf numFmtId="0" fontId="15" fillId="2" borderId="0" xfId="0" applyFont="1" applyFill="1" applyBorder="1"/>
    <xf numFmtId="0" fontId="42" fillId="0" borderId="0" xfId="0" applyFont="1" applyFill="1" applyBorder="1" applyAlignment="1">
      <alignment vertical="top" wrapText="1"/>
    </xf>
    <xf numFmtId="0" fontId="41" fillId="2" borderId="0" xfId="0" applyFont="1" applyFill="1" applyAlignment="1">
      <alignment vertical="center"/>
    </xf>
    <xf numFmtId="0" fontId="41" fillId="0" borderId="0" xfId="0" applyFont="1" applyFill="1" applyAlignment="1">
      <alignment vertical="center" shrinkToFit="1"/>
    </xf>
    <xf numFmtId="0" fontId="38" fillId="0" borderId="0" xfId="0" applyFont="1" applyFill="1" applyAlignment="1">
      <alignment vertical="center" shrinkToFit="1"/>
    </xf>
    <xf numFmtId="0" fontId="38" fillId="2" borderId="0" xfId="0" applyFont="1" applyFill="1" applyAlignment="1">
      <alignment vertical="center" shrinkToFit="1"/>
    </xf>
    <xf numFmtId="0" fontId="0" fillId="5" borderId="0" xfId="0" applyFill="1"/>
    <xf numFmtId="0" fontId="0" fillId="4" borderId="0" xfId="0" applyFill="1"/>
    <xf numFmtId="0" fontId="0" fillId="6" borderId="0" xfId="0" applyFill="1"/>
    <xf numFmtId="0" fontId="0" fillId="8" borderId="0" xfId="0" applyFill="1"/>
    <xf numFmtId="0" fontId="0" fillId="15" borderId="0" xfId="0" applyFill="1"/>
    <xf numFmtId="0" fontId="9" fillId="0" borderId="0" xfId="0" applyFont="1" applyFill="1" applyAlignment="1">
      <alignment vertical="center"/>
    </xf>
    <xf numFmtId="0" fontId="0" fillId="2" borderId="0" xfId="0" applyNumberFormat="1" applyFill="1"/>
    <xf numFmtId="0" fontId="4" fillId="2" borderId="0" xfId="0" applyNumberFormat="1" applyFont="1" applyFill="1"/>
    <xf numFmtId="0" fontId="5" fillId="2" borderId="0" xfId="0" applyNumberFormat="1" applyFont="1" applyFill="1"/>
    <xf numFmtId="164" fontId="0" fillId="2" borderId="0" xfId="0" applyNumberFormat="1" applyFill="1"/>
    <xf numFmtId="0" fontId="4" fillId="0" borderId="0" xfId="0" applyNumberFormat="1" applyFont="1" applyFill="1"/>
    <xf numFmtId="0" fontId="0" fillId="2" borderId="0" xfId="0" applyFill="1" applyAlignment="1">
      <alignment horizontal="center"/>
    </xf>
    <xf numFmtId="0" fontId="0" fillId="0" borderId="0" xfId="0" applyFill="1" applyAlignment="1">
      <alignment horizontal="center"/>
    </xf>
    <xf numFmtId="0" fontId="50" fillId="0" borderId="0" xfId="0" applyFont="1" applyFill="1" applyAlignment="1">
      <alignment vertical="center"/>
    </xf>
    <xf numFmtId="0" fontId="4" fillId="7" borderId="0" xfId="0" applyFont="1" applyFill="1"/>
    <xf numFmtId="0" fontId="4" fillId="22" borderId="0" xfId="0" applyFont="1" applyFill="1"/>
    <xf numFmtId="0" fontId="4" fillId="19" borderId="0" xfId="0" applyFont="1" applyFill="1"/>
    <xf numFmtId="0" fontId="4" fillId="18" borderId="0" xfId="0" applyFont="1" applyFill="1"/>
    <xf numFmtId="22" fontId="4" fillId="5" borderId="0" xfId="0" applyNumberFormat="1" applyFont="1" applyFill="1"/>
    <xf numFmtId="2" fontId="4" fillId="5" borderId="0" xfId="0" applyNumberFormat="1" applyFont="1" applyFill="1"/>
    <xf numFmtId="0" fontId="0" fillId="22" borderId="0" xfId="0" applyFill="1"/>
    <xf numFmtId="2" fontId="4" fillId="22" borderId="0" xfId="0" applyNumberFormat="1" applyFont="1" applyFill="1"/>
    <xf numFmtId="0" fontId="4" fillId="22" borderId="0" xfId="0" applyFont="1" applyFill="1" applyAlignment="1">
      <alignment horizontal="left"/>
    </xf>
    <xf numFmtId="2" fontId="0" fillId="5" borderId="0" xfId="0" applyNumberFormat="1" applyFill="1"/>
    <xf numFmtId="0" fontId="19" fillId="2" borderId="0" xfId="0" applyFont="1" applyFill="1" applyAlignment="1" applyProtection="1">
      <alignment horizontal="left" vertical="center"/>
    </xf>
    <xf numFmtId="0" fontId="26" fillId="2" borderId="0" xfId="0" applyFont="1" applyFill="1" applyAlignment="1" applyProtection="1">
      <alignment horizontal="left"/>
    </xf>
    <xf numFmtId="0" fontId="5" fillId="2" borderId="0" xfId="0" applyFont="1" applyFill="1" applyAlignment="1" applyProtection="1">
      <alignment horizontal="left" vertical="top"/>
    </xf>
    <xf numFmtId="0" fontId="26" fillId="2" borderId="0" xfId="0" applyFont="1" applyFill="1" applyAlignment="1" applyProtection="1">
      <alignment horizontal="left" vertical="center" shrinkToFit="1"/>
    </xf>
    <xf numFmtId="0" fontId="28" fillId="2" borderId="0" xfId="0" applyFont="1" applyFill="1" applyAlignment="1" applyProtection="1">
      <alignment horizontal="left"/>
    </xf>
    <xf numFmtId="0" fontId="48" fillId="2" borderId="0" xfId="0" applyFont="1" applyFill="1" applyAlignment="1" applyProtection="1">
      <alignment horizontal="left" vertical="center"/>
    </xf>
    <xf numFmtId="0" fontId="48" fillId="2" borderId="0" xfId="0" applyFont="1" applyFill="1" applyAlignment="1" applyProtection="1">
      <alignment horizontal="left" vertical="center" shrinkToFit="1"/>
    </xf>
    <xf numFmtId="0" fontId="48" fillId="2" borderId="0" xfId="0" applyFont="1" applyFill="1" applyAlignment="1" applyProtection="1">
      <alignment horizontal="left"/>
    </xf>
    <xf numFmtId="0" fontId="48" fillId="2" borderId="0" xfId="0" applyFont="1" applyFill="1" applyAlignment="1" applyProtection="1">
      <alignment horizontal="left" vertical="top"/>
    </xf>
    <xf numFmtId="0" fontId="34" fillId="2" borderId="0" xfId="0" applyFont="1" applyFill="1" applyAlignment="1" applyProtection="1">
      <alignment horizontal="center" vertical="center" shrinkToFit="1"/>
    </xf>
    <xf numFmtId="0" fontId="4" fillId="22" borderId="0" xfId="0" applyNumberFormat="1" applyFont="1" applyFill="1"/>
    <xf numFmtId="0" fontId="0" fillId="22" borderId="0" xfId="0" applyNumberFormat="1" applyFill="1"/>
    <xf numFmtId="164" fontId="0" fillId="22" borderId="0" xfId="0" applyNumberFormat="1" applyFill="1"/>
    <xf numFmtId="2" fontId="1" fillId="9" borderId="0" xfId="0" applyNumberFormat="1" applyFont="1" applyFill="1" applyProtection="1">
      <protection locked="0"/>
    </xf>
    <xf numFmtId="0" fontId="1" fillId="9" borderId="0" xfId="0" applyFont="1" applyFill="1" applyProtection="1">
      <protection locked="0"/>
    </xf>
    <xf numFmtId="0" fontId="0" fillId="0" borderId="0" xfId="0" applyFill="1" applyProtection="1">
      <protection locked="0"/>
    </xf>
    <xf numFmtId="0" fontId="0" fillId="0" borderId="0" xfId="0" applyProtection="1">
      <protection locked="0"/>
    </xf>
    <xf numFmtId="0" fontId="4" fillId="0" borderId="0" xfId="0" applyNumberFormat="1" applyFont="1" applyFill="1" applyProtection="1">
      <protection locked="0"/>
    </xf>
    <xf numFmtId="0" fontId="0" fillId="0" borderId="0" xfId="0" applyNumberFormat="1" applyFill="1" applyProtection="1">
      <protection locked="0"/>
    </xf>
    <xf numFmtId="164" fontId="0" fillId="0" borderId="0" xfId="0" applyNumberFormat="1" applyFill="1" applyProtection="1">
      <protection locked="0"/>
    </xf>
    <xf numFmtId="0" fontId="1" fillId="21" borderId="0" xfId="0" applyFont="1" applyFill="1" applyProtection="1">
      <protection locked="0"/>
    </xf>
    <xf numFmtId="0" fontId="2" fillId="21" borderId="0" xfId="0" applyFont="1" applyFill="1" applyProtection="1">
      <protection locked="0"/>
    </xf>
    <xf numFmtId="164" fontId="2" fillId="21" borderId="0" xfId="0" applyNumberFormat="1" applyFont="1" applyFill="1" applyProtection="1">
      <protection locked="0"/>
    </xf>
    <xf numFmtId="0" fontId="2" fillId="9" borderId="0" xfId="0" applyFont="1" applyFill="1" applyProtection="1">
      <protection locked="0"/>
    </xf>
    <xf numFmtId="164" fontId="2" fillId="9" borderId="0" xfId="0" applyNumberFormat="1" applyFont="1" applyFill="1" applyProtection="1">
      <protection locked="0"/>
    </xf>
    <xf numFmtId="164" fontId="1" fillId="21" borderId="0" xfId="0" applyNumberFormat="1" applyFont="1" applyFill="1" applyProtection="1">
      <protection locked="0"/>
    </xf>
    <xf numFmtId="0" fontId="0" fillId="16" borderId="0" xfId="0" applyFill="1"/>
    <xf numFmtId="0" fontId="0" fillId="12" borderId="0" xfId="0" applyFill="1"/>
    <xf numFmtId="0" fontId="0" fillId="17" borderId="0" xfId="0" applyNumberFormat="1" applyFill="1"/>
    <xf numFmtId="0" fontId="8" fillId="0" borderId="0" xfId="0" applyFont="1" applyFill="1" applyBorder="1" applyAlignment="1">
      <alignment vertical="top" wrapText="1"/>
    </xf>
    <xf numFmtId="0" fontId="5" fillId="2" borderId="0" xfId="0" applyFont="1" applyFill="1" applyAlignment="1">
      <alignment shrinkToFit="1"/>
    </xf>
    <xf numFmtId="0" fontId="54" fillId="2" borderId="0" xfId="0" applyFont="1" applyFill="1" applyAlignment="1">
      <alignment vertical="center"/>
    </xf>
    <xf numFmtId="0" fontId="52" fillId="2" borderId="0" xfId="0" applyFont="1" applyFill="1"/>
    <xf numFmtId="0" fontId="42" fillId="0" borderId="0" xfId="0" applyFont="1" applyFill="1" applyBorder="1" applyAlignment="1">
      <alignment horizontal="center" vertical="center"/>
    </xf>
    <xf numFmtId="0" fontId="0" fillId="23" borderId="0" xfId="0" applyFill="1"/>
    <xf numFmtId="0" fontId="0" fillId="18" borderId="0" xfId="0" applyFill="1"/>
    <xf numFmtId="0" fontId="36" fillId="2" borderId="0" xfId="0" applyFont="1" applyFill="1" applyBorder="1" applyAlignment="1">
      <alignment vertical="center"/>
    </xf>
    <xf numFmtId="0" fontId="37" fillId="2" borderId="0" xfId="0" applyFont="1" applyFill="1" applyBorder="1" applyAlignment="1">
      <alignment vertical="center"/>
    </xf>
    <xf numFmtId="0" fontId="0" fillId="5" borderId="0" xfId="0" applyFill="1" applyBorder="1"/>
    <xf numFmtId="0" fontId="16" fillId="0" borderId="0" xfId="0" applyFont="1" applyFill="1" applyBorder="1" applyAlignment="1">
      <alignment vertical="center" wrapText="1"/>
    </xf>
    <xf numFmtId="0" fontId="32" fillId="0" borderId="0" xfId="0" applyFont="1" applyFill="1" applyBorder="1" applyAlignment="1">
      <alignment vertical="center" wrapText="1"/>
    </xf>
    <xf numFmtId="0" fontId="0" fillId="0" borderId="10" xfId="0" applyBorder="1"/>
    <xf numFmtId="0" fontId="0" fillId="25" borderId="0" xfId="0" applyFill="1"/>
    <xf numFmtId="0" fontId="0" fillId="22" borderId="0" xfId="0" applyFill="1" applyBorder="1"/>
    <xf numFmtId="0" fontId="0" fillId="0" borderId="0" xfId="0" applyBorder="1"/>
    <xf numFmtId="0" fontId="0" fillId="23" borderId="0" xfId="0" applyFill="1" applyBorder="1"/>
    <xf numFmtId="0" fontId="0" fillId="19" borderId="0" xfId="0" applyFill="1"/>
    <xf numFmtId="0" fontId="14" fillId="0" borderId="0" xfId="0" applyFont="1" applyFill="1" applyBorder="1" applyAlignment="1">
      <alignment vertical="top" wrapText="1"/>
    </xf>
    <xf numFmtId="0" fontId="0" fillId="18" borderId="0" xfId="0" applyFill="1" applyProtection="1">
      <protection locked="0"/>
    </xf>
    <xf numFmtId="0" fontId="0" fillId="24" borderId="0" xfId="0" applyFill="1" applyProtection="1">
      <protection locked="0"/>
    </xf>
    <xf numFmtId="0" fontId="0" fillId="18" borderId="0" xfId="0" applyFill="1" applyBorder="1" applyProtection="1">
      <protection locked="0"/>
    </xf>
    <xf numFmtId="0" fontId="0" fillId="24" borderId="0" xfId="0" applyFill="1" applyBorder="1" applyProtection="1">
      <protection locked="0"/>
    </xf>
    <xf numFmtId="0" fontId="1" fillId="7" borderId="0" xfId="0" applyFont="1" applyFill="1" applyProtection="1">
      <protection locked="0"/>
    </xf>
    <xf numFmtId="0" fontId="16" fillId="0" borderId="0" xfId="0" applyFont="1" applyFill="1" applyBorder="1" applyAlignment="1">
      <alignment horizontal="center" vertical="center"/>
    </xf>
    <xf numFmtId="0" fontId="5" fillId="5" borderId="0" xfId="0" applyFont="1" applyFill="1"/>
    <xf numFmtId="0" fontId="55" fillId="0" borderId="0" xfId="0" applyFont="1" applyFill="1" applyAlignment="1">
      <alignment vertical="top"/>
    </xf>
    <xf numFmtId="0" fontId="5" fillId="5" borderId="11" xfId="0" applyFont="1" applyFill="1" applyBorder="1"/>
    <xf numFmtId="0" fontId="5" fillId="5" borderId="12" xfId="0" applyFont="1" applyFill="1" applyBorder="1"/>
    <xf numFmtId="0" fontId="5" fillId="5" borderId="13" xfId="0" applyFont="1" applyFill="1" applyBorder="1"/>
    <xf numFmtId="0" fontId="55" fillId="5" borderId="0" xfId="0" applyFont="1" applyFill="1" applyAlignment="1">
      <alignment vertical="top"/>
    </xf>
    <xf numFmtId="0" fontId="50" fillId="5" borderId="0" xfId="0" applyFont="1" applyFill="1" applyAlignment="1">
      <alignment vertical="top"/>
    </xf>
    <xf numFmtId="0" fontId="50" fillId="5" borderId="12" xfId="0" applyFont="1" applyFill="1" applyBorder="1" applyAlignment="1">
      <alignment vertical="top"/>
    </xf>
    <xf numFmtId="0" fontId="5" fillId="0" borderId="0" xfId="0" applyFont="1" applyFill="1" applyBorder="1"/>
    <xf numFmtId="0" fontId="55" fillId="0" borderId="0" xfId="0" applyFont="1" applyFill="1" applyBorder="1" applyAlignment="1">
      <alignment vertical="top"/>
    </xf>
    <xf numFmtId="0" fontId="4" fillId="20" borderId="0" xfId="0" applyFont="1" applyFill="1" applyProtection="1">
      <protection locked="0"/>
    </xf>
    <xf numFmtId="0" fontId="53" fillId="5" borderId="0" xfId="0" applyFont="1" applyFill="1" applyAlignment="1">
      <alignment vertical="center"/>
    </xf>
    <xf numFmtId="0" fontId="53" fillId="0" borderId="0" xfId="0" applyFont="1" applyFill="1" applyAlignment="1">
      <alignment vertical="center"/>
    </xf>
    <xf numFmtId="0" fontId="42" fillId="0" borderId="0" xfId="0" applyFont="1" applyFill="1" applyAlignment="1">
      <alignment vertical="center" shrinkToFit="1"/>
    </xf>
    <xf numFmtId="0" fontId="42" fillId="5" borderId="0" xfId="0" applyFont="1" applyFill="1" applyAlignment="1">
      <alignment vertical="center" shrinkToFit="1"/>
    </xf>
    <xf numFmtId="0" fontId="56" fillId="0" borderId="0" xfId="0" applyFont="1" applyFill="1" applyAlignment="1">
      <alignment vertical="center" shrinkToFit="1"/>
    </xf>
    <xf numFmtId="0" fontId="56" fillId="5" borderId="0" xfId="0" applyFont="1" applyFill="1" applyAlignment="1">
      <alignment vertical="center" shrinkToFit="1"/>
    </xf>
    <xf numFmtId="0" fontId="1" fillId="9" borderId="0" xfId="0" applyFont="1" applyFill="1" applyAlignment="1" applyProtection="1">
      <alignment horizontal="left"/>
      <protection locked="0"/>
    </xf>
    <xf numFmtId="2" fontId="1" fillId="9" borderId="0" xfId="0" applyNumberFormat="1" applyFont="1" applyFill="1" applyAlignment="1" applyProtection="1">
      <alignment horizontal="right"/>
      <protection locked="0"/>
    </xf>
    <xf numFmtId="0" fontId="56" fillId="0" borderId="0" xfId="0" applyFont="1" applyFill="1" applyBorder="1" applyAlignment="1">
      <alignment vertical="center" shrinkToFit="1"/>
    </xf>
    <xf numFmtId="0" fontId="42" fillId="5" borderId="0" xfId="0" applyFont="1" applyFill="1" applyBorder="1" applyAlignment="1">
      <alignment vertical="center" shrinkToFit="1"/>
    </xf>
    <xf numFmtId="0" fontId="53" fillId="0" borderId="0" xfId="0" applyFont="1" applyFill="1" applyBorder="1" applyAlignment="1">
      <alignment vertical="center"/>
    </xf>
    <xf numFmtId="0" fontId="55" fillId="5" borderId="13" xfId="0" applyFont="1" applyFill="1" applyBorder="1" applyAlignment="1">
      <alignment vertical="top"/>
    </xf>
    <xf numFmtId="0" fontId="42" fillId="0" borderId="0" xfId="0" applyFont="1" applyFill="1" applyBorder="1" applyAlignment="1">
      <alignment vertical="center" shrinkToFit="1"/>
    </xf>
    <xf numFmtId="0" fontId="52" fillId="0" borderId="0" xfId="0" applyFont="1" applyFill="1" applyAlignment="1">
      <alignment horizontal="center"/>
    </xf>
    <xf numFmtId="0" fontId="45" fillId="0" borderId="0" xfId="0" applyFont="1" applyFill="1" applyAlignment="1">
      <alignment horizontal="center" vertical="center"/>
    </xf>
    <xf numFmtId="0" fontId="8" fillId="2" borderId="1"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6" xfId="0" applyFont="1" applyFill="1" applyBorder="1" applyAlignment="1">
      <alignment horizontal="center" vertical="center"/>
    </xf>
    <xf numFmtId="0" fontId="0" fillId="0" borderId="0" xfId="0" applyFill="1" applyAlignment="1">
      <alignment horizontal="center"/>
    </xf>
    <xf numFmtId="0" fontId="51" fillId="0" borderId="0" xfId="0" applyFont="1" applyFill="1" applyAlignment="1">
      <alignment horizontal="center" vertical="top"/>
    </xf>
    <xf numFmtId="0" fontId="0" fillId="2" borderId="0" xfId="0" applyFill="1" applyAlignment="1">
      <alignment horizontal="center"/>
    </xf>
    <xf numFmtId="0" fontId="40" fillId="2" borderId="0" xfId="0" applyFont="1" applyFill="1" applyBorder="1" applyAlignment="1">
      <alignment horizontal="center" vertical="center" shrinkToFit="1"/>
    </xf>
    <xf numFmtId="0" fontId="7" fillId="2" borderId="0" xfId="0" applyFont="1" applyFill="1" applyBorder="1" applyAlignment="1">
      <alignment horizontal="center" vertical="center"/>
    </xf>
    <xf numFmtId="0" fontId="32" fillId="0" borderId="0" xfId="0" applyFont="1" applyFill="1" applyBorder="1" applyAlignment="1">
      <alignment horizontal="center" vertical="center" wrapText="1"/>
    </xf>
    <xf numFmtId="0" fontId="16" fillId="0" borderId="0" xfId="0" applyFont="1" applyFill="1" applyBorder="1" applyAlignment="1">
      <alignment horizontal="center" vertical="center"/>
    </xf>
    <xf numFmtId="0" fontId="47" fillId="0" borderId="0" xfId="0" applyFont="1" applyFill="1" applyBorder="1" applyAlignment="1">
      <alignment horizontal="center" vertical="center"/>
    </xf>
    <xf numFmtId="0" fontId="48" fillId="0" borderId="0" xfId="0" applyFont="1" applyFill="1" applyBorder="1" applyAlignment="1">
      <alignment horizontal="center" vertical="center"/>
    </xf>
    <xf numFmtId="0" fontId="46" fillId="4" borderId="0" xfId="0" applyFont="1" applyFill="1" applyBorder="1" applyAlignment="1">
      <alignment horizontal="center" vertical="center" shrinkToFit="1"/>
    </xf>
    <xf numFmtId="0" fontId="46" fillId="6" borderId="0" xfId="0" applyFont="1" applyFill="1" applyBorder="1" applyAlignment="1">
      <alignment horizontal="center" vertical="center" shrinkToFit="1"/>
    </xf>
    <xf numFmtId="0" fontId="8" fillId="0" borderId="0" xfId="0" applyFont="1" applyFill="1" applyBorder="1" applyAlignment="1">
      <alignment horizontal="center" wrapText="1"/>
    </xf>
    <xf numFmtId="0" fontId="8" fillId="0" borderId="0" xfId="0" applyFont="1" applyFill="1" applyBorder="1" applyAlignment="1">
      <alignment horizontal="center" vertical="top" wrapText="1"/>
    </xf>
    <xf numFmtId="0" fontId="34" fillId="13" borderId="0" xfId="0" applyFont="1" applyFill="1" applyBorder="1" applyAlignment="1">
      <alignment horizontal="center" vertical="center"/>
    </xf>
    <xf numFmtId="0" fontId="47" fillId="0" borderId="0" xfId="0" applyFont="1" applyFill="1" applyBorder="1" applyAlignment="1" applyProtection="1">
      <alignment horizontal="center" vertical="center" wrapText="1"/>
      <protection locked="0"/>
    </xf>
    <xf numFmtId="0" fontId="39" fillId="0" borderId="0" xfId="0" applyFont="1" applyFill="1" applyBorder="1" applyAlignment="1">
      <alignment horizontal="center" vertical="center"/>
    </xf>
    <xf numFmtId="0" fontId="10" fillId="4" borderId="0" xfId="0" applyFont="1" applyFill="1" applyBorder="1" applyAlignment="1">
      <alignment horizontal="center" vertical="center"/>
    </xf>
    <xf numFmtId="0" fontId="10" fillId="6" borderId="0" xfId="0" applyFont="1" applyFill="1" applyBorder="1" applyAlignment="1">
      <alignment horizontal="center" vertical="center"/>
    </xf>
    <xf numFmtId="0" fontId="43" fillId="2" borderId="0" xfId="0" applyFont="1" applyFill="1" applyBorder="1" applyAlignment="1">
      <alignment horizontal="center" vertical="center"/>
    </xf>
    <xf numFmtId="0" fontId="13" fillId="0" borderId="0" xfId="0" applyFont="1" applyFill="1" applyBorder="1" applyAlignment="1">
      <alignment horizontal="center" vertical="center"/>
    </xf>
    <xf numFmtId="0" fontId="42" fillId="0" borderId="0" xfId="0" applyFont="1" applyFill="1" applyBorder="1" applyAlignment="1">
      <alignment horizontal="center" vertical="center"/>
    </xf>
    <xf numFmtId="0" fontId="8" fillId="0" borderId="0" xfId="0" applyFont="1" applyFill="1" applyBorder="1" applyAlignment="1">
      <alignment horizontal="center" vertical="center" wrapText="1"/>
    </xf>
    <xf numFmtId="0" fontId="47" fillId="0" borderId="0" xfId="0" applyFont="1" applyFill="1" applyBorder="1" applyAlignment="1">
      <alignment horizontal="center" vertical="top" wrapText="1"/>
    </xf>
    <xf numFmtId="0" fontId="5" fillId="2" borderId="0" xfId="0" applyFont="1" applyFill="1" applyBorder="1" applyAlignment="1">
      <alignment horizontal="center" vertical="center"/>
    </xf>
    <xf numFmtId="0" fontId="41" fillId="0" borderId="0" xfId="0" applyFont="1" applyFill="1" applyAlignment="1">
      <alignment horizontal="center" vertical="center"/>
    </xf>
    <xf numFmtId="0" fontId="49" fillId="2" borderId="0" xfId="0" applyFont="1" applyFill="1" applyAlignment="1">
      <alignment horizontal="center" vertical="center"/>
    </xf>
    <xf numFmtId="0" fontId="50" fillId="0" borderId="0" xfId="0" applyFont="1" applyFill="1" applyAlignment="1">
      <alignment horizontal="center" vertical="center"/>
    </xf>
    <xf numFmtId="0" fontId="53" fillId="0" borderId="0" xfId="0" applyFont="1" applyFill="1" applyAlignment="1">
      <alignment horizontal="center" vertical="center"/>
    </xf>
    <xf numFmtId="0" fontId="58" fillId="0" borderId="0" xfId="0" applyFont="1" applyFill="1" applyAlignment="1">
      <alignment horizontal="center" vertical="center"/>
    </xf>
    <xf numFmtId="0" fontId="57" fillId="0" borderId="0" xfId="0" applyFont="1" applyFill="1" applyAlignment="1">
      <alignment horizontal="center" vertical="center" shrinkToFit="1"/>
    </xf>
    <xf numFmtId="0" fontId="8" fillId="0" borderId="0" xfId="0" applyFont="1" applyFill="1" applyAlignment="1">
      <alignment horizontal="center" vertical="center" shrinkToFit="1"/>
    </xf>
    <xf numFmtId="0" fontId="54" fillId="7" borderId="0" xfId="0" applyFont="1" applyFill="1" applyAlignment="1">
      <alignment horizontal="center" vertical="center"/>
    </xf>
    <xf numFmtId="0" fontId="54" fillId="10" borderId="0" xfId="0" applyFont="1" applyFill="1" applyAlignment="1">
      <alignment horizontal="center" vertical="center" shrinkToFit="1"/>
    </xf>
    <xf numFmtId="0" fontId="25" fillId="13" borderId="0" xfId="0" applyFont="1" applyFill="1" applyAlignment="1">
      <alignment horizontal="center" vertical="center"/>
    </xf>
    <xf numFmtId="0" fontId="31" fillId="9" borderId="0" xfId="0" applyFont="1" applyFill="1" applyAlignment="1" applyProtection="1">
      <alignment horizontal="center" vertical="center" wrapText="1" shrinkToFit="1"/>
    </xf>
    <xf numFmtId="0" fontId="53" fillId="9" borderId="0" xfId="0" applyFont="1" applyFill="1" applyAlignment="1" applyProtection="1">
      <alignment horizontal="center" vertical="center" wrapText="1"/>
    </xf>
    <xf numFmtId="0" fontId="49" fillId="9" borderId="0" xfId="0" applyFont="1" applyFill="1" applyAlignment="1" applyProtection="1">
      <alignment horizontal="center" vertical="center"/>
    </xf>
    <xf numFmtId="0" fontId="54" fillId="11" borderId="0" xfId="0" applyFont="1" applyFill="1" applyAlignment="1">
      <alignment horizontal="center" vertical="center"/>
    </xf>
    <xf numFmtId="0" fontId="50" fillId="5" borderId="0" xfId="0" applyFont="1" applyFill="1" applyAlignment="1">
      <alignment horizontal="center" vertical="center"/>
    </xf>
    <xf numFmtId="0" fontId="56" fillId="5" borderId="0" xfId="0" applyFont="1" applyFill="1" applyBorder="1" applyAlignment="1">
      <alignment horizontal="center" vertical="center" shrinkToFit="1"/>
    </xf>
  </cellXfs>
  <cellStyles count="1">
    <cellStyle name="Normal" xfId="0" builtinId="0"/>
  </cellStyles>
  <dxfs count="466">
    <dxf>
      <fill>
        <patternFill>
          <bgColor rgb="FF0070C0"/>
        </patternFill>
      </fill>
    </dxf>
    <dxf>
      <fill>
        <patternFill>
          <bgColor rgb="FFC00000"/>
        </patternFill>
      </fill>
    </dxf>
    <dxf>
      <fill>
        <patternFill>
          <bgColor rgb="FFC00000"/>
        </patternFill>
      </fill>
    </dxf>
    <dxf>
      <fill>
        <patternFill>
          <bgColor rgb="FF0070C0"/>
        </patternFill>
      </fill>
    </dxf>
    <dxf>
      <fill>
        <patternFill>
          <bgColor rgb="FFFFFF00"/>
        </patternFill>
      </fill>
    </dxf>
    <dxf>
      <fill>
        <patternFill>
          <bgColor rgb="FFC00000"/>
        </patternFill>
      </fill>
    </dxf>
    <dxf>
      <font>
        <color auto="1"/>
      </font>
      <fill>
        <patternFill patternType="solid">
          <bgColor rgb="FF0070C0"/>
        </patternFill>
      </fill>
    </dxf>
    <dxf>
      <fill>
        <patternFill>
          <bgColor rgb="FFFFFF00"/>
        </patternFill>
      </fill>
    </dxf>
    <dxf>
      <fill>
        <patternFill patternType="darkGray"/>
      </fill>
    </dxf>
    <dxf>
      <fill>
        <patternFill>
          <bgColor theme="0"/>
        </patternFill>
      </fill>
    </dxf>
    <dxf>
      <fill>
        <patternFill>
          <bgColor rgb="FF00B0F0"/>
        </patternFill>
      </fill>
    </dxf>
    <dxf>
      <fill>
        <patternFill>
          <bgColor theme="0" tint="-0.499984740745262"/>
        </patternFill>
      </fill>
    </dxf>
    <dxf>
      <fill>
        <patternFill>
          <bgColor rgb="FFFF0000"/>
        </patternFill>
      </fill>
    </dxf>
    <dxf>
      <fill>
        <patternFill>
          <bgColor rgb="FF00B050"/>
        </patternFill>
      </fill>
    </dxf>
    <dxf>
      <fill>
        <patternFill>
          <bgColor theme="0"/>
        </patternFill>
      </fill>
    </dxf>
    <dxf>
      <fill>
        <patternFill>
          <bgColor rgb="FF00B0F0"/>
        </patternFill>
      </fill>
    </dxf>
    <dxf>
      <fill>
        <patternFill>
          <bgColor theme="0" tint="-0.499984740745262"/>
        </patternFill>
      </fill>
    </dxf>
    <dxf>
      <fill>
        <patternFill>
          <bgColor rgb="FFFF0000"/>
        </patternFill>
      </fill>
    </dxf>
    <dxf>
      <fill>
        <patternFill>
          <bgColor theme="0"/>
        </patternFill>
      </fill>
    </dxf>
    <dxf>
      <fill>
        <patternFill>
          <bgColor rgb="FF00B0F0"/>
        </patternFill>
      </fill>
    </dxf>
    <dxf>
      <fill>
        <patternFill>
          <bgColor rgb="FFFF0000"/>
        </patternFill>
      </fill>
    </dxf>
    <dxf>
      <fill>
        <patternFill>
          <bgColor rgb="FF00B050"/>
        </patternFill>
      </fill>
    </dxf>
    <dxf>
      <fill>
        <patternFill>
          <bgColor theme="0"/>
        </patternFill>
      </fill>
    </dxf>
    <dxf>
      <fill>
        <patternFill>
          <bgColor rgb="FF00B0F0"/>
        </patternFill>
      </fill>
    </dxf>
    <dxf>
      <fill>
        <patternFill>
          <bgColor theme="0" tint="-0.499984740745262"/>
        </patternFill>
      </fill>
    </dxf>
    <dxf>
      <fill>
        <patternFill>
          <bgColor rgb="FF00B050"/>
        </patternFill>
      </fill>
    </dxf>
    <dxf>
      <fill>
        <patternFill>
          <bgColor theme="0"/>
        </patternFill>
      </fill>
    </dxf>
    <dxf>
      <fill>
        <patternFill>
          <bgColor theme="0" tint="-0.499984740745262"/>
        </patternFill>
      </fill>
    </dxf>
    <dxf>
      <fill>
        <patternFill>
          <bgColor rgb="FFFF0000"/>
        </patternFill>
      </fill>
    </dxf>
    <dxf>
      <fill>
        <patternFill>
          <bgColor rgb="FF00B050"/>
        </patternFill>
      </fill>
    </dxf>
    <dxf>
      <fill>
        <patternFill>
          <bgColor rgb="FF00B0F0"/>
        </patternFill>
      </fill>
    </dxf>
    <dxf>
      <fill>
        <patternFill>
          <bgColor theme="0" tint="-0.499984740745262"/>
        </patternFill>
      </fill>
    </dxf>
    <dxf>
      <fill>
        <patternFill>
          <bgColor rgb="FFFF0000"/>
        </patternFill>
      </fill>
    </dxf>
    <dxf>
      <fill>
        <patternFill>
          <bgColor rgb="FF00B050"/>
        </patternFill>
      </fill>
    </dxf>
    <dxf>
      <fill>
        <patternFill>
          <bgColor rgb="FFFFFF00"/>
        </patternFill>
      </fill>
    </dxf>
    <dxf>
      <fill>
        <patternFill>
          <bgColor rgb="FFFFC000"/>
        </patternFill>
      </fill>
    </dxf>
    <dxf>
      <fill>
        <patternFill>
          <bgColor rgb="FF0070C0"/>
        </patternFill>
      </fill>
    </dxf>
    <dxf>
      <fill>
        <patternFill>
          <bgColor rgb="FFC00000"/>
        </patternFill>
      </fill>
    </dxf>
    <dxf>
      <fill>
        <patternFill>
          <bgColor theme="9" tint="-0.499984740745262"/>
        </patternFill>
      </fill>
    </dxf>
    <dxf>
      <fill>
        <patternFill>
          <bgColor theme="0"/>
        </patternFill>
      </fill>
    </dxf>
    <dxf>
      <fill>
        <patternFill>
          <bgColor rgb="FF00B0F0"/>
        </patternFill>
      </fill>
    </dxf>
    <dxf>
      <fill>
        <patternFill>
          <bgColor rgb="FFFFC000"/>
        </patternFill>
      </fill>
    </dxf>
    <dxf>
      <fill>
        <patternFill>
          <bgColor rgb="FFFF0000"/>
        </patternFill>
      </fill>
    </dxf>
    <dxf>
      <fill>
        <patternFill>
          <bgColor rgb="FF00B050"/>
        </patternFill>
      </fill>
    </dxf>
    <dxf>
      <fill>
        <patternFill>
          <bgColor theme="0" tint="-0.499984740745262"/>
        </patternFill>
      </fill>
    </dxf>
    <dxf>
      <fill>
        <patternFill>
          <bgColor rgb="FFFFC000"/>
        </patternFill>
      </fill>
    </dxf>
    <dxf>
      <fill>
        <patternFill>
          <bgColor rgb="FFFFC000"/>
        </patternFill>
      </fill>
    </dxf>
    <dxf>
      <fill>
        <patternFill>
          <bgColor rgb="FFC00000"/>
        </patternFill>
      </fill>
    </dxf>
    <dxf>
      <fill>
        <patternFill>
          <bgColor rgb="FF0070C0"/>
        </patternFill>
      </fill>
    </dxf>
    <dxf>
      <fill>
        <patternFill>
          <bgColor rgb="FFC00000"/>
        </patternFill>
      </fill>
    </dxf>
    <dxf>
      <fill>
        <patternFill>
          <bgColor rgb="FF0070C0"/>
        </patternFill>
      </fill>
    </dxf>
    <dxf>
      <fill>
        <patternFill>
          <bgColor rgb="FFFFC000"/>
        </patternFill>
      </fill>
    </dxf>
    <dxf>
      <fill>
        <patternFill>
          <bgColor rgb="FFFFC000"/>
        </patternFill>
      </fill>
    </dxf>
    <dxf>
      <fill>
        <patternFill>
          <bgColor rgb="FFC00000"/>
        </patternFill>
      </fill>
    </dxf>
    <dxf>
      <fill>
        <patternFill>
          <bgColor rgb="FF0070C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C00000"/>
        </patternFill>
      </fill>
    </dxf>
    <dxf>
      <fill>
        <patternFill>
          <bgColor rgb="FF0070C0"/>
        </patternFill>
      </fill>
    </dxf>
    <dxf>
      <fill>
        <patternFill>
          <bgColor rgb="FFFFC000"/>
        </patternFill>
      </fill>
    </dxf>
    <dxf>
      <fill>
        <patternFill>
          <bgColor rgb="FFC00000"/>
        </patternFill>
      </fill>
    </dxf>
    <dxf>
      <fill>
        <patternFill>
          <bgColor rgb="FF0070C0"/>
        </patternFill>
      </fill>
    </dxf>
    <dxf>
      <fill>
        <patternFill>
          <bgColor rgb="FFFFC000"/>
        </patternFill>
      </fill>
    </dxf>
    <dxf>
      <fill>
        <patternFill>
          <bgColor rgb="FFC00000"/>
        </patternFill>
      </fill>
    </dxf>
    <dxf>
      <fill>
        <patternFill>
          <bgColor rgb="FF0070C0"/>
        </patternFill>
      </fill>
    </dxf>
    <dxf>
      <fill>
        <patternFill>
          <bgColor rgb="FFFFC000"/>
        </patternFill>
      </fill>
    </dxf>
    <dxf>
      <fill>
        <patternFill>
          <bgColor rgb="FFFFC000"/>
        </patternFill>
      </fill>
    </dxf>
    <dxf>
      <fill>
        <patternFill>
          <bgColor rgb="FFFFC000"/>
        </patternFill>
      </fill>
    </dxf>
    <dxf>
      <fill>
        <patternFill>
          <bgColor rgb="FFFFFF00"/>
        </patternFill>
      </fill>
    </dxf>
    <dxf>
      <fill>
        <patternFill patternType="none">
          <bgColor auto="1"/>
        </patternFill>
      </fill>
    </dxf>
    <dxf>
      <fill>
        <patternFill>
          <bgColor rgb="FFFFC0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0000"/>
        </patternFill>
      </fill>
    </dxf>
    <dxf>
      <font>
        <color rgb="FFC00000"/>
      </font>
      <fill>
        <patternFill patternType="none">
          <bgColor auto="1"/>
        </patternFill>
      </fill>
    </dxf>
    <dxf>
      <font>
        <color rgb="FF0070C0"/>
      </font>
      <fill>
        <patternFill patternType="none">
          <bgColor auto="1"/>
        </patternFill>
      </fill>
    </dxf>
    <dxf>
      <font>
        <color rgb="FFFFC000"/>
      </font>
      <fill>
        <patternFill patternType="none">
          <bgColor auto="1"/>
        </patternFill>
      </fill>
    </dxf>
    <dxf>
      <font>
        <color rgb="FF00B050"/>
      </font>
      <fill>
        <patternFill patternType="none">
          <bgColor auto="1"/>
        </patternFill>
      </fill>
    </dxf>
    <dxf>
      <font>
        <color theme="0" tint="-0.24994659260841701"/>
      </font>
      <fill>
        <patternFill patternType="none">
          <bgColor auto="1"/>
        </patternFill>
      </fill>
    </dxf>
    <dxf>
      <font>
        <color rgb="FFFFFF00"/>
      </font>
      <fill>
        <patternFill patternType="none">
          <bgColor auto="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FFC000"/>
        </patternFill>
      </fill>
    </dxf>
    <dxf>
      <fill>
        <patternFill>
          <bgColor rgb="FF00B050"/>
        </patternFill>
      </fill>
    </dxf>
    <dxf>
      <fill>
        <patternFill>
          <bgColor theme="0" tint="-0.24994659260841701"/>
        </patternFill>
      </fill>
    </dxf>
    <dxf>
      <fill>
        <patternFill>
          <bgColor rgb="FFFFFF00"/>
        </patternFill>
      </fill>
    </dxf>
    <dxf>
      <font>
        <color auto="1"/>
      </font>
      <fill>
        <patternFill>
          <bgColor rgb="FF0070C0"/>
        </patternFill>
      </fill>
    </dxf>
    <dxf>
      <font>
        <color auto="1"/>
      </font>
      <fill>
        <patternFill>
          <bgColor rgb="FFC00000"/>
        </patternFill>
      </fill>
    </dxf>
    <dxf>
      <font>
        <color rgb="FFC00000"/>
      </font>
      <fill>
        <patternFill>
          <bgColor rgb="FFC00000"/>
        </patternFill>
      </fill>
    </dxf>
    <dxf>
      <font>
        <color rgb="FF0070C0"/>
      </font>
      <fill>
        <patternFill>
          <bgColor rgb="FF0070C0"/>
        </patternFill>
      </fill>
    </dxf>
    <dxf>
      <fill>
        <patternFill>
          <bgColor rgb="FF0070C0"/>
        </patternFill>
      </fill>
    </dxf>
    <dxf>
      <fill>
        <patternFill>
          <bgColor rgb="FFC00000"/>
        </patternFill>
      </fill>
    </dxf>
    <dxf>
      <fill>
        <patternFill>
          <bgColor rgb="FFFF0000"/>
        </patternFill>
      </fill>
    </dxf>
    <dxf>
      <fill>
        <patternFill>
          <bgColor rgb="FF00B050"/>
        </patternFill>
      </fill>
    </dxf>
    <dxf>
      <fill>
        <patternFill>
          <bgColor rgb="FFFFC000"/>
        </patternFill>
      </fill>
    </dxf>
    <dxf>
      <fill>
        <patternFill>
          <bgColor theme="9" tint="-0.499984740745262"/>
        </patternFill>
      </fill>
    </dxf>
    <dxf>
      <fill>
        <patternFill>
          <bgColor theme="0" tint="-0.499984740745262"/>
        </patternFill>
      </fill>
    </dxf>
    <dxf>
      <fill>
        <patternFill>
          <bgColor rgb="FF00B0F0"/>
        </patternFill>
      </fill>
    </dxf>
    <dxf>
      <fill>
        <patternFill>
          <bgColor theme="0"/>
        </patternFill>
      </fill>
    </dxf>
    <dxf>
      <fill>
        <patternFill>
          <bgColor rgb="FF00B050"/>
        </patternFill>
      </fill>
    </dxf>
    <dxf>
      <font>
        <color auto="1"/>
      </font>
      <fill>
        <patternFill>
          <bgColor theme="0" tint="-0.499984740745262"/>
        </patternFill>
      </fill>
    </dxf>
    <dxf>
      <fill>
        <patternFill>
          <bgColor rgb="FFFF0000"/>
        </patternFill>
      </fill>
    </dxf>
    <dxf>
      <fill>
        <patternFill>
          <bgColor rgb="FF00B0F0"/>
        </patternFill>
      </fill>
    </dxf>
    <dxf>
      <fill>
        <patternFill>
          <bgColor theme="0"/>
        </patternFill>
      </fill>
    </dxf>
    <dxf>
      <fill>
        <patternFill>
          <bgColor rgb="FFFFC000"/>
        </patternFill>
      </fill>
    </dxf>
    <dxf>
      <fill>
        <patternFill>
          <bgColor rgb="FFFFFF00"/>
        </patternFill>
      </fill>
    </dxf>
    <dxf>
      <fill>
        <patternFill>
          <bgColor rgb="FFFFFF00"/>
        </patternFill>
      </fill>
    </dxf>
    <dxf>
      <fill>
        <patternFill>
          <bgColor theme="1"/>
        </patternFill>
      </fill>
    </dxf>
    <dxf>
      <font>
        <color theme="0"/>
      </font>
      <fill>
        <patternFill>
          <bgColor theme="1"/>
        </patternFill>
      </fill>
    </dxf>
    <dxf>
      <font>
        <color auto="1"/>
      </font>
      <fill>
        <patternFill>
          <bgColor rgb="FFFFC000"/>
        </patternFill>
      </fill>
    </dxf>
    <dxf>
      <font>
        <color auto="1"/>
      </font>
      <fill>
        <patternFill>
          <bgColor rgb="FFFFFF00"/>
        </patternFill>
      </fill>
    </dxf>
    <dxf>
      <font>
        <color rgb="FFC00000"/>
      </font>
      <fill>
        <patternFill>
          <bgColor rgb="FFC00000"/>
        </patternFill>
      </fill>
    </dxf>
    <dxf>
      <font>
        <color rgb="FF0070C0"/>
      </font>
      <fill>
        <patternFill>
          <bgColor rgb="FF0070C0"/>
        </patternFill>
      </fill>
    </dxf>
    <dxf>
      <fill>
        <patternFill>
          <bgColor theme="0" tint="-4.9989318521683403E-2"/>
        </patternFill>
      </fill>
    </dxf>
    <dxf>
      <fill>
        <patternFill>
          <bgColor theme="0" tint="-4.9989318521683403E-2"/>
        </patternFill>
      </fill>
    </dxf>
    <dxf>
      <fill>
        <patternFill>
          <bgColor rgb="FF0070C0"/>
        </patternFill>
      </fill>
    </dxf>
    <dxf>
      <fill>
        <patternFill>
          <bgColor rgb="FFC00000"/>
        </patternFill>
      </fill>
    </dxf>
    <dxf>
      <fill>
        <patternFill patternType="none">
          <bgColor auto="1"/>
        </patternFill>
      </fill>
    </dxf>
    <dxf>
      <fill>
        <patternFill>
          <bgColor rgb="FFFFFF00"/>
        </patternFill>
      </fill>
    </dxf>
    <dxf>
      <fill>
        <patternFill>
          <bgColor rgb="FFFFFF00"/>
        </patternFill>
      </fill>
    </dxf>
    <dxf>
      <font>
        <color rgb="FFC00000"/>
      </font>
    </dxf>
    <dxf>
      <font>
        <color rgb="FF0070C0"/>
      </font>
    </dxf>
    <dxf>
      <fill>
        <patternFill>
          <bgColor rgb="FFC00000"/>
        </patternFill>
      </fill>
    </dxf>
    <dxf>
      <fill>
        <patternFill>
          <bgColor rgb="FF0070C0"/>
        </patternFill>
      </fill>
    </dxf>
    <dxf>
      <font>
        <color theme="0" tint="-0.24994659260841701"/>
      </font>
    </dxf>
    <dxf>
      <font>
        <color theme="0" tint="-0.24994659260841701"/>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276225</xdr:colOff>
      <xdr:row>0</xdr:row>
      <xdr:rowOff>133350</xdr:rowOff>
    </xdr:from>
    <xdr:to>
      <xdr:col>42</xdr:col>
      <xdr:colOff>171450</xdr:colOff>
      <xdr:row>35</xdr:row>
      <xdr:rowOff>152400</xdr:rowOff>
    </xdr:to>
    <xdr:sp macro="[0]!Welcome" textlink="">
      <xdr:nvSpPr>
        <xdr:cNvPr id="2" name="Rectangle 1"/>
        <xdr:cNvSpPr/>
      </xdr:nvSpPr>
      <xdr:spPr>
        <a:xfrm>
          <a:off x="276225" y="133350"/>
          <a:ext cx="14973300" cy="8953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42</xdr:row>
      <xdr:rowOff>9525</xdr:rowOff>
    </xdr:from>
    <xdr:to>
      <xdr:col>20</xdr:col>
      <xdr:colOff>219075</xdr:colOff>
      <xdr:row>44</xdr:row>
      <xdr:rowOff>161925</xdr:rowOff>
    </xdr:to>
    <xdr:sp macro="[0]!PL1Win" textlink="">
      <xdr:nvSpPr>
        <xdr:cNvPr id="2" name="Bevel 1"/>
        <xdr:cNvSpPr/>
      </xdr:nvSpPr>
      <xdr:spPr>
        <a:xfrm>
          <a:off x="2743200" y="8010525"/>
          <a:ext cx="2047875" cy="53340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47</xdr:col>
      <xdr:colOff>9525</xdr:colOff>
      <xdr:row>42</xdr:row>
      <xdr:rowOff>9525</xdr:rowOff>
    </xdr:from>
    <xdr:to>
      <xdr:col>55</xdr:col>
      <xdr:colOff>219075</xdr:colOff>
      <xdr:row>44</xdr:row>
      <xdr:rowOff>171450</xdr:rowOff>
    </xdr:to>
    <xdr:sp macro="[0]!PL2Win" textlink="">
      <xdr:nvSpPr>
        <xdr:cNvPr id="3" name="Bevel 2"/>
        <xdr:cNvSpPr/>
      </xdr:nvSpPr>
      <xdr:spPr>
        <a:xfrm>
          <a:off x="10525125" y="8010525"/>
          <a:ext cx="2038350" cy="5429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28</xdr:col>
      <xdr:colOff>228599</xdr:colOff>
      <xdr:row>42</xdr:row>
      <xdr:rowOff>1</xdr:rowOff>
    </xdr:from>
    <xdr:to>
      <xdr:col>38</xdr:col>
      <xdr:colOff>219074</xdr:colOff>
      <xdr:row>43</xdr:row>
      <xdr:rowOff>19051</xdr:rowOff>
    </xdr:to>
    <xdr:sp macro="[0]!DefenseDrop" textlink="">
      <xdr:nvSpPr>
        <xdr:cNvPr id="6" name="Bevel 5"/>
        <xdr:cNvSpPr/>
      </xdr:nvSpPr>
      <xdr:spPr>
        <a:xfrm>
          <a:off x="6667499" y="7962901"/>
          <a:ext cx="2047875" cy="209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29</xdr:col>
      <xdr:colOff>0</xdr:colOff>
      <xdr:row>47</xdr:row>
      <xdr:rowOff>0</xdr:rowOff>
    </xdr:from>
    <xdr:to>
      <xdr:col>38</xdr:col>
      <xdr:colOff>219075</xdr:colOff>
      <xdr:row>49</xdr:row>
      <xdr:rowOff>180976</xdr:rowOff>
    </xdr:to>
    <xdr:sp macro="[0]!AttackCancel" textlink="">
      <xdr:nvSpPr>
        <xdr:cNvPr id="7" name="Bevel 6"/>
        <xdr:cNvSpPr/>
      </xdr:nvSpPr>
      <xdr:spPr>
        <a:xfrm>
          <a:off x="6667500" y="8915400"/>
          <a:ext cx="2047875" cy="561976"/>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29</xdr:col>
      <xdr:colOff>0</xdr:colOff>
      <xdr:row>1</xdr:row>
      <xdr:rowOff>0</xdr:rowOff>
    </xdr:from>
    <xdr:to>
      <xdr:col>39</xdr:col>
      <xdr:colOff>19050</xdr:colOff>
      <xdr:row>6</xdr:row>
      <xdr:rowOff>180975</xdr:rowOff>
    </xdr:to>
    <xdr:sp macro="[0]!ToDefense" textlink="">
      <xdr:nvSpPr>
        <xdr:cNvPr id="8" name="Bevel 7"/>
        <xdr:cNvSpPr/>
      </xdr:nvSpPr>
      <xdr:spPr>
        <a:xfrm>
          <a:off x="6667500" y="152400"/>
          <a:ext cx="2076450" cy="113347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38101</xdr:colOff>
      <xdr:row>28</xdr:row>
      <xdr:rowOff>161926</xdr:rowOff>
    </xdr:from>
    <xdr:to>
      <xdr:col>20</xdr:col>
      <xdr:colOff>704850</xdr:colOff>
      <xdr:row>35</xdr:row>
      <xdr:rowOff>142875</xdr:rowOff>
    </xdr:to>
    <xdr:sp macro="[0]!ClearSetup" textlink="">
      <xdr:nvSpPr>
        <xdr:cNvPr id="3" name="Bevel 2"/>
        <xdr:cNvSpPr/>
      </xdr:nvSpPr>
      <xdr:spPr>
        <a:xfrm>
          <a:off x="11601451" y="5495926"/>
          <a:ext cx="1857374" cy="1314449"/>
        </a:xfrm>
        <a:prstGeom prst="bevel">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ysClr val="windowText" lastClr="000000"/>
              </a:solidFill>
            </a:rPr>
            <a:t>Clear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9525</xdr:colOff>
      <xdr:row>8</xdr:row>
      <xdr:rowOff>9525</xdr:rowOff>
    </xdr:from>
    <xdr:to>
      <xdr:col>21</xdr:col>
      <xdr:colOff>142875</xdr:colOff>
      <xdr:row>11</xdr:row>
      <xdr:rowOff>0</xdr:rowOff>
    </xdr:to>
    <xdr:sp macro="[0]!SetNorthwestTerritory" textlink="">
      <xdr:nvSpPr>
        <xdr:cNvPr id="5" name="Bevel 4"/>
        <xdr:cNvSpPr/>
      </xdr:nvSpPr>
      <xdr:spPr>
        <a:xfrm>
          <a:off x="2105025" y="1114425"/>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12</xdr:col>
      <xdr:colOff>0</xdr:colOff>
      <xdr:row>19</xdr:row>
      <xdr:rowOff>0</xdr:rowOff>
    </xdr:from>
    <xdr:to>
      <xdr:col>19</xdr:col>
      <xdr:colOff>133350</xdr:colOff>
      <xdr:row>21</xdr:row>
      <xdr:rowOff>161925</xdr:rowOff>
    </xdr:to>
    <xdr:sp macro="[0]!SetWesternUSA" textlink="">
      <xdr:nvSpPr>
        <xdr:cNvPr id="7" name="Bevel 6"/>
        <xdr:cNvSpPr/>
      </xdr:nvSpPr>
      <xdr:spPr>
        <a:xfrm>
          <a:off x="1790700" y="29908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18</xdr:col>
      <xdr:colOff>19050</xdr:colOff>
      <xdr:row>26</xdr:row>
      <xdr:rowOff>0</xdr:rowOff>
    </xdr:from>
    <xdr:to>
      <xdr:col>26</xdr:col>
      <xdr:colOff>0</xdr:colOff>
      <xdr:row>28</xdr:row>
      <xdr:rowOff>161925</xdr:rowOff>
    </xdr:to>
    <xdr:sp macro="[0]!SetCentralAmerica" textlink="">
      <xdr:nvSpPr>
        <xdr:cNvPr id="8" name="Bevel 7"/>
        <xdr:cNvSpPr/>
      </xdr:nvSpPr>
      <xdr:spPr>
        <a:xfrm>
          <a:off x="2724150" y="41910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20</xdr:col>
      <xdr:colOff>9525</xdr:colOff>
      <xdr:row>29</xdr:row>
      <xdr:rowOff>161925</xdr:rowOff>
    </xdr:from>
    <xdr:to>
      <xdr:col>27</xdr:col>
      <xdr:colOff>142875</xdr:colOff>
      <xdr:row>32</xdr:row>
      <xdr:rowOff>152400</xdr:rowOff>
    </xdr:to>
    <xdr:sp macro="[0]!SetVeneseulea" textlink="">
      <xdr:nvSpPr>
        <xdr:cNvPr id="9" name="Bevel 8"/>
        <xdr:cNvSpPr/>
      </xdr:nvSpPr>
      <xdr:spPr>
        <a:xfrm>
          <a:off x="3019425" y="4867275"/>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17</xdr:col>
      <xdr:colOff>142875</xdr:colOff>
      <xdr:row>38</xdr:row>
      <xdr:rowOff>9525</xdr:rowOff>
    </xdr:from>
    <xdr:to>
      <xdr:col>25</xdr:col>
      <xdr:colOff>123825</xdr:colOff>
      <xdr:row>41</xdr:row>
      <xdr:rowOff>0</xdr:rowOff>
    </xdr:to>
    <xdr:sp macro="[0]!SetPeru" textlink="">
      <xdr:nvSpPr>
        <xdr:cNvPr id="10" name="Bevel 9"/>
        <xdr:cNvSpPr/>
      </xdr:nvSpPr>
      <xdr:spPr>
        <a:xfrm>
          <a:off x="2695575" y="6257925"/>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22</xdr:col>
      <xdr:colOff>0</xdr:colOff>
      <xdr:row>48</xdr:row>
      <xdr:rowOff>0</xdr:rowOff>
    </xdr:from>
    <xdr:to>
      <xdr:col>29</xdr:col>
      <xdr:colOff>133350</xdr:colOff>
      <xdr:row>50</xdr:row>
      <xdr:rowOff>161925</xdr:rowOff>
    </xdr:to>
    <xdr:sp macro="[0]!SetArgentina" textlink="">
      <xdr:nvSpPr>
        <xdr:cNvPr id="11" name="Bevel 10"/>
        <xdr:cNvSpPr/>
      </xdr:nvSpPr>
      <xdr:spPr>
        <a:xfrm>
          <a:off x="3314700" y="79629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27</xdr:col>
      <xdr:colOff>0</xdr:colOff>
      <xdr:row>36</xdr:row>
      <xdr:rowOff>0</xdr:rowOff>
    </xdr:from>
    <xdr:to>
      <xdr:col>34</xdr:col>
      <xdr:colOff>133350</xdr:colOff>
      <xdr:row>38</xdr:row>
      <xdr:rowOff>161925</xdr:rowOff>
    </xdr:to>
    <xdr:sp macro="[0]!SetBrazil" textlink="">
      <xdr:nvSpPr>
        <xdr:cNvPr id="12" name="Bevel 11"/>
        <xdr:cNvSpPr/>
      </xdr:nvSpPr>
      <xdr:spPr>
        <a:xfrm>
          <a:off x="4076700" y="59055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23</xdr:col>
      <xdr:colOff>0</xdr:colOff>
      <xdr:row>21</xdr:row>
      <xdr:rowOff>0</xdr:rowOff>
    </xdr:from>
    <xdr:to>
      <xdr:col>30</xdr:col>
      <xdr:colOff>133350</xdr:colOff>
      <xdr:row>23</xdr:row>
      <xdr:rowOff>161925</xdr:rowOff>
    </xdr:to>
    <xdr:sp macro="[0]!SetEasternUSA" textlink="">
      <xdr:nvSpPr>
        <xdr:cNvPr id="13" name="Bevel 12"/>
        <xdr:cNvSpPr/>
      </xdr:nvSpPr>
      <xdr:spPr>
        <a:xfrm>
          <a:off x="3467100" y="33337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22</xdr:col>
      <xdr:colOff>9525</xdr:colOff>
      <xdr:row>15</xdr:row>
      <xdr:rowOff>9525</xdr:rowOff>
    </xdr:from>
    <xdr:to>
      <xdr:col>29</xdr:col>
      <xdr:colOff>142875</xdr:colOff>
      <xdr:row>18</xdr:row>
      <xdr:rowOff>0</xdr:rowOff>
    </xdr:to>
    <xdr:sp macro="[0]!SetOntario" textlink="">
      <xdr:nvSpPr>
        <xdr:cNvPr id="14" name="Bevel 13"/>
        <xdr:cNvSpPr/>
      </xdr:nvSpPr>
      <xdr:spPr>
        <a:xfrm>
          <a:off x="3324225" y="2314575"/>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31</xdr:col>
      <xdr:colOff>0</xdr:colOff>
      <xdr:row>13</xdr:row>
      <xdr:rowOff>0</xdr:rowOff>
    </xdr:from>
    <xdr:to>
      <xdr:col>38</xdr:col>
      <xdr:colOff>133350</xdr:colOff>
      <xdr:row>15</xdr:row>
      <xdr:rowOff>161925</xdr:rowOff>
    </xdr:to>
    <xdr:sp macro="[0]!SetQubec" textlink="">
      <xdr:nvSpPr>
        <xdr:cNvPr id="15" name="Bevel 14"/>
        <xdr:cNvSpPr/>
      </xdr:nvSpPr>
      <xdr:spPr>
        <a:xfrm>
          <a:off x="4686300" y="19621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35</xdr:col>
      <xdr:colOff>0</xdr:colOff>
      <xdr:row>6</xdr:row>
      <xdr:rowOff>0</xdr:rowOff>
    </xdr:from>
    <xdr:to>
      <xdr:col>42</xdr:col>
      <xdr:colOff>133350</xdr:colOff>
      <xdr:row>8</xdr:row>
      <xdr:rowOff>161925</xdr:rowOff>
    </xdr:to>
    <xdr:sp macro="[0]!SetGreenland" textlink="">
      <xdr:nvSpPr>
        <xdr:cNvPr id="16" name="Bevel 15"/>
        <xdr:cNvSpPr/>
      </xdr:nvSpPr>
      <xdr:spPr>
        <a:xfrm>
          <a:off x="5295900" y="7620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48</xdr:col>
      <xdr:colOff>0</xdr:colOff>
      <xdr:row>8</xdr:row>
      <xdr:rowOff>0</xdr:rowOff>
    </xdr:from>
    <xdr:to>
      <xdr:col>55</xdr:col>
      <xdr:colOff>133350</xdr:colOff>
      <xdr:row>10</xdr:row>
      <xdr:rowOff>161925</xdr:rowOff>
    </xdr:to>
    <xdr:sp macro="[0]!SetScandanavia" textlink="">
      <xdr:nvSpPr>
        <xdr:cNvPr id="17" name="Bevel 16"/>
        <xdr:cNvSpPr/>
      </xdr:nvSpPr>
      <xdr:spPr>
        <a:xfrm>
          <a:off x="7277100" y="11049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40</xdr:col>
      <xdr:colOff>0</xdr:colOff>
      <xdr:row>12</xdr:row>
      <xdr:rowOff>0</xdr:rowOff>
    </xdr:from>
    <xdr:to>
      <xdr:col>47</xdr:col>
      <xdr:colOff>133350</xdr:colOff>
      <xdr:row>14</xdr:row>
      <xdr:rowOff>161925</xdr:rowOff>
    </xdr:to>
    <xdr:sp macro="[0]!SetIceland" textlink="">
      <xdr:nvSpPr>
        <xdr:cNvPr id="19" name="Bevel 18"/>
        <xdr:cNvSpPr/>
      </xdr:nvSpPr>
      <xdr:spPr>
        <a:xfrm>
          <a:off x="6057900" y="17907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54</xdr:col>
      <xdr:colOff>0</xdr:colOff>
      <xdr:row>14</xdr:row>
      <xdr:rowOff>0</xdr:rowOff>
    </xdr:from>
    <xdr:to>
      <xdr:col>61</xdr:col>
      <xdr:colOff>133350</xdr:colOff>
      <xdr:row>16</xdr:row>
      <xdr:rowOff>161925</xdr:rowOff>
    </xdr:to>
    <xdr:sp macro="[0]!SetUkraine" textlink="">
      <xdr:nvSpPr>
        <xdr:cNvPr id="20" name="Bevel 19"/>
        <xdr:cNvSpPr/>
      </xdr:nvSpPr>
      <xdr:spPr>
        <a:xfrm>
          <a:off x="8191500" y="21336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45</xdr:col>
      <xdr:colOff>0</xdr:colOff>
      <xdr:row>18</xdr:row>
      <xdr:rowOff>0</xdr:rowOff>
    </xdr:from>
    <xdr:to>
      <xdr:col>52</xdr:col>
      <xdr:colOff>133350</xdr:colOff>
      <xdr:row>20</xdr:row>
      <xdr:rowOff>161925</xdr:rowOff>
    </xdr:to>
    <xdr:sp macro="[0]!SetNorthernEurope" textlink="">
      <xdr:nvSpPr>
        <xdr:cNvPr id="21" name="Bevel 20"/>
        <xdr:cNvSpPr/>
      </xdr:nvSpPr>
      <xdr:spPr>
        <a:xfrm>
          <a:off x="6819900" y="28194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36</xdr:col>
      <xdr:colOff>0</xdr:colOff>
      <xdr:row>17</xdr:row>
      <xdr:rowOff>0</xdr:rowOff>
    </xdr:from>
    <xdr:to>
      <xdr:col>43</xdr:col>
      <xdr:colOff>133350</xdr:colOff>
      <xdr:row>19</xdr:row>
      <xdr:rowOff>161925</xdr:rowOff>
    </xdr:to>
    <xdr:sp macro="[0]!SetGreatBritan" textlink="">
      <xdr:nvSpPr>
        <xdr:cNvPr id="22" name="Bevel 21"/>
        <xdr:cNvSpPr/>
      </xdr:nvSpPr>
      <xdr:spPr>
        <a:xfrm>
          <a:off x="5448300" y="26479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37</xdr:col>
      <xdr:colOff>0</xdr:colOff>
      <xdr:row>23</xdr:row>
      <xdr:rowOff>0</xdr:rowOff>
    </xdr:from>
    <xdr:to>
      <xdr:col>44</xdr:col>
      <xdr:colOff>133350</xdr:colOff>
      <xdr:row>25</xdr:row>
      <xdr:rowOff>161925</xdr:rowOff>
    </xdr:to>
    <xdr:sp macro="[0]!SetWesternEurope" textlink="">
      <xdr:nvSpPr>
        <xdr:cNvPr id="23" name="Bevel 22"/>
        <xdr:cNvSpPr/>
      </xdr:nvSpPr>
      <xdr:spPr>
        <a:xfrm>
          <a:off x="5600700" y="36766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46</xdr:col>
      <xdr:colOff>0</xdr:colOff>
      <xdr:row>22</xdr:row>
      <xdr:rowOff>0</xdr:rowOff>
    </xdr:from>
    <xdr:to>
      <xdr:col>53</xdr:col>
      <xdr:colOff>133350</xdr:colOff>
      <xdr:row>24</xdr:row>
      <xdr:rowOff>161925</xdr:rowOff>
    </xdr:to>
    <xdr:sp macro="[0]!SetSouthernEurope" textlink="">
      <xdr:nvSpPr>
        <xdr:cNvPr id="24" name="Bevel 23"/>
        <xdr:cNvSpPr/>
      </xdr:nvSpPr>
      <xdr:spPr>
        <a:xfrm>
          <a:off x="6972300" y="35052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46</xdr:col>
      <xdr:colOff>0</xdr:colOff>
      <xdr:row>28</xdr:row>
      <xdr:rowOff>0</xdr:rowOff>
    </xdr:from>
    <xdr:to>
      <xdr:col>53</xdr:col>
      <xdr:colOff>133350</xdr:colOff>
      <xdr:row>30</xdr:row>
      <xdr:rowOff>161925</xdr:rowOff>
    </xdr:to>
    <xdr:sp macro="[0]!SetEgypt" textlink="">
      <xdr:nvSpPr>
        <xdr:cNvPr id="25" name="Bevel 24"/>
        <xdr:cNvSpPr/>
      </xdr:nvSpPr>
      <xdr:spPr>
        <a:xfrm>
          <a:off x="6972300" y="45339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39</xdr:col>
      <xdr:colOff>0</xdr:colOff>
      <xdr:row>33</xdr:row>
      <xdr:rowOff>0</xdr:rowOff>
    </xdr:from>
    <xdr:to>
      <xdr:col>46</xdr:col>
      <xdr:colOff>133350</xdr:colOff>
      <xdr:row>35</xdr:row>
      <xdr:rowOff>161925</xdr:rowOff>
    </xdr:to>
    <xdr:sp macro="[0]!SetNorthAfrica" textlink="">
      <xdr:nvSpPr>
        <xdr:cNvPr id="26" name="Bevel 25"/>
        <xdr:cNvSpPr/>
      </xdr:nvSpPr>
      <xdr:spPr>
        <a:xfrm>
          <a:off x="5905500" y="53911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45</xdr:col>
      <xdr:colOff>0</xdr:colOff>
      <xdr:row>39</xdr:row>
      <xdr:rowOff>0</xdr:rowOff>
    </xdr:from>
    <xdr:to>
      <xdr:col>52</xdr:col>
      <xdr:colOff>133350</xdr:colOff>
      <xdr:row>41</xdr:row>
      <xdr:rowOff>161925</xdr:rowOff>
    </xdr:to>
    <xdr:sp macro="[0]!SetCongo" textlink="">
      <xdr:nvSpPr>
        <xdr:cNvPr id="27" name="Bevel 26"/>
        <xdr:cNvSpPr/>
      </xdr:nvSpPr>
      <xdr:spPr>
        <a:xfrm>
          <a:off x="6819900" y="64198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45</xdr:col>
      <xdr:colOff>0</xdr:colOff>
      <xdr:row>46</xdr:row>
      <xdr:rowOff>0</xdr:rowOff>
    </xdr:from>
    <xdr:to>
      <xdr:col>52</xdr:col>
      <xdr:colOff>133350</xdr:colOff>
      <xdr:row>48</xdr:row>
      <xdr:rowOff>161925</xdr:rowOff>
    </xdr:to>
    <xdr:sp macro="[0]!SetSouthAfrica" textlink="">
      <xdr:nvSpPr>
        <xdr:cNvPr id="28" name="Bevel 27"/>
        <xdr:cNvSpPr/>
      </xdr:nvSpPr>
      <xdr:spPr>
        <a:xfrm>
          <a:off x="6819900" y="76200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56</xdr:col>
      <xdr:colOff>0</xdr:colOff>
      <xdr:row>45</xdr:row>
      <xdr:rowOff>0</xdr:rowOff>
    </xdr:from>
    <xdr:to>
      <xdr:col>63</xdr:col>
      <xdr:colOff>133350</xdr:colOff>
      <xdr:row>47</xdr:row>
      <xdr:rowOff>161925</xdr:rowOff>
    </xdr:to>
    <xdr:sp macro="[0]!SetMadagascar" textlink="">
      <xdr:nvSpPr>
        <xdr:cNvPr id="29" name="Bevel 28"/>
        <xdr:cNvSpPr/>
      </xdr:nvSpPr>
      <xdr:spPr>
        <a:xfrm>
          <a:off x="8496300" y="74485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52</xdr:col>
      <xdr:colOff>0</xdr:colOff>
      <xdr:row>34</xdr:row>
      <xdr:rowOff>0</xdr:rowOff>
    </xdr:from>
    <xdr:to>
      <xdr:col>59</xdr:col>
      <xdr:colOff>133350</xdr:colOff>
      <xdr:row>36</xdr:row>
      <xdr:rowOff>161925</xdr:rowOff>
    </xdr:to>
    <xdr:sp macro="[0]!SetEastAfrica" textlink="">
      <xdr:nvSpPr>
        <xdr:cNvPr id="30" name="Bevel 29"/>
        <xdr:cNvSpPr/>
      </xdr:nvSpPr>
      <xdr:spPr>
        <a:xfrm>
          <a:off x="7886700" y="55626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55</xdr:col>
      <xdr:colOff>0</xdr:colOff>
      <xdr:row>27</xdr:row>
      <xdr:rowOff>0</xdr:rowOff>
    </xdr:from>
    <xdr:to>
      <xdr:col>62</xdr:col>
      <xdr:colOff>133350</xdr:colOff>
      <xdr:row>29</xdr:row>
      <xdr:rowOff>161925</xdr:rowOff>
    </xdr:to>
    <xdr:sp macro="[0]!SetMiddleEast" textlink="">
      <xdr:nvSpPr>
        <xdr:cNvPr id="31" name="Bevel 30"/>
        <xdr:cNvSpPr/>
      </xdr:nvSpPr>
      <xdr:spPr>
        <a:xfrm>
          <a:off x="8343900" y="43624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65</xdr:col>
      <xdr:colOff>0</xdr:colOff>
      <xdr:row>30</xdr:row>
      <xdr:rowOff>19050</xdr:rowOff>
    </xdr:from>
    <xdr:to>
      <xdr:col>72</xdr:col>
      <xdr:colOff>133350</xdr:colOff>
      <xdr:row>33</xdr:row>
      <xdr:rowOff>9525</xdr:rowOff>
    </xdr:to>
    <xdr:sp macro="[0]!SetIndia" textlink="">
      <xdr:nvSpPr>
        <xdr:cNvPr id="32" name="Bevel 31"/>
        <xdr:cNvSpPr/>
      </xdr:nvSpPr>
      <xdr:spPr>
        <a:xfrm>
          <a:off x="9867900" y="48958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75</xdr:col>
      <xdr:colOff>0</xdr:colOff>
      <xdr:row>30</xdr:row>
      <xdr:rowOff>0</xdr:rowOff>
    </xdr:from>
    <xdr:to>
      <xdr:col>82</xdr:col>
      <xdr:colOff>133350</xdr:colOff>
      <xdr:row>32</xdr:row>
      <xdr:rowOff>161925</xdr:rowOff>
    </xdr:to>
    <xdr:sp macro="[0]!SetSiam" textlink="">
      <xdr:nvSpPr>
        <xdr:cNvPr id="33" name="Bevel 32"/>
        <xdr:cNvSpPr/>
      </xdr:nvSpPr>
      <xdr:spPr>
        <a:xfrm>
          <a:off x="11391900" y="48768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71</xdr:col>
      <xdr:colOff>0</xdr:colOff>
      <xdr:row>24</xdr:row>
      <xdr:rowOff>0</xdr:rowOff>
    </xdr:from>
    <xdr:to>
      <xdr:col>78</xdr:col>
      <xdr:colOff>133350</xdr:colOff>
      <xdr:row>26</xdr:row>
      <xdr:rowOff>161925</xdr:rowOff>
    </xdr:to>
    <xdr:sp macro="[0]!SetChina" textlink="">
      <xdr:nvSpPr>
        <xdr:cNvPr id="34" name="Bevel 33"/>
        <xdr:cNvSpPr/>
      </xdr:nvSpPr>
      <xdr:spPr>
        <a:xfrm>
          <a:off x="10782300" y="38481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61</xdr:col>
      <xdr:colOff>0</xdr:colOff>
      <xdr:row>20</xdr:row>
      <xdr:rowOff>0</xdr:rowOff>
    </xdr:from>
    <xdr:to>
      <xdr:col>68</xdr:col>
      <xdr:colOff>133350</xdr:colOff>
      <xdr:row>22</xdr:row>
      <xdr:rowOff>161925</xdr:rowOff>
    </xdr:to>
    <xdr:sp macro="[0]!SetAfghanistan" textlink="">
      <xdr:nvSpPr>
        <xdr:cNvPr id="35" name="Bevel 34"/>
        <xdr:cNvSpPr/>
      </xdr:nvSpPr>
      <xdr:spPr>
        <a:xfrm>
          <a:off x="9258300" y="31623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64</xdr:col>
      <xdr:colOff>0</xdr:colOff>
      <xdr:row>15</xdr:row>
      <xdr:rowOff>0</xdr:rowOff>
    </xdr:from>
    <xdr:to>
      <xdr:col>71</xdr:col>
      <xdr:colOff>133350</xdr:colOff>
      <xdr:row>17</xdr:row>
      <xdr:rowOff>161925</xdr:rowOff>
    </xdr:to>
    <xdr:sp macro="[0]!SetUral" textlink="">
      <xdr:nvSpPr>
        <xdr:cNvPr id="36" name="Bevel 35"/>
        <xdr:cNvSpPr/>
      </xdr:nvSpPr>
      <xdr:spPr>
        <a:xfrm>
          <a:off x="9715500" y="23050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69</xdr:col>
      <xdr:colOff>0</xdr:colOff>
      <xdr:row>11</xdr:row>
      <xdr:rowOff>0</xdr:rowOff>
    </xdr:from>
    <xdr:to>
      <xdr:col>76</xdr:col>
      <xdr:colOff>133350</xdr:colOff>
      <xdr:row>13</xdr:row>
      <xdr:rowOff>161925</xdr:rowOff>
    </xdr:to>
    <xdr:sp macro="[0]!SetSiberia" textlink="">
      <xdr:nvSpPr>
        <xdr:cNvPr id="37" name="Bevel 36"/>
        <xdr:cNvSpPr/>
      </xdr:nvSpPr>
      <xdr:spPr>
        <a:xfrm>
          <a:off x="10477500" y="16192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79</xdr:col>
      <xdr:colOff>0</xdr:colOff>
      <xdr:row>10</xdr:row>
      <xdr:rowOff>0</xdr:rowOff>
    </xdr:from>
    <xdr:to>
      <xdr:col>86</xdr:col>
      <xdr:colOff>133350</xdr:colOff>
      <xdr:row>12</xdr:row>
      <xdr:rowOff>161925</xdr:rowOff>
    </xdr:to>
    <xdr:sp macro="[0]!SetYakutsk" textlink="">
      <xdr:nvSpPr>
        <xdr:cNvPr id="38" name="Bevel 37"/>
        <xdr:cNvSpPr/>
      </xdr:nvSpPr>
      <xdr:spPr>
        <a:xfrm>
          <a:off x="12001500" y="14478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76</xdr:col>
      <xdr:colOff>0</xdr:colOff>
      <xdr:row>15</xdr:row>
      <xdr:rowOff>0</xdr:rowOff>
    </xdr:from>
    <xdr:to>
      <xdr:col>83</xdr:col>
      <xdr:colOff>133350</xdr:colOff>
      <xdr:row>17</xdr:row>
      <xdr:rowOff>161925</xdr:rowOff>
    </xdr:to>
    <xdr:sp macro="[0]!SetIrkutsk" textlink="">
      <xdr:nvSpPr>
        <xdr:cNvPr id="39" name="Bevel 38"/>
        <xdr:cNvSpPr/>
      </xdr:nvSpPr>
      <xdr:spPr>
        <a:xfrm>
          <a:off x="11544300" y="23050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90</xdr:col>
      <xdr:colOff>0</xdr:colOff>
      <xdr:row>11</xdr:row>
      <xdr:rowOff>0</xdr:rowOff>
    </xdr:from>
    <xdr:to>
      <xdr:col>97</xdr:col>
      <xdr:colOff>133350</xdr:colOff>
      <xdr:row>13</xdr:row>
      <xdr:rowOff>161925</xdr:rowOff>
    </xdr:to>
    <xdr:sp macro="[0]!SetKamchatka" textlink="">
      <xdr:nvSpPr>
        <xdr:cNvPr id="40" name="Bevel 39"/>
        <xdr:cNvSpPr/>
      </xdr:nvSpPr>
      <xdr:spPr>
        <a:xfrm>
          <a:off x="13677900" y="16192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78</xdr:col>
      <xdr:colOff>0</xdr:colOff>
      <xdr:row>19</xdr:row>
      <xdr:rowOff>0</xdr:rowOff>
    </xdr:from>
    <xdr:to>
      <xdr:col>85</xdr:col>
      <xdr:colOff>133350</xdr:colOff>
      <xdr:row>21</xdr:row>
      <xdr:rowOff>161925</xdr:rowOff>
    </xdr:to>
    <xdr:sp macro="[0]!SetMongolia" textlink="">
      <xdr:nvSpPr>
        <xdr:cNvPr id="41" name="Bevel 40"/>
        <xdr:cNvSpPr/>
      </xdr:nvSpPr>
      <xdr:spPr>
        <a:xfrm>
          <a:off x="11849100" y="29908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87</xdr:col>
      <xdr:colOff>0</xdr:colOff>
      <xdr:row>22</xdr:row>
      <xdr:rowOff>0</xdr:rowOff>
    </xdr:from>
    <xdr:to>
      <xdr:col>94</xdr:col>
      <xdr:colOff>133350</xdr:colOff>
      <xdr:row>24</xdr:row>
      <xdr:rowOff>161925</xdr:rowOff>
    </xdr:to>
    <xdr:sp macro="[0]!SetJapan" textlink="">
      <xdr:nvSpPr>
        <xdr:cNvPr id="42" name="Bevel 41"/>
        <xdr:cNvSpPr/>
      </xdr:nvSpPr>
      <xdr:spPr>
        <a:xfrm>
          <a:off x="13220700" y="35052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86</xdr:col>
      <xdr:colOff>0</xdr:colOff>
      <xdr:row>36</xdr:row>
      <xdr:rowOff>0</xdr:rowOff>
    </xdr:from>
    <xdr:to>
      <xdr:col>93</xdr:col>
      <xdr:colOff>133350</xdr:colOff>
      <xdr:row>38</xdr:row>
      <xdr:rowOff>161925</xdr:rowOff>
    </xdr:to>
    <xdr:sp macro="[0]!SetNewGuinea" textlink="">
      <xdr:nvSpPr>
        <xdr:cNvPr id="43" name="Bevel 42"/>
        <xdr:cNvSpPr/>
      </xdr:nvSpPr>
      <xdr:spPr>
        <a:xfrm>
          <a:off x="13068300" y="59055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75</xdr:col>
      <xdr:colOff>0</xdr:colOff>
      <xdr:row>37</xdr:row>
      <xdr:rowOff>0</xdr:rowOff>
    </xdr:from>
    <xdr:to>
      <xdr:col>82</xdr:col>
      <xdr:colOff>133350</xdr:colOff>
      <xdr:row>39</xdr:row>
      <xdr:rowOff>161925</xdr:rowOff>
    </xdr:to>
    <xdr:sp macro="[0]!SetIndonesia" textlink="">
      <xdr:nvSpPr>
        <xdr:cNvPr id="44" name="Bevel 43"/>
        <xdr:cNvSpPr/>
      </xdr:nvSpPr>
      <xdr:spPr>
        <a:xfrm>
          <a:off x="11391900" y="60769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75</xdr:col>
      <xdr:colOff>0</xdr:colOff>
      <xdr:row>46</xdr:row>
      <xdr:rowOff>0</xdr:rowOff>
    </xdr:from>
    <xdr:to>
      <xdr:col>82</xdr:col>
      <xdr:colOff>133350</xdr:colOff>
      <xdr:row>48</xdr:row>
      <xdr:rowOff>161925</xdr:rowOff>
    </xdr:to>
    <xdr:sp macro="[0]!SetWesternAustralia" textlink="">
      <xdr:nvSpPr>
        <xdr:cNvPr id="45" name="Bevel 44"/>
        <xdr:cNvSpPr/>
      </xdr:nvSpPr>
      <xdr:spPr>
        <a:xfrm>
          <a:off x="11391900" y="76200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86</xdr:col>
      <xdr:colOff>0</xdr:colOff>
      <xdr:row>43</xdr:row>
      <xdr:rowOff>0</xdr:rowOff>
    </xdr:from>
    <xdr:to>
      <xdr:col>93</xdr:col>
      <xdr:colOff>133350</xdr:colOff>
      <xdr:row>45</xdr:row>
      <xdr:rowOff>161925</xdr:rowOff>
    </xdr:to>
    <xdr:sp macro="[0]!Module3.SetEastAustralia" textlink="">
      <xdr:nvSpPr>
        <xdr:cNvPr id="46" name="Bevel 45"/>
        <xdr:cNvSpPr/>
      </xdr:nvSpPr>
      <xdr:spPr>
        <a:xfrm>
          <a:off x="13068300" y="71056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2</xdr:col>
      <xdr:colOff>19050</xdr:colOff>
      <xdr:row>10</xdr:row>
      <xdr:rowOff>0</xdr:rowOff>
    </xdr:from>
    <xdr:to>
      <xdr:col>10</xdr:col>
      <xdr:colOff>0</xdr:colOff>
      <xdr:row>13</xdr:row>
      <xdr:rowOff>9525</xdr:rowOff>
    </xdr:to>
    <xdr:sp macro="[0]!SetAlaska" textlink="">
      <xdr:nvSpPr>
        <xdr:cNvPr id="48" name="Bevel 47"/>
        <xdr:cNvSpPr/>
      </xdr:nvSpPr>
      <xdr:spPr>
        <a:xfrm>
          <a:off x="285750" y="1447800"/>
          <a:ext cx="1200150" cy="523875"/>
        </a:xfrm>
        <a:prstGeom prst="bevel">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13</xdr:col>
      <xdr:colOff>28575</xdr:colOff>
      <xdr:row>14</xdr:row>
      <xdr:rowOff>9525</xdr:rowOff>
    </xdr:from>
    <xdr:to>
      <xdr:col>21</xdr:col>
      <xdr:colOff>9525</xdr:colOff>
      <xdr:row>17</xdr:row>
      <xdr:rowOff>19050</xdr:rowOff>
    </xdr:to>
    <xdr:sp macro="[0]!SetAlberta" textlink="">
      <xdr:nvSpPr>
        <xdr:cNvPr id="51" name="Bevel 50"/>
        <xdr:cNvSpPr/>
      </xdr:nvSpPr>
      <xdr:spPr>
        <a:xfrm>
          <a:off x="1971675" y="2143125"/>
          <a:ext cx="1200150" cy="523875"/>
        </a:xfrm>
        <a:prstGeom prst="bevel">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xdr:col>
      <xdr:colOff>0</xdr:colOff>
      <xdr:row>4</xdr:row>
      <xdr:rowOff>0</xdr:rowOff>
    </xdr:from>
    <xdr:to>
      <xdr:col>6</xdr:col>
      <xdr:colOff>9525</xdr:colOff>
      <xdr:row>8</xdr:row>
      <xdr:rowOff>0</xdr:rowOff>
    </xdr:to>
    <xdr:sp macro="[0]!MapCancel" textlink="">
      <xdr:nvSpPr>
        <xdr:cNvPr id="47" name="Bevel 46"/>
        <xdr:cNvSpPr/>
      </xdr:nvSpPr>
      <xdr:spPr>
        <a:xfrm>
          <a:off x="114300" y="419100"/>
          <a:ext cx="771525" cy="68580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57</xdr:col>
      <xdr:colOff>0</xdr:colOff>
      <xdr:row>5</xdr:row>
      <xdr:rowOff>0</xdr:rowOff>
    </xdr:from>
    <xdr:to>
      <xdr:col>99</xdr:col>
      <xdr:colOff>0</xdr:colOff>
      <xdr:row>9</xdr:row>
      <xdr:rowOff>0</xdr:rowOff>
    </xdr:to>
    <xdr:sp macro="[0]!MapTopButton" textlink="">
      <xdr:nvSpPr>
        <xdr:cNvPr id="49" name="Bevel 48"/>
        <xdr:cNvSpPr/>
      </xdr:nvSpPr>
      <xdr:spPr>
        <a:xfrm>
          <a:off x="8648700" y="590550"/>
          <a:ext cx="6400800" cy="68580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60</xdr:col>
      <xdr:colOff>0</xdr:colOff>
      <xdr:row>50</xdr:row>
      <xdr:rowOff>0</xdr:rowOff>
    </xdr:from>
    <xdr:to>
      <xdr:col>80</xdr:col>
      <xdr:colOff>0</xdr:colOff>
      <xdr:row>54</xdr:row>
      <xdr:rowOff>19050</xdr:rowOff>
    </xdr:to>
    <xdr:sp macro="[0]!AttackDrop" textlink="">
      <xdr:nvSpPr>
        <xdr:cNvPr id="50" name="Bevel 49"/>
        <xdr:cNvSpPr/>
      </xdr:nvSpPr>
      <xdr:spPr>
        <a:xfrm>
          <a:off x="9105900" y="8305800"/>
          <a:ext cx="3048000" cy="7048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9525</xdr:colOff>
      <xdr:row>0</xdr:row>
      <xdr:rowOff>47625</xdr:rowOff>
    </xdr:from>
    <xdr:to>
      <xdr:col>8</xdr:col>
      <xdr:colOff>228600</xdr:colOff>
      <xdr:row>5</xdr:row>
      <xdr:rowOff>85725</xdr:rowOff>
    </xdr:to>
    <xdr:sp macro="[0]!ColorNAU" textlink="">
      <xdr:nvSpPr>
        <xdr:cNvPr id="4" name="Bevel 3"/>
        <xdr:cNvSpPr/>
      </xdr:nvSpPr>
      <xdr:spPr>
        <a:xfrm>
          <a:off x="1247775" y="4762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142875</xdr:colOff>
      <xdr:row>30</xdr:row>
      <xdr:rowOff>152400</xdr:rowOff>
    </xdr:from>
    <xdr:to>
      <xdr:col>4</xdr:col>
      <xdr:colOff>114300</xdr:colOff>
      <xdr:row>35</xdr:row>
      <xdr:rowOff>161925</xdr:rowOff>
    </xdr:to>
    <xdr:sp macro="[0]!ColorSAW" textlink="">
      <xdr:nvSpPr>
        <xdr:cNvPr id="5" name="Bevel 4"/>
        <xdr:cNvSpPr/>
      </xdr:nvSpPr>
      <xdr:spPr>
        <a:xfrm>
          <a:off x="142875" y="58864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4</xdr:col>
      <xdr:colOff>238125</xdr:colOff>
      <xdr:row>30</xdr:row>
      <xdr:rowOff>142875</xdr:rowOff>
    </xdr:from>
    <xdr:to>
      <xdr:col>8</xdr:col>
      <xdr:colOff>209550</xdr:colOff>
      <xdr:row>35</xdr:row>
      <xdr:rowOff>152400</xdr:rowOff>
    </xdr:to>
    <xdr:sp macro="[0]!ColorSAU" textlink="">
      <xdr:nvSpPr>
        <xdr:cNvPr id="6" name="Bevel 5"/>
        <xdr:cNvSpPr/>
      </xdr:nvSpPr>
      <xdr:spPr>
        <a:xfrm>
          <a:off x="1228725" y="587692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9</xdr:col>
      <xdr:colOff>123825</xdr:colOff>
      <xdr:row>30</xdr:row>
      <xdr:rowOff>171450</xdr:rowOff>
    </xdr:from>
    <xdr:to>
      <xdr:col>13</xdr:col>
      <xdr:colOff>95250</xdr:colOff>
      <xdr:row>35</xdr:row>
      <xdr:rowOff>180975</xdr:rowOff>
    </xdr:to>
    <xdr:sp macro="[0]!ColorSAB" textlink="">
      <xdr:nvSpPr>
        <xdr:cNvPr id="7" name="Bevel 6"/>
        <xdr:cNvSpPr/>
      </xdr:nvSpPr>
      <xdr:spPr>
        <a:xfrm>
          <a:off x="2352675" y="590550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38100</xdr:colOff>
      <xdr:row>30</xdr:row>
      <xdr:rowOff>190500</xdr:rowOff>
    </xdr:from>
    <xdr:to>
      <xdr:col>18</xdr:col>
      <xdr:colOff>9525</xdr:colOff>
      <xdr:row>36</xdr:row>
      <xdr:rowOff>9525</xdr:rowOff>
    </xdr:to>
    <xdr:sp macro="[0]!ColorSAR" textlink="">
      <xdr:nvSpPr>
        <xdr:cNvPr id="8" name="Bevel 7"/>
        <xdr:cNvSpPr/>
      </xdr:nvSpPr>
      <xdr:spPr>
        <a:xfrm>
          <a:off x="3505200" y="59245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18</xdr:col>
      <xdr:colOff>180975</xdr:colOff>
      <xdr:row>30</xdr:row>
      <xdr:rowOff>190500</xdr:rowOff>
    </xdr:from>
    <xdr:to>
      <xdr:col>22</xdr:col>
      <xdr:colOff>152400</xdr:colOff>
      <xdr:row>36</xdr:row>
      <xdr:rowOff>9525</xdr:rowOff>
    </xdr:to>
    <xdr:sp macro="[0]!ColorSAG" textlink="">
      <xdr:nvSpPr>
        <xdr:cNvPr id="9" name="Bevel 8"/>
        <xdr:cNvSpPr/>
      </xdr:nvSpPr>
      <xdr:spPr>
        <a:xfrm>
          <a:off x="4638675" y="59245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28575</xdr:colOff>
      <xdr:row>24</xdr:row>
      <xdr:rowOff>180975</xdr:rowOff>
    </xdr:from>
    <xdr:to>
      <xdr:col>18</xdr:col>
      <xdr:colOff>0</xdr:colOff>
      <xdr:row>30</xdr:row>
      <xdr:rowOff>0</xdr:rowOff>
    </xdr:to>
    <xdr:sp macro="[0]!ColorASR" textlink="">
      <xdr:nvSpPr>
        <xdr:cNvPr id="12" name="Bevel 11"/>
        <xdr:cNvSpPr/>
      </xdr:nvSpPr>
      <xdr:spPr>
        <a:xfrm>
          <a:off x="3495675" y="476250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9</xdr:col>
      <xdr:colOff>123825</xdr:colOff>
      <xdr:row>24</xdr:row>
      <xdr:rowOff>133350</xdr:rowOff>
    </xdr:from>
    <xdr:to>
      <xdr:col>13</xdr:col>
      <xdr:colOff>95250</xdr:colOff>
      <xdr:row>29</xdr:row>
      <xdr:rowOff>142875</xdr:rowOff>
    </xdr:to>
    <xdr:sp macro="[0]!ColorASB" textlink="">
      <xdr:nvSpPr>
        <xdr:cNvPr id="13" name="Bevel 12"/>
        <xdr:cNvSpPr/>
      </xdr:nvSpPr>
      <xdr:spPr>
        <a:xfrm>
          <a:off x="2352675" y="471487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5</xdr:col>
      <xdr:colOff>0</xdr:colOff>
      <xdr:row>24</xdr:row>
      <xdr:rowOff>104775</xdr:rowOff>
    </xdr:from>
    <xdr:to>
      <xdr:col>8</xdr:col>
      <xdr:colOff>219075</xdr:colOff>
      <xdr:row>29</xdr:row>
      <xdr:rowOff>114300</xdr:rowOff>
    </xdr:to>
    <xdr:sp macro="[0]!ColorASU" textlink="">
      <xdr:nvSpPr>
        <xdr:cNvPr id="14" name="Bevel 13"/>
        <xdr:cNvSpPr/>
      </xdr:nvSpPr>
      <xdr:spPr>
        <a:xfrm>
          <a:off x="1238250" y="468630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123825</xdr:colOff>
      <xdr:row>24</xdr:row>
      <xdr:rowOff>123825</xdr:rowOff>
    </xdr:from>
    <xdr:to>
      <xdr:col>4</xdr:col>
      <xdr:colOff>95250</xdr:colOff>
      <xdr:row>29</xdr:row>
      <xdr:rowOff>133350</xdr:rowOff>
    </xdr:to>
    <xdr:sp macro="[0]!ColorASW" textlink="">
      <xdr:nvSpPr>
        <xdr:cNvPr id="15" name="Bevel 14"/>
        <xdr:cNvSpPr/>
      </xdr:nvSpPr>
      <xdr:spPr>
        <a:xfrm>
          <a:off x="123825" y="47053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142875</xdr:colOff>
      <xdr:row>18</xdr:row>
      <xdr:rowOff>133350</xdr:rowOff>
    </xdr:from>
    <xdr:to>
      <xdr:col>4</xdr:col>
      <xdr:colOff>114300</xdr:colOff>
      <xdr:row>23</xdr:row>
      <xdr:rowOff>142875</xdr:rowOff>
    </xdr:to>
    <xdr:sp macro="[0]!ColorAUW" textlink="">
      <xdr:nvSpPr>
        <xdr:cNvPr id="16" name="Bevel 15"/>
        <xdr:cNvSpPr/>
      </xdr:nvSpPr>
      <xdr:spPr>
        <a:xfrm>
          <a:off x="142875" y="35623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5</xdr:col>
      <xdr:colOff>0</xdr:colOff>
      <xdr:row>18</xdr:row>
      <xdr:rowOff>104775</xdr:rowOff>
    </xdr:from>
    <xdr:to>
      <xdr:col>8</xdr:col>
      <xdr:colOff>219075</xdr:colOff>
      <xdr:row>23</xdr:row>
      <xdr:rowOff>114300</xdr:rowOff>
    </xdr:to>
    <xdr:sp macro="[0]!ColorAUU" textlink="">
      <xdr:nvSpPr>
        <xdr:cNvPr id="17" name="Bevel 16"/>
        <xdr:cNvSpPr/>
      </xdr:nvSpPr>
      <xdr:spPr>
        <a:xfrm>
          <a:off x="1238250" y="353377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9</xdr:col>
      <xdr:colOff>123825</xdr:colOff>
      <xdr:row>18</xdr:row>
      <xdr:rowOff>133350</xdr:rowOff>
    </xdr:from>
    <xdr:to>
      <xdr:col>13</xdr:col>
      <xdr:colOff>95250</xdr:colOff>
      <xdr:row>23</xdr:row>
      <xdr:rowOff>142875</xdr:rowOff>
    </xdr:to>
    <xdr:sp macro="[0]!ColorAUB" textlink="">
      <xdr:nvSpPr>
        <xdr:cNvPr id="18" name="Bevel 17"/>
        <xdr:cNvSpPr/>
      </xdr:nvSpPr>
      <xdr:spPr>
        <a:xfrm>
          <a:off x="2352675" y="35623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18</xdr:col>
      <xdr:colOff>180975</xdr:colOff>
      <xdr:row>18</xdr:row>
      <xdr:rowOff>152400</xdr:rowOff>
    </xdr:from>
    <xdr:to>
      <xdr:col>22</xdr:col>
      <xdr:colOff>152400</xdr:colOff>
      <xdr:row>23</xdr:row>
      <xdr:rowOff>161925</xdr:rowOff>
    </xdr:to>
    <xdr:sp macro="[0]!ColorAUG" textlink="">
      <xdr:nvSpPr>
        <xdr:cNvPr id="19" name="Bevel 18"/>
        <xdr:cNvSpPr/>
      </xdr:nvSpPr>
      <xdr:spPr>
        <a:xfrm>
          <a:off x="4638675" y="358140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18</xdr:col>
      <xdr:colOff>200025</xdr:colOff>
      <xdr:row>12</xdr:row>
      <xdr:rowOff>142875</xdr:rowOff>
    </xdr:from>
    <xdr:to>
      <xdr:col>22</xdr:col>
      <xdr:colOff>171450</xdr:colOff>
      <xdr:row>17</xdr:row>
      <xdr:rowOff>152400</xdr:rowOff>
    </xdr:to>
    <xdr:sp macro="[0]!ColorAFG" textlink="">
      <xdr:nvSpPr>
        <xdr:cNvPr id="22" name="Bevel 21"/>
        <xdr:cNvSpPr/>
      </xdr:nvSpPr>
      <xdr:spPr>
        <a:xfrm>
          <a:off x="4657725" y="24193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38100</xdr:colOff>
      <xdr:row>12</xdr:row>
      <xdr:rowOff>133350</xdr:rowOff>
    </xdr:from>
    <xdr:to>
      <xdr:col>18</xdr:col>
      <xdr:colOff>9525</xdr:colOff>
      <xdr:row>17</xdr:row>
      <xdr:rowOff>142875</xdr:rowOff>
    </xdr:to>
    <xdr:sp macro="[0]!ColorAFR" textlink="">
      <xdr:nvSpPr>
        <xdr:cNvPr id="23" name="Bevel 22"/>
        <xdr:cNvSpPr/>
      </xdr:nvSpPr>
      <xdr:spPr>
        <a:xfrm>
          <a:off x="3505200" y="240982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5</xdr:col>
      <xdr:colOff>9525</xdr:colOff>
      <xdr:row>12</xdr:row>
      <xdr:rowOff>95250</xdr:rowOff>
    </xdr:from>
    <xdr:to>
      <xdr:col>8</xdr:col>
      <xdr:colOff>228600</xdr:colOff>
      <xdr:row>17</xdr:row>
      <xdr:rowOff>104775</xdr:rowOff>
    </xdr:to>
    <xdr:sp macro="[0]!ColorAFU" textlink="">
      <xdr:nvSpPr>
        <xdr:cNvPr id="24" name="Bevel 23"/>
        <xdr:cNvSpPr/>
      </xdr:nvSpPr>
      <xdr:spPr>
        <a:xfrm>
          <a:off x="1247775" y="237172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133350</xdr:colOff>
      <xdr:row>12</xdr:row>
      <xdr:rowOff>104775</xdr:rowOff>
    </xdr:from>
    <xdr:to>
      <xdr:col>4</xdr:col>
      <xdr:colOff>104775</xdr:colOff>
      <xdr:row>17</xdr:row>
      <xdr:rowOff>114300</xdr:rowOff>
    </xdr:to>
    <xdr:sp macro="[0]!ColorAFW" textlink="">
      <xdr:nvSpPr>
        <xdr:cNvPr id="25" name="Bevel 24"/>
        <xdr:cNvSpPr/>
      </xdr:nvSpPr>
      <xdr:spPr>
        <a:xfrm>
          <a:off x="133350" y="23812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152400</xdr:colOff>
      <xdr:row>6</xdr:row>
      <xdr:rowOff>95250</xdr:rowOff>
    </xdr:from>
    <xdr:to>
      <xdr:col>4</xdr:col>
      <xdr:colOff>123825</xdr:colOff>
      <xdr:row>11</xdr:row>
      <xdr:rowOff>104775</xdr:rowOff>
    </xdr:to>
    <xdr:sp macro="[0]!ColorEUW" textlink="">
      <xdr:nvSpPr>
        <xdr:cNvPr id="26" name="Bevel 25"/>
        <xdr:cNvSpPr/>
      </xdr:nvSpPr>
      <xdr:spPr>
        <a:xfrm>
          <a:off x="152400" y="121920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9</xdr:col>
      <xdr:colOff>133350</xdr:colOff>
      <xdr:row>6</xdr:row>
      <xdr:rowOff>104775</xdr:rowOff>
    </xdr:from>
    <xdr:to>
      <xdr:col>13</xdr:col>
      <xdr:colOff>104775</xdr:colOff>
      <xdr:row>11</xdr:row>
      <xdr:rowOff>114300</xdr:rowOff>
    </xdr:to>
    <xdr:sp macro="[0]!ColorEUB" textlink="">
      <xdr:nvSpPr>
        <xdr:cNvPr id="27" name="Bevel 26"/>
        <xdr:cNvSpPr/>
      </xdr:nvSpPr>
      <xdr:spPr>
        <a:xfrm>
          <a:off x="2362200" y="122872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38100</xdr:colOff>
      <xdr:row>6</xdr:row>
      <xdr:rowOff>133350</xdr:rowOff>
    </xdr:from>
    <xdr:to>
      <xdr:col>18</xdr:col>
      <xdr:colOff>9525</xdr:colOff>
      <xdr:row>11</xdr:row>
      <xdr:rowOff>142875</xdr:rowOff>
    </xdr:to>
    <xdr:sp macro="[0]!ColorEUR" textlink="">
      <xdr:nvSpPr>
        <xdr:cNvPr id="28" name="Bevel 27"/>
        <xdr:cNvSpPr/>
      </xdr:nvSpPr>
      <xdr:spPr>
        <a:xfrm>
          <a:off x="3505200" y="125730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38100</xdr:colOff>
      <xdr:row>0</xdr:row>
      <xdr:rowOff>95250</xdr:rowOff>
    </xdr:from>
    <xdr:to>
      <xdr:col>18</xdr:col>
      <xdr:colOff>9525</xdr:colOff>
      <xdr:row>5</xdr:row>
      <xdr:rowOff>133350</xdr:rowOff>
    </xdr:to>
    <xdr:sp macro="[0]!ColorNAR" textlink="">
      <xdr:nvSpPr>
        <xdr:cNvPr id="29" name="Bevel 28"/>
        <xdr:cNvSpPr/>
      </xdr:nvSpPr>
      <xdr:spPr>
        <a:xfrm>
          <a:off x="3505200" y="952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18</xdr:col>
      <xdr:colOff>180975</xdr:colOff>
      <xdr:row>0</xdr:row>
      <xdr:rowOff>95250</xdr:rowOff>
    </xdr:from>
    <xdr:to>
      <xdr:col>22</xdr:col>
      <xdr:colOff>152400</xdr:colOff>
      <xdr:row>5</xdr:row>
      <xdr:rowOff>133350</xdr:rowOff>
    </xdr:to>
    <xdr:sp macro="[0]!ColorNAG" textlink="">
      <xdr:nvSpPr>
        <xdr:cNvPr id="31" name="Bevel 30"/>
        <xdr:cNvSpPr/>
      </xdr:nvSpPr>
      <xdr:spPr>
        <a:xfrm>
          <a:off x="4638675" y="952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9</xdr:col>
      <xdr:colOff>161925</xdr:colOff>
      <xdr:row>0</xdr:row>
      <xdr:rowOff>66675</xdr:rowOff>
    </xdr:from>
    <xdr:to>
      <xdr:col>13</xdr:col>
      <xdr:colOff>133350</xdr:colOff>
      <xdr:row>5</xdr:row>
      <xdr:rowOff>104775</xdr:rowOff>
    </xdr:to>
    <xdr:sp macro="[0]!ColorNAB" textlink="">
      <xdr:nvSpPr>
        <xdr:cNvPr id="32" name="Bevel 31"/>
        <xdr:cNvSpPr/>
      </xdr:nvSpPr>
      <xdr:spPr>
        <a:xfrm>
          <a:off x="2390775" y="6667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18</xdr:col>
      <xdr:colOff>180975</xdr:colOff>
      <xdr:row>6</xdr:row>
      <xdr:rowOff>133350</xdr:rowOff>
    </xdr:from>
    <xdr:to>
      <xdr:col>22</xdr:col>
      <xdr:colOff>152400</xdr:colOff>
      <xdr:row>11</xdr:row>
      <xdr:rowOff>142875</xdr:rowOff>
    </xdr:to>
    <xdr:sp macro="[0]!ColorEUG" textlink="">
      <xdr:nvSpPr>
        <xdr:cNvPr id="33" name="Bevel 32"/>
        <xdr:cNvSpPr/>
      </xdr:nvSpPr>
      <xdr:spPr>
        <a:xfrm>
          <a:off x="4638675" y="125730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40</xdr:col>
      <xdr:colOff>190500</xdr:colOff>
      <xdr:row>0</xdr:row>
      <xdr:rowOff>95250</xdr:rowOff>
    </xdr:from>
    <xdr:to>
      <xdr:col>48</xdr:col>
      <xdr:colOff>104775</xdr:colOff>
      <xdr:row>5</xdr:row>
      <xdr:rowOff>123825</xdr:rowOff>
    </xdr:to>
    <xdr:sp macro="[0]!ColorOk" textlink="">
      <xdr:nvSpPr>
        <xdr:cNvPr id="30" name="Bevel 29"/>
        <xdr:cNvSpPr/>
      </xdr:nvSpPr>
      <xdr:spPr>
        <a:xfrm>
          <a:off x="10563225" y="95250"/>
          <a:ext cx="1895475" cy="9620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40</xdr:col>
      <xdr:colOff>180975</xdr:colOff>
      <xdr:row>31</xdr:row>
      <xdr:rowOff>76200</xdr:rowOff>
    </xdr:from>
    <xdr:to>
      <xdr:col>48</xdr:col>
      <xdr:colOff>114300</xdr:colOff>
      <xdr:row>36</xdr:row>
      <xdr:rowOff>95250</xdr:rowOff>
    </xdr:to>
    <xdr:sp macro="[0]!ColorCancel" textlink="">
      <xdr:nvSpPr>
        <xdr:cNvPr id="34" name="Bevel 33"/>
        <xdr:cNvSpPr/>
      </xdr:nvSpPr>
      <xdr:spPr>
        <a:xfrm>
          <a:off x="10553700" y="6010275"/>
          <a:ext cx="19145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47624</xdr:colOff>
      <xdr:row>3</xdr:row>
      <xdr:rowOff>57150</xdr:rowOff>
    </xdr:from>
    <xdr:to>
      <xdr:col>12</xdr:col>
      <xdr:colOff>47625</xdr:colOff>
      <xdr:row>5</xdr:row>
      <xdr:rowOff>47625</xdr:rowOff>
    </xdr:to>
    <xdr:sp macro="[0]!DefenseAstralArena" textlink="">
      <xdr:nvSpPr>
        <xdr:cNvPr id="2" name="Bevel 1"/>
        <xdr:cNvSpPr/>
      </xdr:nvSpPr>
      <xdr:spPr>
        <a:xfrm>
          <a:off x="11353799" y="1447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5</xdr:row>
      <xdr:rowOff>57150</xdr:rowOff>
    </xdr:from>
    <xdr:to>
      <xdr:col>12</xdr:col>
      <xdr:colOff>47626</xdr:colOff>
      <xdr:row>7</xdr:row>
      <xdr:rowOff>47625</xdr:rowOff>
    </xdr:to>
    <xdr:sp macro="[0]!DefenseGlimmervoidBasin" textlink="">
      <xdr:nvSpPr>
        <xdr:cNvPr id="3" name="Bevel 2"/>
        <xdr:cNvSpPr/>
      </xdr:nvSpPr>
      <xdr:spPr>
        <a:xfrm>
          <a:off x="11353800" y="1943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7</xdr:row>
      <xdr:rowOff>57150</xdr:rowOff>
    </xdr:from>
    <xdr:to>
      <xdr:col>12</xdr:col>
      <xdr:colOff>47626</xdr:colOff>
      <xdr:row>9</xdr:row>
      <xdr:rowOff>47625</xdr:rowOff>
    </xdr:to>
    <xdr:sp macro="[0]!DefenseHedronFields" textlink="">
      <xdr:nvSpPr>
        <xdr:cNvPr id="4" name="Bevel 3"/>
        <xdr:cNvSpPr/>
      </xdr:nvSpPr>
      <xdr:spPr>
        <a:xfrm>
          <a:off x="11353800" y="2438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9</xdr:row>
      <xdr:rowOff>57150</xdr:rowOff>
    </xdr:from>
    <xdr:to>
      <xdr:col>12</xdr:col>
      <xdr:colOff>47626</xdr:colOff>
      <xdr:row>11</xdr:row>
      <xdr:rowOff>47625</xdr:rowOff>
    </xdr:to>
    <xdr:sp macro="[0]!DefenseHorizon" textlink="">
      <xdr:nvSpPr>
        <xdr:cNvPr id="5" name="Bevel 4"/>
        <xdr:cNvSpPr/>
      </xdr:nvSpPr>
      <xdr:spPr>
        <a:xfrm>
          <a:off x="11353800" y="29337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11</xdr:row>
      <xdr:rowOff>57150</xdr:rowOff>
    </xdr:from>
    <xdr:to>
      <xdr:col>12</xdr:col>
      <xdr:colOff>47626</xdr:colOff>
      <xdr:row>13</xdr:row>
      <xdr:rowOff>47625</xdr:rowOff>
    </xdr:to>
    <xdr:sp macro="[0]!DefenseKharasha" textlink="">
      <xdr:nvSpPr>
        <xdr:cNvPr id="6" name="Bevel 5"/>
        <xdr:cNvSpPr/>
      </xdr:nvSpPr>
      <xdr:spPr>
        <a:xfrm>
          <a:off x="11353800" y="34290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13</xdr:row>
      <xdr:rowOff>57150</xdr:rowOff>
    </xdr:from>
    <xdr:to>
      <xdr:col>12</xdr:col>
      <xdr:colOff>47626</xdr:colOff>
      <xdr:row>15</xdr:row>
      <xdr:rowOff>47625</xdr:rowOff>
    </xdr:to>
    <xdr:sp macro="[0]!DefenseKrosa" textlink="">
      <xdr:nvSpPr>
        <xdr:cNvPr id="7" name="Bevel 6"/>
        <xdr:cNvSpPr/>
      </xdr:nvSpPr>
      <xdr:spPr>
        <a:xfrm>
          <a:off x="11353800" y="39243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15</xdr:row>
      <xdr:rowOff>57150</xdr:rowOff>
    </xdr:from>
    <xdr:to>
      <xdr:col>12</xdr:col>
      <xdr:colOff>47626</xdr:colOff>
      <xdr:row>17</xdr:row>
      <xdr:rowOff>47625</xdr:rowOff>
    </xdr:to>
    <xdr:sp macro="[0]!DefenseOtaria" textlink="">
      <xdr:nvSpPr>
        <xdr:cNvPr id="8" name="Bevel 7"/>
        <xdr:cNvSpPr/>
      </xdr:nvSpPr>
      <xdr:spPr>
        <a:xfrm>
          <a:off x="11353800" y="44196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17</xdr:row>
      <xdr:rowOff>57150</xdr:rowOff>
    </xdr:from>
    <xdr:to>
      <xdr:col>12</xdr:col>
      <xdr:colOff>47626</xdr:colOff>
      <xdr:row>19</xdr:row>
      <xdr:rowOff>47625</xdr:rowOff>
    </xdr:to>
    <xdr:sp macro="[0]!DefensePoolsofBecoming" textlink="">
      <xdr:nvSpPr>
        <xdr:cNvPr id="9" name="Bevel 8"/>
        <xdr:cNvSpPr/>
      </xdr:nvSpPr>
      <xdr:spPr>
        <a:xfrm>
          <a:off x="11353800" y="49149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19</xdr:row>
      <xdr:rowOff>57150</xdr:rowOff>
    </xdr:from>
    <xdr:to>
      <xdr:col>12</xdr:col>
      <xdr:colOff>47626</xdr:colOff>
      <xdr:row>21</xdr:row>
      <xdr:rowOff>47625</xdr:rowOff>
    </xdr:to>
    <xdr:sp macro="[0]!DefenseSkybreen" textlink="">
      <xdr:nvSpPr>
        <xdr:cNvPr id="10" name="Bevel 9"/>
        <xdr:cNvSpPr/>
      </xdr:nvSpPr>
      <xdr:spPr>
        <a:xfrm>
          <a:off x="11353800" y="54102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21</xdr:row>
      <xdr:rowOff>57150</xdr:rowOff>
    </xdr:from>
    <xdr:to>
      <xdr:col>12</xdr:col>
      <xdr:colOff>47626</xdr:colOff>
      <xdr:row>23</xdr:row>
      <xdr:rowOff>47625</xdr:rowOff>
    </xdr:to>
    <xdr:sp macro="[0]!DefenseStairstoInfinity" textlink="">
      <xdr:nvSpPr>
        <xdr:cNvPr id="11" name="Bevel 10"/>
        <xdr:cNvSpPr/>
      </xdr:nvSpPr>
      <xdr:spPr>
        <a:xfrm>
          <a:off x="11353800" y="59055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23</xdr:row>
      <xdr:rowOff>57150</xdr:rowOff>
    </xdr:from>
    <xdr:to>
      <xdr:col>12</xdr:col>
      <xdr:colOff>47626</xdr:colOff>
      <xdr:row>25</xdr:row>
      <xdr:rowOff>47625</xdr:rowOff>
    </xdr:to>
    <xdr:sp macro="[0]!DefenseHippodrome" textlink="">
      <xdr:nvSpPr>
        <xdr:cNvPr id="12" name="Bevel 11"/>
        <xdr:cNvSpPr/>
      </xdr:nvSpPr>
      <xdr:spPr>
        <a:xfrm>
          <a:off x="11353800" y="6400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25</xdr:row>
      <xdr:rowOff>57150</xdr:rowOff>
    </xdr:from>
    <xdr:to>
      <xdr:col>12</xdr:col>
      <xdr:colOff>47626</xdr:colOff>
      <xdr:row>27</xdr:row>
      <xdr:rowOff>47625</xdr:rowOff>
    </xdr:to>
    <xdr:sp macro="[0]!DefenseMaelstrom" textlink="">
      <xdr:nvSpPr>
        <xdr:cNvPr id="13" name="Bevel 12"/>
        <xdr:cNvSpPr/>
      </xdr:nvSpPr>
      <xdr:spPr>
        <a:xfrm>
          <a:off x="11353800" y="6896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27</xdr:row>
      <xdr:rowOff>57150</xdr:rowOff>
    </xdr:from>
    <xdr:to>
      <xdr:col>12</xdr:col>
      <xdr:colOff>47626</xdr:colOff>
      <xdr:row>29</xdr:row>
      <xdr:rowOff>47625</xdr:rowOff>
    </xdr:to>
    <xdr:sp macro="[0]!DefenseVelisVel" textlink="">
      <xdr:nvSpPr>
        <xdr:cNvPr id="14" name="Bevel 13"/>
        <xdr:cNvSpPr/>
      </xdr:nvSpPr>
      <xdr:spPr>
        <a:xfrm>
          <a:off x="11353800" y="7391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27</xdr:row>
      <xdr:rowOff>57150</xdr:rowOff>
    </xdr:from>
    <xdr:to>
      <xdr:col>10</xdr:col>
      <xdr:colOff>47626</xdr:colOff>
      <xdr:row>29</xdr:row>
      <xdr:rowOff>47625</xdr:rowOff>
    </xdr:to>
    <xdr:sp macro="[0]!DefenseAetherFlues" textlink="">
      <xdr:nvSpPr>
        <xdr:cNvPr id="15" name="Bevel 14"/>
        <xdr:cNvSpPr/>
      </xdr:nvSpPr>
      <xdr:spPr>
        <a:xfrm>
          <a:off x="9124950" y="7391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25</xdr:row>
      <xdr:rowOff>57150</xdr:rowOff>
    </xdr:from>
    <xdr:to>
      <xdr:col>10</xdr:col>
      <xdr:colOff>47626</xdr:colOff>
      <xdr:row>27</xdr:row>
      <xdr:rowOff>47625</xdr:rowOff>
    </xdr:to>
    <xdr:sp macro="[0]!DefenseTurri" textlink="">
      <xdr:nvSpPr>
        <xdr:cNvPr id="16" name="Bevel 15"/>
        <xdr:cNvSpPr/>
      </xdr:nvSpPr>
      <xdr:spPr>
        <a:xfrm>
          <a:off x="9124950" y="6896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23</xdr:row>
      <xdr:rowOff>57150</xdr:rowOff>
    </xdr:from>
    <xdr:to>
      <xdr:col>10</xdr:col>
      <xdr:colOff>47626</xdr:colOff>
      <xdr:row>25</xdr:row>
      <xdr:rowOff>47625</xdr:rowOff>
    </xdr:to>
    <xdr:sp macro="[0]!DefenseTruga" textlink="">
      <xdr:nvSpPr>
        <xdr:cNvPr id="17" name="Bevel 16"/>
        <xdr:cNvSpPr/>
      </xdr:nvSpPr>
      <xdr:spPr>
        <a:xfrm>
          <a:off x="9124950" y="6400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21</xdr:row>
      <xdr:rowOff>57150</xdr:rowOff>
    </xdr:from>
    <xdr:to>
      <xdr:col>10</xdr:col>
      <xdr:colOff>47626</xdr:colOff>
      <xdr:row>23</xdr:row>
      <xdr:rowOff>47625</xdr:rowOff>
    </xdr:to>
    <xdr:sp macro="[0]!DefenseGreatForest" textlink="">
      <xdr:nvSpPr>
        <xdr:cNvPr id="18" name="Bevel 17"/>
        <xdr:cNvSpPr/>
      </xdr:nvSpPr>
      <xdr:spPr>
        <a:xfrm>
          <a:off x="9124950" y="59055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19</xdr:row>
      <xdr:rowOff>57150</xdr:rowOff>
    </xdr:from>
    <xdr:to>
      <xdr:col>10</xdr:col>
      <xdr:colOff>47626</xdr:colOff>
      <xdr:row>21</xdr:row>
      <xdr:rowOff>47625</xdr:rowOff>
    </xdr:to>
    <xdr:sp macro="[0]!DefenseTazeem" textlink="">
      <xdr:nvSpPr>
        <xdr:cNvPr id="19" name="Bevel 18"/>
        <xdr:cNvSpPr/>
      </xdr:nvSpPr>
      <xdr:spPr>
        <a:xfrm>
          <a:off x="9124950" y="54102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17</xdr:row>
      <xdr:rowOff>57150</xdr:rowOff>
    </xdr:from>
    <xdr:to>
      <xdr:col>10</xdr:col>
      <xdr:colOff>47626</xdr:colOff>
      <xdr:row>19</xdr:row>
      <xdr:rowOff>47625</xdr:rowOff>
    </xdr:to>
    <xdr:sp macro="[0]!DefenseSelesnya" textlink="">
      <xdr:nvSpPr>
        <xdr:cNvPr id="20" name="Bevel 19"/>
        <xdr:cNvSpPr/>
      </xdr:nvSpPr>
      <xdr:spPr>
        <a:xfrm>
          <a:off x="9124950" y="49149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15</xdr:row>
      <xdr:rowOff>57150</xdr:rowOff>
    </xdr:from>
    <xdr:to>
      <xdr:col>10</xdr:col>
      <xdr:colOff>47626</xdr:colOff>
      <xdr:row>17</xdr:row>
      <xdr:rowOff>47625</xdr:rowOff>
    </xdr:to>
    <xdr:sp macro="[0]!DefenseOrochi" textlink="">
      <xdr:nvSpPr>
        <xdr:cNvPr id="21" name="Bevel 20"/>
        <xdr:cNvSpPr/>
      </xdr:nvSpPr>
      <xdr:spPr>
        <a:xfrm>
          <a:off x="9124950" y="44196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13</xdr:row>
      <xdr:rowOff>57150</xdr:rowOff>
    </xdr:from>
    <xdr:to>
      <xdr:col>10</xdr:col>
      <xdr:colOff>47626</xdr:colOff>
      <xdr:row>15</xdr:row>
      <xdr:rowOff>47625</xdr:rowOff>
    </xdr:to>
    <xdr:sp macro="[0]!DefenseNaya" textlink="">
      <xdr:nvSpPr>
        <xdr:cNvPr id="22" name="Bevel 21"/>
        <xdr:cNvSpPr/>
      </xdr:nvSpPr>
      <xdr:spPr>
        <a:xfrm>
          <a:off x="9124950" y="39243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11</xdr:row>
      <xdr:rowOff>57150</xdr:rowOff>
    </xdr:from>
    <xdr:to>
      <xdr:col>10</xdr:col>
      <xdr:colOff>47626</xdr:colOff>
      <xdr:row>13</xdr:row>
      <xdr:rowOff>47625</xdr:rowOff>
    </xdr:to>
    <xdr:sp macro="[0]!DefenseMurasa" textlink="">
      <xdr:nvSpPr>
        <xdr:cNvPr id="23" name="Bevel 22"/>
        <xdr:cNvSpPr/>
      </xdr:nvSpPr>
      <xdr:spPr>
        <a:xfrm>
          <a:off x="9124950" y="34290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9</xdr:row>
      <xdr:rowOff>57150</xdr:rowOff>
    </xdr:from>
    <xdr:to>
      <xdr:col>10</xdr:col>
      <xdr:colOff>47626</xdr:colOff>
      <xdr:row>11</xdr:row>
      <xdr:rowOff>47625</xdr:rowOff>
    </xdr:to>
    <xdr:sp macro="[0]!DefenseLlanowar" textlink="">
      <xdr:nvSpPr>
        <xdr:cNvPr id="24" name="Bevel 23"/>
        <xdr:cNvSpPr/>
      </xdr:nvSpPr>
      <xdr:spPr>
        <a:xfrm>
          <a:off x="9124950" y="29337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7</xdr:row>
      <xdr:rowOff>57150</xdr:rowOff>
    </xdr:from>
    <xdr:to>
      <xdr:col>10</xdr:col>
      <xdr:colOff>47626</xdr:colOff>
      <xdr:row>9</xdr:row>
      <xdr:rowOff>47625</xdr:rowOff>
    </xdr:to>
    <xdr:sp macro="[0]!DefenseKessig" textlink="">
      <xdr:nvSpPr>
        <xdr:cNvPr id="25" name="Bevel 24"/>
        <xdr:cNvSpPr/>
      </xdr:nvSpPr>
      <xdr:spPr>
        <a:xfrm>
          <a:off x="9124950" y="2438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5</xdr:row>
      <xdr:rowOff>57150</xdr:rowOff>
    </xdr:from>
    <xdr:to>
      <xdr:col>10</xdr:col>
      <xdr:colOff>47626</xdr:colOff>
      <xdr:row>7</xdr:row>
      <xdr:rowOff>47625</xdr:rowOff>
    </xdr:to>
    <xdr:sp macro="[0]!DefenseGroveDreampods" textlink="">
      <xdr:nvSpPr>
        <xdr:cNvPr id="26" name="Bevel 25"/>
        <xdr:cNvSpPr/>
      </xdr:nvSpPr>
      <xdr:spPr>
        <a:xfrm>
          <a:off x="9124950" y="1943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3</xdr:row>
      <xdr:rowOff>57150</xdr:rowOff>
    </xdr:from>
    <xdr:to>
      <xdr:col>10</xdr:col>
      <xdr:colOff>47626</xdr:colOff>
      <xdr:row>5</xdr:row>
      <xdr:rowOff>47625</xdr:rowOff>
    </xdr:to>
    <xdr:sp macro="[0]!DefenseElorenWilds" textlink="">
      <xdr:nvSpPr>
        <xdr:cNvPr id="27" name="Bevel 26"/>
        <xdr:cNvSpPr/>
      </xdr:nvSpPr>
      <xdr:spPr>
        <a:xfrm>
          <a:off x="9124950" y="1447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3</xdr:row>
      <xdr:rowOff>57150</xdr:rowOff>
    </xdr:from>
    <xdr:to>
      <xdr:col>8</xdr:col>
      <xdr:colOff>47626</xdr:colOff>
      <xdr:row>5</xdr:row>
      <xdr:rowOff>47625</xdr:rowOff>
    </xdr:to>
    <xdr:sp macro="[0]!DefenseBloodhill" textlink="">
      <xdr:nvSpPr>
        <xdr:cNvPr id="28" name="Bevel 27"/>
        <xdr:cNvSpPr/>
      </xdr:nvSpPr>
      <xdr:spPr>
        <a:xfrm>
          <a:off x="6896100" y="1447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5</xdr:row>
      <xdr:rowOff>57150</xdr:rowOff>
    </xdr:from>
    <xdr:to>
      <xdr:col>8</xdr:col>
      <xdr:colOff>47626</xdr:colOff>
      <xdr:row>7</xdr:row>
      <xdr:rowOff>47625</xdr:rowOff>
    </xdr:to>
    <xdr:sp macro="[0]!DefenseFeedingGrounds" textlink="">
      <xdr:nvSpPr>
        <xdr:cNvPr id="29" name="Bevel 28"/>
        <xdr:cNvSpPr/>
      </xdr:nvSpPr>
      <xdr:spPr>
        <a:xfrm>
          <a:off x="6896100" y="1943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7</xdr:row>
      <xdr:rowOff>57150</xdr:rowOff>
    </xdr:from>
    <xdr:to>
      <xdr:col>8</xdr:col>
      <xdr:colOff>47626</xdr:colOff>
      <xdr:row>9</xdr:row>
      <xdr:rowOff>47625</xdr:rowOff>
    </xdr:to>
    <xdr:sp macro="[0]!DefenseImmersturm" textlink="">
      <xdr:nvSpPr>
        <xdr:cNvPr id="30" name="Bevel 29"/>
        <xdr:cNvSpPr/>
      </xdr:nvSpPr>
      <xdr:spPr>
        <a:xfrm>
          <a:off x="6896100" y="2438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9</xdr:row>
      <xdr:rowOff>57150</xdr:rowOff>
    </xdr:from>
    <xdr:to>
      <xdr:col>8</xdr:col>
      <xdr:colOff>47626</xdr:colOff>
      <xdr:row>11</xdr:row>
      <xdr:rowOff>47625</xdr:rowOff>
    </xdr:to>
    <xdr:sp macro="[0]!DefenseSteamMaze" textlink="">
      <xdr:nvSpPr>
        <xdr:cNvPr id="31" name="Bevel 30"/>
        <xdr:cNvSpPr/>
      </xdr:nvSpPr>
      <xdr:spPr>
        <a:xfrm>
          <a:off x="6896100" y="29337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11</xdr:row>
      <xdr:rowOff>57150</xdr:rowOff>
    </xdr:from>
    <xdr:to>
      <xdr:col>8</xdr:col>
      <xdr:colOff>47626</xdr:colOff>
      <xdr:row>13</xdr:row>
      <xdr:rowOff>47625</xdr:rowOff>
    </xdr:to>
    <xdr:sp macro="[0]!DefenseJund" textlink="">
      <xdr:nvSpPr>
        <xdr:cNvPr id="32" name="Bevel 31"/>
        <xdr:cNvSpPr/>
      </xdr:nvSpPr>
      <xdr:spPr>
        <a:xfrm>
          <a:off x="6896100" y="34290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13</xdr:row>
      <xdr:rowOff>57150</xdr:rowOff>
    </xdr:from>
    <xdr:to>
      <xdr:col>8</xdr:col>
      <xdr:colOff>47626</xdr:colOff>
      <xdr:row>15</xdr:row>
      <xdr:rowOff>47625</xdr:rowOff>
    </xdr:to>
    <xdr:sp macro="[0]!DefenseKilnspire" textlink="">
      <xdr:nvSpPr>
        <xdr:cNvPr id="33" name="Bevel 32"/>
        <xdr:cNvSpPr/>
      </xdr:nvSpPr>
      <xdr:spPr>
        <a:xfrm>
          <a:off x="6896100" y="39243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15</xdr:row>
      <xdr:rowOff>57150</xdr:rowOff>
    </xdr:from>
    <xdr:to>
      <xdr:col>8</xdr:col>
      <xdr:colOff>47626</xdr:colOff>
      <xdr:row>17</xdr:row>
      <xdr:rowOff>47625</xdr:rowOff>
    </xdr:to>
    <xdr:sp macro="[0]!DefenseMirroredDepths" textlink="">
      <xdr:nvSpPr>
        <xdr:cNvPr id="34" name="Bevel 33"/>
        <xdr:cNvSpPr/>
      </xdr:nvSpPr>
      <xdr:spPr>
        <a:xfrm>
          <a:off x="6896100" y="44196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17</xdr:row>
      <xdr:rowOff>57150</xdr:rowOff>
    </xdr:from>
    <xdr:to>
      <xdr:col>8</xdr:col>
      <xdr:colOff>47626</xdr:colOff>
      <xdr:row>19</xdr:row>
      <xdr:rowOff>47625</xdr:rowOff>
    </xdr:to>
    <xdr:sp macro="[0]!DefenseMountKeralia" textlink="">
      <xdr:nvSpPr>
        <xdr:cNvPr id="35" name="Bevel 34"/>
        <xdr:cNvSpPr/>
      </xdr:nvSpPr>
      <xdr:spPr>
        <a:xfrm>
          <a:off x="6896100" y="49149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19</xdr:row>
      <xdr:rowOff>57150</xdr:rowOff>
    </xdr:from>
    <xdr:to>
      <xdr:col>8</xdr:col>
      <xdr:colOff>47626</xdr:colOff>
      <xdr:row>21</xdr:row>
      <xdr:rowOff>47625</xdr:rowOff>
    </xdr:to>
    <xdr:sp macro="[0]!DefenseNaar" textlink="">
      <xdr:nvSpPr>
        <xdr:cNvPr id="36" name="Bevel 35"/>
        <xdr:cNvSpPr/>
      </xdr:nvSpPr>
      <xdr:spPr>
        <a:xfrm>
          <a:off x="6896100" y="54102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21</xdr:row>
      <xdr:rowOff>57150</xdr:rowOff>
    </xdr:from>
    <xdr:to>
      <xdr:col>8</xdr:col>
      <xdr:colOff>47626</xdr:colOff>
      <xdr:row>23</xdr:row>
      <xdr:rowOff>47625</xdr:rowOff>
    </xdr:to>
    <xdr:sp macro="[0]!DefenseShiv" textlink="">
      <xdr:nvSpPr>
        <xdr:cNvPr id="37" name="Bevel 36"/>
        <xdr:cNvSpPr/>
      </xdr:nvSpPr>
      <xdr:spPr>
        <a:xfrm>
          <a:off x="6896100" y="59055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23</xdr:row>
      <xdr:rowOff>57150</xdr:rowOff>
    </xdr:from>
    <xdr:to>
      <xdr:col>8</xdr:col>
      <xdr:colOff>47626</xdr:colOff>
      <xdr:row>25</xdr:row>
      <xdr:rowOff>47625</xdr:rowOff>
    </xdr:to>
    <xdr:sp macro="[0]!DefenseSokenzan" textlink="">
      <xdr:nvSpPr>
        <xdr:cNvPr id="38" name="Bevel 37"/>
        <xdr:cNvSpPr/>
      </xdr:nvSpPr>
      <xdr:spPr>
        <a:xfrm>
          <a:off x="6896100" y="6400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25</xdr:row>
      <xdr:rowOff>57150</xdr:rowOff>
    </xdr:from>
    <xdr:to>
      <xdr:col>8</xdr:col>
      <xdr:colOff>47626</xdr:colOff>
      <xdr:row>27</xdr:row>
      <xdr:rowOff>47625</xdr:rowOff>
    </xdr:to>
    <xdr:sp macro="[0]!DefenseStensia" textlink="">
      <xdr:nvSpPr>
        <xdr:cNvPr id="39" name="Bevel 38"/>
        <xdr:cNvSpPr/>
      </xdr:nvSpPr>
      <xdr:spPr>
        <a:xfrm>
          <a:off x="6896100" y="6896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27</xdr:row>
      <xdr:rowOff>57150</xdr:rowOff>
    </xdr:from>
    <xdr:to>
      <xdr:col>8</xdr:col>
      <xdr:colOff>47626</xdr:colOff>
      <xdr:row>29</xdr:row>
      <xdr:rowOff>47625</xdr:rowOff>
    </xdr:to>
    <xdr:sp macro="[0]!DefenseStrongholdFurnace" textlink="">
      <xdr:nvSpPr>
        <xdr:cNvPr id="40" name="Bevel 39"/>
        <xdr:cNvSpPr/>
      </xdr:nvSpPr>
      <xdr:spPr>
        <a:xfrm>
          <a:off x="6896100" y="7391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27</xdr:row>
      <xdr:rowOff>57150</xdr:rowOff>
    </xdr:from>
    <xdr:to>
      <xdr:col>6</xdr:col>
      <xdr:colOff>47626</xdr:colOff>
      <xdr:row>29</xdr:row>
      <xdr:rowOff>47625</xdr:rowOff>
    </xdr:to>
    <xdr:sp macro="[0]!DefenseTakenuma" textlink="">
      <xdr:nvSpPr>
        <xdr:cNvPr id="41" name="Bevel 40"/>
        <xdr:cNvSpPr/>
      </xdr:nvSpPr>
      <xdr:spPr>
        <a:xfrm>
          <a:off x="4667250" y="7391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25</xdr:row>
      <xdr:rowOff>57150</xdr:rowOff>
    </xdr:from>
    <xdr:to>
      <xdr:col>6</xdr:col>
      <xdr:colOff>47626</xdr:colOff>
      <xdr:row>27</xdr:row>
      <xdr:rowOff>47625</xdr:rowOff>
    </xdr:to>
    <xdr:sp macro="[0]!DefenseFourthSphere" textlink="">
      <xdr:nvSpPr>
        <xdr:cNvPr id="42" name="Bevel 41"/>
        <xdr:cNvSpPr/>
      </xdr:nvSpPr>
      <xdr:spPr>
        <a:xfrm>
          <a:off x="4667250" y="6896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23</xdr:row>
      <xdr:rowOff>57150</xdr:rowOff>
    </xdr:from>
    <xdr:to>
      <xdr:col>6</xdr:col>
      <xdr:colOff>47626</xdr:colOff>
      <xdr:row>25</xdr:row>
      <xdr:rowOff>47625</xdr:rowOff>
    </xdr:to>
    <xdr:sp macro="[0]!DefenseDarkBarony" textlink="">
      <xdr:nvSpPr>
        <xdr:cNvPr id="43" name="Bevel 42"/>
        <xdr:cNvSpPr/>
      </xdr:nvSpPr>
      <xdr:spPr>
        <a:xfrm>
          <a:off x="4667250" y="6400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21</xdr:row>
      <xdr:rowOff>57150</xdr:rowOff>
    </xdr:from>
    <xdr:to>
      <xdr:col>6</xdr:col>
      <xdr:colOff>47626</xdr:colOff>
      <xdr:row>23</xdr:row>
      <xdr:rowOff>47625</xdr:rowOff>
    </xdr:to>
    <xdr:sp macro="[0]!DefenseTemberCity" textlink="">
      <xdr:nvSpPr>
        <xdr:cNvPr id="44" name="Bevel 43"/>
        <xdr:cNvSpPr/>
      </xdr:nvSpPr>
      <xdr:spPr>
        <a:xfrm>
          <a:off x="4667250" y="59055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19</xdr:row>
      <xdr:rowOff>57150</xdr:rowOff>
    </xdr:from>
    <xdr:to>
      <xdr:col>6</xdr:col>
      <xdr:colOff>47626</xdr:colOff>
      <xdr:row>21</xdr:row>
      <xdr:rowOff>47625</xdr:rowOff>
    </xdr:to>
    <xdr:sp macro="[0]!DefenseRavensRun" textlink="">
      <xdr:nvSpPr>
        <xdr:cNvPr id="45" name="Bevel 44"/>
        <xdr:cNvSpPr/>
      </xdr:nvSpPr>
      <xdr:spPr>
        <a:xfrm>
          <a:off x="4667250" y="54102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17</xdr:row>
      <xdr:rowOff>57150</xdr:rowOff>
    </xdr:from>
    <xdr:to>
      <xdr:col>6</xdr:col>
      <xdr:colOff>47626</xdr:colOff>
      <xdr:row>19</xdr:row>
      <xdr:rowOff>47625</xdr:rowOff>
    </xdr:to>
    <xdr:sp macro="[0]!DefenseOnakkeCatacomb" textlink="">
      <xdr:nvSpPr>
        <xdr:cNvPr id="46" name="Bevel 45"/>
        <xdr:cNvSpPr/>
      </xdr:nvSpPr>
      <xdr:spPr>
        <a:xfrm>
          <a:off x="4667250" y="49149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15</xdr:row>
      <xdr:rowOff>57150</xdr:rowOff>
    </xdr:from>
    <xdr:to>
      <xdr:col>6</xdr:col>
      <xdr:colOff>47626</xdr:colOff>
      <xdr:row>17</xdr:row>
      <xdr:rowOff>47625</xdr:rowOff>
    </xdr:to>
    <xdr:sp macro="[0]!DefenseNorn" textlink="">
      <xdr:nvSpPr>
        <xdr:cNvPr id="47" name="Bevel 46"/>
        <xdr:cNvSpPr/>
      </xdr:nvSpPr>
      <xdr:spPr>
        <a:xfrm>
          <a:off x="4667250" y="44196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13</xdr:row>
      <xdr:rowOff>57150</xdr:rowOff>
    </xdr:from>
    <xdr:to>
      <xdr:col>6</xdr:col>
      <xdr:colOff>47626</xdr:colOff>
      <xdr:row>15</xdr:row>
      <xdr:rowOff>47625</xdr:rowOff>
    </xdr:to>
    <xdr:sp macro="[0]!DefenseNephalia" textlink="">
      <xdr:nvSpPr>
        <xdr:cNvPr id="48" name="Bevel 47"/>
        <xdr:cNvSpPr/>
      </xdr:nvSpPr>
      <xdr:spPr>
        <a:xfrm>
          <a:off x="4667250" y="39243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11</xdr:row>
      <xdr:rowOff>57150</xdr:rowOff>
    </xdr:from>
    <xdr:to>
      <xdr:col>6</xdr:col>
      <xdr:colOff>47626</xdr:colOff>
      <xdr:row>13</xdr:row>
      <xdr:rowOff>47625</xdr:rowOff>
    </xdr:to>
    <xdr:sp macro="[0]!DefendLairAshen" textlink="">
      <xdr:nvSpPr>
        <xdr:cNvPr id="49" name="Bevel 48"/>
        <xdr:cNvSpPr/>
      </xdr:nvSpPr>
      <xdr:spPr>
        <a:xfrm>
          <a:off x="4667250" y="34290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9</xdr:row>
      <xdr:rowOff>57150</xdr:rowOff>
    </xdr:from>
    <xdr:to>
      <xdr:col>6</xdr:col>
      <xdr:colOff>47626</xdr:colOff>
      <xdr:row>11</xdr:row>
      <xdr:rowOff>47625</xdr:rowOff>
    </xdr:to>
    <xdr:sp macro="[0]!DefendGrixis" textlink="">
      <xdr:nvSpPr>
        <xdr:cNvPr id="50" name="Bevel 49"/>
        <xdr:cNvSpPr/>
      </xdr:nvSpPr>
      <xdr:spPr>
        <a:xfrm>
          <a:off x="4667250" y="29337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7</xdr:row>
      <xdr:rowOff>57150</xdr:rowOff>
    </xdr:from>
    <xdr:to>
      <xdr:col>6</xdr:col>
      <xdr:colOff>47626</xdr:colOff>
      <xdr:row>9</xdr:row>
      <xdr:rowOff>47625</xdr:rowOff>
    </xdr:to>
    <xdr:sp macro="[0]!DefenseGrandOssuary" textlink="">
      <xdr:nvSpPr>
        <xdr:cNvPr id="51" name="Bevel 50"/>
        <xdr:cNvSpPr/>
      </xdr:nvSpPr>
      <xdr:spPr>
        <a:xfrm>
          <a:off x="4667250" y="2438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5</xdr:row>
      <xdr:rowOff>57150</xdr:rowOff>
    </xdr:from>
    <xdr:to>
      <xdr:col>6</xdr:col>
      <xdr:colOff>47626</xdr:colOff>
      <xdr:row>7</xdr:row>
      <xdr:rowOff>47625</xdr:rowOff>
    </xdr:to>
    <xdr:sp macro="[0]!DefenseFurnaceLayer" textlink="">
      <xdr:nvSpPr>
        <xdr:cNvPr id="52" name="Bevel 51"/>
        <xdr:cNvSpPr/>
      </xdr:nvSpPr>
      <xdr:spPr>
        <a:xfrm>
          <a:off x="4667250" y="1943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3</xdr:row>
      <xdr:rowOff>57150</xdr:rowOff>
    </xdr:from>
    <xdr:to>
      <xdr:col>6</xdr:col>
      <xdr:colOff>47626</xdr:colOff>
      <xdr:row>5</xdr:row>
      <xdr:rowOff>47625</xdr:rowOff>
    </xdr:to>
    <xdr:sp macro="[0]!DefenseAcademy" textlink="">
      <xdr:nvSpPr>
        <xdr:cNvPr id="53" name="Bevel 52"/>
        <xdr:cNvSpPr/>
      </xdr:nvSpPr>
      <xdr:spPr>
        <a:xfrm>
          <a:off x="4667250" y="1447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5</xdr:row>
      <xdr:rowOff>57150</xdr:rowOff>
    </xdr:from>
    <xdr:to>
      <xdr:col>4</xdr:col>
      <xdr:colOff>47626</xdr:colOff>
      <xdr:row>7</xdr:row>
      <xdr:rowOff>47625</xdr:rowOff>
    </xdr:to>
    <xdr:sp macro="[0]!DefenseCelestineReef" textlink="">
      <xdr:nvSpPr>
        <xdr:cNvPr id="55" name="Bevel 54"/>
        <xdr:cNvSpPr/>
      </xdr:nvSpPr>
      <xdr:spPr>
        <a:xfrm>
          <a:off x="2438400" y="1943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7</xdr:row>
      <xdr:rowOff>57150</xdr:rowOff>
    </xdr:from>
    <xdr:to>
      <xdr:col>4</xdr:col>
      <xdr:colOff>47626</xdr:colOff>
      <xdr:row>9</xdr:row>
      <xdr:rowOff>47625</xdr:rowOff>
    </xdr:to>
    <xdr:sp macro="[0]!DefenseEdgeofMalacol" textlink="">
      <xdr:nvSpPr>
        <xdr:cNvPr id="56" name="Bevel 55"/>
        <xdr:cNvSpPr/>
      </xdr:nvSpPr>
      <xdr:spPr>
        <a:xfrm>
          <a:off x="2438400" y="2438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9</xdr:row>
      <xdr:rowOff>57150</xdr:rowOff>
    </xdr:from>
    <xdr:to>
      <xdr:col>4</xdr:col>
      <xdr:colOff>47626</xdr:colOff>
      <xdr:row>11</xdr:row>
      <xdr:rowOff>47625</xdr:rowOff>
    </xdr:to>
    <xdr:sp macro="[0]!DefenseLetheLake" textlink="">
      <xdr:nvSpPr>
        <xdr:cNvPr id="57" name="Bevel 56"/>
        <xdr:cNvSpPr/>
      </xdr:nvSpPr>
      <xdr:spPr>
        <a:xfrm>
          <a:off x="2438400" y="29337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11</xdr:row>
      <xdr:rowOff>57150</xdr:rowOff>
    </xdr:from>
    <xdr:to>
      <xdr:col>4</xdr:col>
      <xdr:colOff>47626</xdr:colOff>
      <xdr:row>13</xdr:row>
      <xdr:rowOff>47625</xdr:rowOff>
    </xdr:to>
    <xdr:sp macro="[0]!DefenseMinamo" textlink="">
      <xdr:nvSpPr>
        <xdr:cNvPr id="58" name="Bevel 57"/>
        <xdr:cNvSpPr/>
      </xdr:nvSpPr>
      <xdr:spPr>
        <a:xfrm>
          <a:off x="2438400" y="34290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13</xdr:row>
      <xdr:rowOff>57150</xdr:rowOff>
    </xdr:from>
    <xdr:to>
      <xdr:col>4</xdr:col>
      <xdr:colOff>47626</xdr:colOff>
      <xdr:row>15</xdr:row>
      <xdr:rowOff>47625</xdr:rowOff>
    </xdr:to>
    <xdr:sp macro="[0]!DefensePanopticon" textlink="">
      <xdr:nvSpPr>
        <xdr:cNvPr id="59" name="Bevel 58"/>
        <xdr:cNvSpPr/>
      </xdr:nvSpPr>
      <xdr:spPr>
        <a:xfrm>
          <a:off x="2438400" y="39243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15</xdr:row>
      <xdr:rowOff>57150</xdr:rowOff>
    </xdr:from>
    <xdr:to>
      <xdr:col>4</xdr:col>
      <xdr:colOff>47626</xdr:colOff>
      <xdr:row>17</xdr:row>
      <xdr:rowOff>47625</xdr:rowOff>
    </xdr:to>
    <xdr:sp macro="[0]!DefenseQuicksilver" textlink="">
      <xdr:nvSpPr>
        <xdr:cNvPr id="60" name="Bevel 59"/>
        <xdr:cNvSpPr/>
      </xdr:nvSpPr>
      <xdr:spPr>
        <a:xfrm>
          <a:off x="2438400" y="44196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17</xdr:row>
      <xdr:rowOff>57150</xdr:rowOff>
    </xdr:from>
    <xdr:to>
      <xdr:col>4</xdr:col>
      <xdr:colOff>47626</xdr:colOff>
      <xdr:row>19</xdr:row>
      <xdr:rowOff>47625</xdr:rowOff>
    </xdr:to>
    <xdr:sp macro="[0]!DefenseTalonGates" textlink="">
      <xdr:nvSpPr>
        <xdr:cNvPr id="61" name="Bevel 60"/>
        <xdr:cNvSpPr/>
      </xdr:nvSpPr>
      <xdr:spPr>
        <a:xfrm>
          <a:off x="2438400" y="49149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19</xdr:row>
      <xdr:rowOff>57150</xdr:rowOff>
    </xdr:from>
    <xdr:to>
      <xdr:col>4</xdr:col>
      <xdr:colOff>47626</xdr:colOff>
      <xdr:row>21</xdr:row>
      <xdr:rowOff>47625</xdr:rowOff>
    </xdr:to>
    <xdr:sp macro="[0]!DefenseEonFog" textlink="">
      <xdr:nvSpPr>
        <xdr:cNvPr id="62" name="Bevel 61"/>
        <xdr:cNvSpPr/>
      </xdr:nvSpPr>
      <xdr:spPr>
        <a:xfrm>
          <a:off x="2438400" y="54102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21</xdr:row>
      <xdr:rowOff>57150</xdr:rowOff>
    </xdr:from>
    <xdr:to>
      <xdr:col>4</xdr:col>
      <xdr:colOff>47626</xdr:colOff>
      <xdr:row>23</xdr:row>
      <xdr:rowOff>47625</xdr:rowOff>
    </xdr:to>
    <xdr:sp macro="[0]!DefenseZephyrMaze" textlink="">
      <xdr:nvSpPr>
        <xdr:cNvPr id="63" name="Bevel 62"/>
        <xdr:cNvSpPr/>
      </xdr:nvSpPr>
      <xdr:spPr>
        <a:xfrm>
          <a:off x="2438400" y="59055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23</xdr:row>
      <xdr:rowOff>57150</xdr:rowOff>
    </xdr:from>
    <xdr:to>
      <xdr:col>4</xdr:col>
      <xdr:colOff>47626</xdr:colOff>
      <xdr:row>25</xdr:row>
      <xdr:rowOff>47625</xdr:rowOff>
    </xdr:to>
    <xdr:sp macro="[0]!DefenseTrailMageRings" textlink="">
      <xdr:nvSpPr>
        <xdr:cNvPr id="64" name="Bevel 63"/>
        <xdr:cNvSpPr/>
      </xdr:nvSpPr>
      <xdr:spPr>
        <a:xfrm>
          <a:off x="2438400" y="6400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25</xdr:row>
      <xdr:rowOff>57150</xdr:rowOff>
    </xdr:from>
    <xdr:to>
      <xdr:col>4</xdr:col>
      <xdr:colOff>47626</xdr:colOff>
      <xdr:row>27</xdr:row>
      <xdr:rowOff>47625</xdr:rowOff>
    </xdr:to>
    <xdr:sp macro="[0]!DefenseUndercityReaches" textlink="">
      <xdr:nvSpPr>
        <xdr:cNvPr id="65" name="Bevel 64"/>
        <xdr:cNvSpPr/>
      </xdr:nvSpPr>
      <xdr:spPr>
        <a:xfrm>
          <a:off x="2438400" y="6896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27</xdr:row>
      <xdr:rowOff>57150</xdr:rowOff>
    </xdr:from>
    <xdr:to>
      <xdr:col>4</xdr:col>
      <xdr:colOff>47626</xdr:colOff>
      <xdr:row>29</xdr:row>
      <xdr:rowOff>47625</xdr:rowOff>
    </xdr:to>
    <xdr:sp macro="[0]!DefenseWindriddlePalaces" textlink="">
      <xdr:nvSpPr>
        <xdr:cNvPr id="67" name="Bevel 66"/>
        <xdr:cNvSpPr/>
      </xdr:nvSpPr>
      <xdr:spPr>
        <a:xfrm>
          <a:off x="2438400" y="7391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11</xdr:row>
      <xdr:rowOff>57150</xdr:rowOff>
    </xdr:from>
    <xdr:to>
      <xdr:col>2</xdr:col>
      <xdr:colOff>47626</xdr:colOff>
      <xdr:row>13</xdr:row>
      <xdr:rowOff>47625</xdr:rowOff>
    </xdr:to>
    <xdr:sp macro="[0]!DefenseCliffsideMarket" textlink="">
      <xdr:nvSpPr>
        <xdr:cNvPr id="72" name="Bevel 71"/>
        <xdr:cNvSpPr/>
      </xdr:nvSpPr>
      <xdr:spPr>
        <a:xfrm>
          <a:off x="200025" y="34290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13</xdr:row>
      <xdr:rowOff>57150</xdr:rowOff>
    </xdr:from>
    <xdr:to>
      <xdr:col>2</xdr:col>
      <xdr:colOff>47626</xdr:colOff>
      <xdr:row>15</xdr:row>
      <xdr:rowOff>47625</xdr:rowOff>
    </xdr:to>
    <xdr:sp macro="[0]!DefenseFieldsofSummer" textlink="">
      <xdr:nvSpPr>
        <xdr:cNvPr id="73" name="Bevel 72"/>
        <xdr:cNvSpPr/>
      </xdr:nvSpPr>
      <xdr:spPr>
        <a:xfrm>
          <a:off x="200025" y="39243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15</xdr:row>
      <xdr:rowOff>57150</xdr:rowOff>
    </xdr:from>
    <xdr:to>
      <xdr:col>2</xdr:col>
      <xdr:colOff>47626</xdr:colOff>
      <xdr:row>17</xdr:row>
      <xdr:rowOff>47625</xdr:rowOff>
    </xdr:to>
    <xdr:sp macro="[0]!DefenseGavony" textlink="">
      <xdr:nvSpPr>
        <xdr:cNvPr id="74" name="Bevel 73"/>
        <xdr:cNvSpPr/>
      </xdr:nvSpPr>
      <xdr:spPr>
        <a:xfrm>
          <a:off x="200025" y="44196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17</xdr:row>
      <xdr:rowOff>57150</xdr:rowOff>
    </xdr:from>
    <xdr:to>
      <xdr:col>2</xdr:col>
      <xdr:colOff>47626</xdr:colOff>
      <xdr:row>19</xdr:row>
      <xdr:rowOff>47625</xdr:rowOff>
    </xdr:to>
    <xdr:sp macro="[0]!DefenseGoldmeadow" textlink="">
      <xdr:nvSpPr>
        <xdr:cNvPr id="75" name="Bevel 74"/>
        <xdr:cNvSpPr/>
      </xdr:nvSpPr>
      <xdr:spPr>
        <a:xfrm>
          <a:off x="200025" y="49149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19</xdr:row>
      <xdr:rowOff>57150</xdr:rowOff>
    </xdr:from>
    <xdr:to>
      <xdr:col>2</xdr:col>
      <xdr:colOff>47626</xdr:colOff>
      <xdr:row>21</xdr:row>
      <xdr:rowOff>47625</xdr:rowOff>
    </xdr:to>
    <xdr:sp macro="[0]!DefenseIsleVesuva" textlink="">
      <xdr:nvSpPr>
        <xdr:cNvPr id="76" name="Bevel 75"/>
        <xdr:cNvSpPr/>
      </xdr:nvSpPr>
      <xdr:spPr>
        <a:xfrm>
          <a:off x="200025" y="54102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21</xdr:row>
      <xdr:rowOff>57150</xdr:rowOff>
    </xdr:from>
    <xdr:to>
      <xdr:col>2</xdr:col>
      <xdr:colOff>47626</xdr:colOff>
      <xdr:row>23</xdr:row>
      <xdr:rowOff>47625</xdr:rowOff>
    </xdr:to>
    <xdr:sp macro="[0]!DefenseOrzhova" textlink="">
      <xdr:nvSpPr>
        <xdr:cNvPr id="77" name="Bevel 76"/>
        <xdr:cNvSpPr/>
      </xdr:nvSpPr>
      <xdr:spPr>
        <a:xfrm>
          <a:off x="200025" y="59055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23</xdr:row>
      <xdr:rowOff>57150</xdr:rowOff>
    </xdr:from>
    <xdr:to>
      <xdr:col>2</xdr:col>
      <xdr:colOff>47626</xdr:colOff>
      <xdr:row>25</xdr:row>
      <xdr:rowOff>47625</xdr:rowOff>
    </xdr:to>
    <xdr:sp macro="[0]!DefensePrahv" textlink="">
      <xdr:nvSpPr>
        <xdr:cNvPr id="78" name="Bevel 77"/>
        <xdr:cNvSpPr/>
      </xdr:nvSpPr>
      <xdr:spPr>
        <a:xfrm>
          <a:off x="200025" y="6400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25</xdr:row>
      <xdr:rowOff>57150</xdr:rowOff>
    </xdr:from>
    <xdr:to>
      <xdr:col>2</xdr:col>
      <xdr:colOff>47626</xdr:colOff>
      <xdr:row>27</xdr:row>
      <xdr:rowOff>47625</xdr:rowOff>
    </xdr:to>
    <xdr:sp macro="[0]!DefenseSanctumSerra" textlink="">
      <xdr:nvSpPr>
        <xdr:cNvPr id="79" name="Bevel 78"/>
        <xdr:cNvSpPr/>
      </xdr:nvSpPr>
      <xdr:spPr>
        <a:xfrm>
          <a:off x="200025" y="6896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27</xdr:row>
      <xdr:rowOff>57150</xdr:rowOff>
    </xdr:from>
    <xdr:to>
      <xdr:col>2</xdr:col>
      <xdr:colOff>47626</xdr:colOff>
      <xdr:row>29</xdr:row>
      <xdr:rowOff>47625</xdr:rowOff>
    </xdr:to>
    <xdr:sp macro="[0]!DefenseSeaSand" textlink="">
      <xdr:nvSpPr>
        <xdr:cNvPr id="80" name="Bevel 79"/>
        <xdr:cNvSpPr/>
      </xdr:nvSpPr>
      <xdr:spPr>
        <a:xfrm>
          <a:off x="200025" y="7391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9</xdr:row>
      <xdr:rowOff>57150</xdr:rowOff>
    </xdr:from>
    <xdr:to>
      <xdr:col>2</xdr:col>
      <xdr:colOff>47626</xdr:colOff>
      <xdr:row>11</xdr:row>
      <xdr:rowOff>47625</xdr:rowOff>
    </xdr:to>
    <xdr:sp macro="[0]!DefenseBant" textlink="">
      <xdr:nvSpPr>
        <xdr:cNvPr id="226" name="Bevel 225"/>
        <xdr:cNvSpPr/>
      </xdr:nvSpPr>
      <xdr:spPr>
        <a:xfrm>
          <a:off x="200025" y="29337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7</xdr:row>
      <xdr:rowOff>57150</xdr:rowOff>
    </xdr:from>
    <xdr:to>
      <xdr:col>2</xdr:col>
      <xdr:colOff>47626</xdr:colOff>
      <xdr:row>9</xdr:row>
      <xdr:rowOff>47625</xdr:rowOff>
    </xdr:to>
    <xdr:sp macro="[0]!DefenseAretopolis" textlink="">
      <xdr:nvSpPr>
        <xdr:cNvPr id="227" name="Bevel 226"/>
        <xdr:cNvSpPr/>
      </xdr:nvSpPr>
      <xdr:spPr>
        <a:xfrm>
          <a:off x="200025" y="2438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5</xdr:row>
      <xdr:rowOff>57150</xdr:rowOff>
    </xdr:from>
    <xdr:to>
      <xdr:col>2</xdr:col>
      <xdr:colOff>47626</xdr:colOff>
      <xdr:row>7</xdr:row>
      <xdr:rowOff>47625</xdr:rowOff>
    </xdr:to>
    <xdr:sp macro="[0]!DefenseAkoum" textlink="">
      <xdr:nvSpPr>
        <xdr:cNvPr id="228" name="Bevel 227"/>
        <xdr:cNvSpPr/>
      </xdr:nvSpPr>
      <xdr:spPr>
        <a:xfrm>
          <a:off x="200025" y="1943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3</xdr:row>
      <xdr:rowOff>57150</xdr:rowOff>
    </xdr:from>
    <xdr:to>
      <xdr:col>4</xdr:col>
      <xdr:colOff>47626</xdr:colOff>
      <xdr:row>5</xdr:row>
      <xdr:rowOff>47625</xdr:rowOff>
    </xdr:to>
    <xdr:sp macro="[0]!DefenseGlenElendra" textlink="">
      <xdr:nvSpPr>
        <xdr:cNvPr id="229" name="Bevel 228"/>
        <xdr:cNvSpPr/>
      </xdr:nvSpPr>
      <xdr:spPr>
        <a:xfrm>
          <a:off x="2438400" y="1447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3</xdr:row>
      <xdr:rowOff>57150</xdr:rowOff>
    </xdr:from>
    <xdr:to>
      <xdr:col>2</xdr:col>
      <xdr:colOff>47626</xdr:colOff>
      <xdr:row>5</xdr:row>
      <xdr:rowOff>47625</xdr:rowOff>
    </xdr:to>
    <xdr:sp macro="[0]!DefenseAgyrem" textlink="">
      <xdr:nvSpPr>
        <xdr:cNvPr id="230" name="Bevel 229"/>
        <xdr:cNvSpPr/>
      </xdr:nvSpPr>
      <xdr:spPr>
        <a:xfrm>
          <a:off x="200025" y="1447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xdr:col>
      <xdr:colOff>0</xdr:colOff>
      <xdr:row>0</xdr:row>
      <xdr:rowOff>190499</xdr:rowOff>
    </xdr:from>
    <xdr:to>
      <xdr:col>11</xdr:col>
      <xdr:colOff>2105025</xdr:colOff>
      <xdr:row>2</xdr:row>
      <xdr:rowOff>561975</xdr:rowOff>
    </xdr:to>
    <xdr:sp macro="[0]!DefenseConfirm" textlink="">
      <xdr:nvSpPr>
        <xdr:cNvPr id="81" name="Bevel 80"/>
        <xdr:cNvSpPr/>
      </xdr:nvSpPr>
      <xdr:spPr>
        <a:xfrm>
          <a:off x="257175" y="190499"/>
          <a:ext cx="13258800" cy="1190626"/>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26</xdr:col>
      <xdr:colOff>209550</xdr:colOff>
      <xdr:row>45</xdr:row>
      <xdr:rowOff>133350</xdr:rowOff>
    </xdr:from>
    <xdr:to>
      <xdr:col>35</xdr:col>
      <xdr:colOff>66675</xdr:colOff>
      <xdr:row>49</xdr:row>
      <xdr:rowOff>38100</xdr:rowOff>
    </xdr:to>
    <xdr:sp macro="[0]!ClearSetup" textlink="">
      <xdr:nvSpPr>
        <xdr:cNvPr id="2" name="Bevel 1"/>
        <xdr:cNvSpPr/>
      </xdr:nvSpPr>
      <xdr:spPr>
        <a:xfrm>
          <a:off x="6715125" y="8791575"/>
          <a:ext cx="2085975" cy="666750"/>
        </a:xfrm>
        <a:prstGeom prst="bevel">
          <a:avLst/>
        </a:prstGeom>
        <a:solidFill>
          <a:srgbClr val="FFFF00"/>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Restart</a:t>
          </a:r>
          <a:r>
            <a:rPr lang="en-US" sz="1100" baseline="0">
              <a:solidFill>
                <a:sysClr val="windowText" lastClr="000000"/>
              </a:solidFill>
            </a:rPr>
            <a:t> Game</a:t>
          </a:r>
          <a:endParaRPr lang="en-US" sz="11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a:noFill/>
        </a:ln>
      </a:spPr>
      <a:bodyPr vertOverflow="clip" horzOverflow="clip" rtlCol="0" anchor="t"/>
      <a:lstStyle>
        <a:defPPr algn="l">
          <a:defRPr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S490"/>
  <sheetViews>
    <sheetView topLeftCell="A82" workbookViewId="0">
      <selection activeCell="J97" sqref="J97"/>
    </sheetView>
  </sheetViews>
  <sheetFormatPr defaultRowHeight="15" x14ac:dyDescent="0.25"/>
  <cols>
    <col min="1" max="1" width="9.42578125" style="92" bestFit="1" customWidth="1"/>
    <col min="2" max="2" width="11" style="92" bestFit="1" customWidth="1"/>
    <col min="3" max="7" width="5.7109375" style="92" customWidth="1"/>
    <col min="8" max="8" width="13.140625" style="92" bestFit="1" customWidth="1"/>
    <col min="9" max="9" width="13.140625" style="95" customWidth="1"/>
    <col min="10" max="10" width="38.85546875" style="92" bestFit="1" customWidth="1"/>
    <col min="11" max="11" width="7.7109375" style="92" bestFit="1" customWidth="1"/>
    <col min="12" max="12" width="26.28515625" style="95" bestFit="1" customWidth="1"/>
    <col min="13" max="13" width="7.7109375" style="95" customWidth="1"/>
    <col min="14" max="14" width="23.140625" style="92" bestFit="1" customWidth="1"/>
    <col min="15" max="15" width="5.85546875" style="92" bestFit="1" customWidth="1"/>
    <col min="16" max="16" width="18" style="92" bestFit="1" customWidth="1"/>
    <col min="17" max="17" width="5.28515625" style="92" bestFit="1" customWidth="1"/>
    <col min="18" max="18" width="5.28515625" style="95" customWidth="1"/>
    <col min="19" max="19" width="6.7109375" style="93" customWidth="1"/>
    <col min="20" max="20" width="9.140625" style="92"/>
    <col min="21" max="23" width="9.140625" style="136"/>
    <col min="24" max="16384" width="9.140625" style="92"/>
  </cols>
  <sheetData>
    <row r="1" spans="1:45" s="85" customFormat="1" ht="31.5" customHeight="1" x14ac:dyDescent="0.25">
      <c r="A1" s="85" t="s">
        <v>800</v>
      </c>
      <c r="B1" s="89"/>
      <c r="J1" s="85">
        <f>COUNTA(J10:J489)</f>
        <v>272</v>
      </c>
      <c r="S1" s="84"/>
    </row>
    <row r="2" spans="1:45" s="85" customFormat="1" x14ac:dyDescent="0.25"/>
    <row r="3" spans="1:45" s="85" customFormat="1" x14ac:dyDescent="0.25"/>
    <row r="4" spans="1:45" s="85" customFormat="1" x14ac:dyDescent="0.25">
      <c r="S4" s="84"/>
    </row>
    <row r="5" spans="1:45" s="85" customFormat="1" x14ac:dyDescent="0.25"/>
    <row r="6" spans="1:45" s="85" customFormat="1" x14ac:dyDescent="0.25">
      <c r="S6" s="84"/>
    </row>
    <row r="7" spans="1:45" s="85" customFormat="1" x14ac:dyDescent="0.25">
      <c r="B7" s="85">
        <f>COUNTIF(B10:B489,"Yes")</f>
        <v>272</v>
      </c>
      <c r="J7" s="85" t="s">
        <v>806</v>
      </c>
      <c r="S7" s="84"/>
    </row>
    <row r="8" spans="1:45" s="85" customFormat="1" x14ac:dyDescent="0.25">
      <c r="S8" s="84"/>
      <c r="Y8" s="97"/>
      <c r="Z8" s="97"/>
      <c r="AA8" s="97"/>
      <c r="AB8" s="97"/>
      <c r="AC8" s="97"/>
      <c r="AD8" s="97"/>
      <c r="AE8" s="97"/>
      <c r="AF8" s="97"/>
      <c r="AG8" s="97"/>
      <c r="AH8" s="97"/>
      <c r="AI8" s="97"/>
      <c r="AJ8" s="97"/>
      <c r="AK8" s="97"/>
      <c r="AL8" s="97"/>
      <c r="AM8" s="97"/>
      <c r="AN8" s="97"/>
      <c r="AO8" s="97"/>
      <c r="AP8" s="97"/>
      <c r="AQ8" s="97"/>
      <c r="AR8" s="97"/>
      <c r="AS8" s="97"/>
    </row>
    <row r="9" spans="1:45" x14ac:dyDescent="0.25">
      <c r="A9" s="92" t="s">
        <v>1011</v>
      </c>
      <c r="B9" s="92" t="s">
        <v>902</v>
      </c>
      <c r="H9" s="92" t="s">
        <v>815</v>
      </c>
      <c r="I9" s="95" t="s">
        <v>1010</v>
      </c>
      <c r="J9" s="92" t="s">
        <v>802</v>
      </c>
      <c r="K9" s="92" t="s">
        <v>2</v>
      </c>
      <c r="L9" s="95" t="s">
        <v>803</v>
      </c>
      <c r="M9" s="95" t="s">
        <v>811</v>
      </c>
      <c r="N9" s="92" t="s">
        <v>1</v>
      </c>
      <c r="O9" s="92" t="s">
        <v>389</v>
      </c>
      <c r="P9" s="92" t="s">
        <v>804</v>
      </c>
      <c r="X9" s="85" t="s">
        <v>3</v>
      </c>
      <c r="Y9" s="97" t="s">
        <v>4</v>
      </c>
      <c r="Z9" s="97" t="s">
        <v>5</v>
      </c>
      <c r="AA9" s="97" t="s">
        <v>6</v>
      </c>
      <c r="AB9" s="97" t="s">
        <v>7</v>
      </c>
      <c r="AC9" s="97" t="s">
        <v>8</v>
      </c>
      <c r="AD9" s="97"/>
      <c r="AE9" s="97"/>
      <c r="AF9" s="97"/>
      <c r="AG9" s="97"/>
      <c r="AH9" s="97"/>
      <c r="AI9" s="97"/>
      <c r="AJ9" s="97"/>
      <c r="AK9" s="97"/>
      <c r="AL9" s="97"/>
      <c r="AM9" s="97"/>
      <c r="AN9" s="97"/>
      <c r="AO9" s="97"/>
      <c r="AP9" s="97"/>
      <c r="AQ9" s="97"/>
      <c r="AR9" s="97"/>
      <c r="AS9" s="97"/>
    </row>
    <row r="10" spans="1:45" x14ac:dyDescent="0.25">
      <c r="A10" s="92">
        <v>100</v>
      </c>
      <c r="B10" s="92" t="str">
        <f>IF(COUNTBLANK(J10:M10)=0,"Yes","No")</f>
        <v>Yes</v>
      </c>
      <c r="H10" s="92" t="str">
        <f>IF(J10="","",$A$1&amp;"-"&amp;A10)</f>
        <v>PL1-100</v>
      </c>
      <c r="I10" s="98"/>
      <c r="J10" s="99" t="s">
        <v>878</v>
      </c>
      <c r="K10" s="99" t="s">
        <v>424</v>
      </c>
      <c r="L10" s="99" t="s">
        <v>30</v>
      </c>
      <c r="M10" s="99" t="s">
        <v>5</v>
      </c>
      <c r="N10" s="99" t="s">
        <v>1197</v>
      </c>
      <c r="O10" s="99">
        <v>100</v>
      </c>
      <c r="P10" s="99" t="s">
        <v>995</v>
      </c>
      <c r="Q10" s="99"/>
      <c r="R10" s="99"/>
      <c r="S10" s="98"/>
      <c r="T10" s="93"/>
      <c r="U10" s="93"/>
      <c r="V10" s="93"/>
      <c r="W10" s="93"/>
      <c r="X10" s="93">
        <f>IF($B10="Yes",COUNTIF(Reference!P$52:P$67,$K10),"")</f>
        <v>0</v>
      </c>
      <c r="Y10" s="93">
        <f>IF($B10="Yes",COUNTIF(Reference!Q$52:Q$67,$K10),"")</f>
        <v>0</v>
      </c>
      <c r="Z10" s="93">
        <f>IF($B10="Yes",COUNTIF(Reference!R$52:R$67,$K10),"")</f>
        <v>1</v>
      </c>
      <c r="AA10" s="93">
        <f>IF($B10="Yes",COUNTIF(Reference!S$52:S$67,$K10),"")</f>
        <v>1</v>
      </c>
      <c r="AB10" s="93">
        <f>IF($B10="Yes",COUNTIF(Reference!T$52:T$67,$K10),"")</f>
        <v>1</v>
      </c>
      <c r="AC10" s="93">
        <f>IF($B10="Yes",COUNTIF(K10,"N"),"")</f>
        <v>0</v>
      </c>
      <c r="AD10" s="97"/>
      <c r="AE10" s="97"/>
      <c r="AF10" s="97"/>
      <c r="AG10" s="97"/>
      <c r="AH10" s="97"/>
      <c r="AI10" s="97"/>
      <c r="AJ10" s="97"/>
      <c r="AK10" s="97"/>
      <c r="AL10" s="97"/>
      <c r="AM10" s="97"/>
      <c r="AN10" s="97"/>
      <c r="AO10" s="97"/>
      <c r="AP10" s="97"/>
      <c r="AQ10" s="97"/>
      <c r="AR10" s="97"/>
      <c r="AS10" s="97"/>
    </row>
    <row r="11" spans="1:45" x14ac:dyDescent="0.25">
      <c r="A11" s="92">
        <v>101</v>
      </c>
      <c r="B11" s="95" t="str">
        <f t="shared" ref="B11:B74" si="0">IF(COUNTBLANK(J11:M11)=0,"Yes","No")</f>
        <v>Yes</v>
      </c>
      <c r="H11" s="92" t="str">
        <f t="shared" ref="H11:H74" si="1">IF(J11="","",$A$1&amp;"-"&amp;A11)</f>
        <v>PL1-101</v>
      </c>
      <c r="I11" s="98"/>
      <c r="J11" s="99" t="s">
        <v>879</v>
      </c>
      <c r="K11" s="99" t="s">
        <v>459</v>
      </c>
      <c r="L11" s="99" t="s">
        <v>13</v>
      </c>
      <c r="M11" s="99" t="s">
        <v>807</v>
      </c>
      <c r="N11" s="99" t="s">
        <v>896</v>
      </c>
      <c r="O11" s="99">
        <v>60</v>
      </c>
      <c r="P11" s="99" t="s">
        <v>409</v>
      </c>
      <c r="Q11" s="99"/>
      <c r="R11" s="99"/>
      <c r="S11" s="98"/>
      <c r="T11" s="93"/>
      <c r="U11" s="93"/>
      <c r="V11" s="93"/>
      <c r="W11" s="93"/>
      <c r="X11" s="93">
        <f>IF($B11="Yes",COUNTIF(Reference!P$52:P$67,$K11),"")</f>
        <v>1</v>
      </c>
      <c r="Y11" s="93">
        <f>IF($B11="Yes",COUNTIF(Reference!Q$52:Q$67,$K11),"")</f>
        <v>1</v>
      </c>
      <c r="Z11" s="93">
        <f>IF($B11="Yes",COUNTIF(Reference!R$52:R$67,$K11),"")</f>
        <v>1</v>
      </c>
      <c r="AA11" s="93">
        <f>IF($B11="Yes",COUNTIF(Reference!S$52:S$67,$K11),"")</f>
        <v>1</v>
      </c>
      <c r="AB11" s="93">
        <f>IF($B11="Yes",COUNTIF(Reference!T$52:T$67,$K11),"")</f>
        <v>1</v>
      </c>
      <c r="AC11" s="93">
        <f t="shared" ref="AC11:AC74" si="2">IF($B11="Yes",COUNTIF(K11,"N"),"")</f>
        <v>0</v>
      </c>
      <c r="AD11" s="97"/>
      <c r="AE11" s="97"/>
      <c r="AF11" s="97"/>
      <c r="AG11" s="97"/>
      <c r="AH11" s="97"/>
      <c r="AI11" s="97"/>
      <c r="AJ11" s="97"/>
      <c r="AK11" s="97"/>
      <c r="AL11" s="97"/>
      <c r="AM11" s="97"/>
      <c r="AN11" s="97"/>
      <c r="AO11" s="97"/>
      <c r="AP11" s="97"/>
      <c r="AQ11" s="97"/>
      <c r="AR11" s="97"/>
      <c r="AS11" s="97"/>
    </row>
    <row r="12" spans="1:45" x14ac:dyDescent="0.25">
      <c r="A12" s="92">
        <v>102</v>
      </c>
      <c r="B12" s="95" t="str">
        <f t="shared" si="0"/>
        <v>Yes</v>
      </c>
      <c r="H12" s="92" t="str">
        <f t="shared" si="1"/>
        <v>PL1-102</v>
      </c>
      <c r="I12" s="98"/>
      <c r="J12" s="99" t="s">
        <v>1198</v>
      </c>
      <c r="K12" s="99" t="s">
        <v>459</v>
      </c>
      <c r="L12" s="99" t="s">
        <v>13</v>
      </c>
      <c r="M12" s="99" t="s">
        <v>5</v>
      </c>
      <c r="N12" s="99" t="s">
        <v>1199</v>
      </c>
      <c r="O12" s="99">
        <v>60</v>
      </c>
      <c r="P12" s="99" t="s">
        <v>995</v>
      </c>
      <c r="Q12" s="99"/>
      <c r="R12" s="99"/>
      <c r="S12" s="98"/>
      <c r="T12" s="93"/>
      <c r="U12" s="93"/>
      <c r="V12" s="93"/>
      <c r="W12" s="93"/>
      <c r="X12" s="93">
        <f>IF($B12="Yes",COUNTIF(Reference!P$52:P$67,$K12),"")</f>
        <v>1</v>
      </c>
      <c r="Y12" s="93">
        <f>IF($B12="Yes",COUNTIF(Reference!Q$52:Q$67,$K12),"")</f>
        <v>1</v>
      </c>
      <c r="Z12" s="93">
        <f>IF($B12="Yes",COUNTIF(Reference!R$52:R$67,$K12),"")</f>
        <v>1</v>
      </c>
      <c r="AA12" s="93">
        <f>IF($B12="Yes",COUNTIF(Reference!S$52:S$67,$K12),"")</f>
        <v>1</v>
      </c>
      <c r="AB12" s="93">
        <f>IF($B12="Yes",COUNTIF(Reference!T$52:T$67,$K12),"")</f>
        <v>1</v>
      </c>
      <c r="AC12" s="93">
        <f t="shared" si="2"/>
        <v>0</v>
      </c>
      <c r="AD12" s="97"/>
      <c r="AE12" s="97"/>
      <c r="AF12" s="97"/>
      <c r="AG12" s="97"/>
      <c r="AH12" s="97"/>
      <c r="AI12" s="97"/>
      <c r="AJ12" s="97"/>
      <c r="AK12" s="97"/>
      <c r="AL12" s="97"/>
      <c r="AM12" s="97"/>
      <c r="AN12" s="97"/>
      <c r="AO12" s="97"/>
      <c r="AP12" s="97"/>
      <c r="AQ12" s="97"/>
      <c r="AR12" s="97"/>
      <c r="AS12" s="97"/>
    </row>
    <row r="13" spans="1:45" x14ac:dyDescent="0.25">
      <c r="A13" s="92">
        <v>103</v>
      </c>
      <c r="B13" s="95" t="str">
        <f t="shared" si="0"/>
        <v>Yes</v>
      </c>
      <c r="H13" s="92" t="str">
        <f t="shared" si="1"/>
        <v>PL1-103</v>
      </c>
      <c r="I13" s="98"/>
      <c r="J13" s="99" t="s">
        <v>880</v>
      </c>
      <c r="K13" s="99" t="s">
        <v>417</v>
      </c>
      <c r="L13" s="99" t="s">
        <v>13</v>
      </c>
      <c r="M13" s="99" t="s">
        <v>5</v>
      </c>
      <c r="N13" s="99" t="s">
        <v>896</v>
      </c>
      <c r="O13" s="99">
        <v>60</v>
      </c>
      <c r="P13" s="99" t="s">
        <v>995</v>
      </c>
      <c r="Q13" s="99"/>
      <c r="R13" s="99"/>
      <c r="S13" s="98"/>
      <c r="T13" s="93"/>
      <c r="U13" s="93"/>
      <c r="V13" s="93"/>
      <c r="W13" s="93"/>
      <c r="X13" s="93">
        <f>IF($B13="Yes",COUNTIF(Reference!P$52:P$67,$K13),"")</f>
        <v>1</v>
      </c>
      <c r="Y13" s="93">
        <f>IF($B13="Yes",COUNTIF(Reference!Q$52:Q$67,$K13),"")</f>
        <v>0</v>
      </c>
      <c r="Z13" s="93">
        <f>IF($B13="Yes",COUNTIF(Reference!R$52:R$67,$K13),"")</f>
        <v>1</v>
      </c>
      <c r="AA13" s="93">
        <f>IF($B13="Yes",COUNTIF(Reference!S$52:S$67,$K13),"")</f>
        <v>0</v>
      </c>
      <c r="AB13" s="93">
        <f>IF($B13="Yes",COUNTIF(Reference!T$52:T$67,$K13),"")</f>
        <v>0</v>
      </c>
      <c r="AC13" s="93">
        <f t="shared" si="2"/>
        <v>0</v>
      </c>
      <c r="AD13" s="97"/>
      <c r="AE13" s="97"/>
      <c r="AF13" s="97"/>
      <c r="AG13" s="97"/>
      <c r="AH13" s="97"/>
      <c r="AI13" s="97"/>
      <c r="AJ13" s="97"/>
      <c r="AK13" s="97"/>
      <c r="AL13" s="97"/>
      <c r="AM13" s="97"/>
      <c r="AN13" s="97"/>
      <c r="AO13" s="97"/>
      <c r="AP13" s="97"/>
      <c r="AQ13" s="97"/>
      <c r="AR13" s="97"/>
      <c r="AS13" s="97"/>
    </row>
    <row r="14" spans="1:45" x14ac:dyDescent="0.25">
      <c r="A14" s="92">
        <v>104</v>
      </c>
      <c r="B14" s="95" t="str">
        <f t="shared" si="0"/>
        <v>Yes</v>
      </c>
      <c r="H14" s="92" t="str">
        <f t="shared" si="1"/>
        <v>PL1-104</v>
      </c>
      <c r="I14" s="98"/>
      <c r="J14" s="99" t="s">
        <v>881</v>
      </c>
      <c r="K14" s="99" t="s">
        <v>434</v>
      </c>
      <c r="L14" s="99" t="s">
        <v>13</v>
      </c>
      <c r="M14" s="99" t="s">
        <v>807</v>
      </c>
      <c r="N14" s="99" t="s">
        <v>125</v>
      </c>
      <c r="O14" s="99">
        <v>60</v>
      </c>
      <c r="P14" s="99" t="s">
        <v>901</v>
      </c>
      <c r="Q14" s="99"/>
      <c r="R14" s="99"/>
      <c r="S14" s="98"/>
      <c r="T14" s="93"/>
      <c r="U14" s="93"/>
      <c r="V14" s="93"/>
      <c r="W14" s="93"/>
      <c r="X14" s="93">
        <f>IF($B14="Yes",COUNTIF(Reference!P$52:P$67,$K14),"")</f>
        <v>1</v>
      </c>
      <c r="Y14" s="93">
        <f>IF($B14="Yes",COUNTIF(Reference!Q$52:Q$67,$K14),"")</f>
        <v>1</v>
      </c>
      <c r="Z14" s="93">
        <f>IF($B14="Yes",COUNTIF(Reference!R$52:R$67,$K14),"")</f>
        <v>0</v>
      </c>
      <c r="AA14" s="93">
        <f>IF($B14="Yes",COUNTIF(Reference!S$52:S$67,$K14),"")</f>
        <v>0</v>
      </c>
      <c r="AB14" s="93">
        <f>IF($B14="Yes",COUNTIF(Reference!T$52:T$67,$K14),"")</f>
        <v>0</v>
      </c>
      <c r="AC14" s="93">
        <f t="shared" si="2"/>
        <v>0</v>
      </c>
      <c r="AD14" s="97"/>
      <c r="AE14" s="97"/>
      <c r="AF14" s="97"/>
      <c r="AG14" s="97"/>
      <c r="AH14" s="97"/>
      <c r="AI14" s="97"/>
      <c r="AJ14" s="97"/>
      <c r="AK14" s="97"/>
      <c r="AL14" s="97"/>
      <c r="AM14" s="97"/>
      <c r="AN14" s="97"/>
      <c r="AO14" s="97"/>
      <c r="AP14" s="97"/>
      <c r="AQ14" s="97"/>
      <c r="AR14" s="97"/>
      <c r="AS14" s="97"/>
    </row>
    <row r="15" spans="1:45" x14ac:dyDescent="0.25">
      <c r="A15" s="92">
        <v>105</v>
      </c>
      <c r="B15" s="95" t="str">
        <f t="shared" si="0"/>
        <v>Yes</v>
      </c>
      <c r="H15" s="92" t="str">
        <f t="shared" si="1"/>
        <v>PL1-105</v>
      </c>
      <c r="I15" s="98"/>
      <c r="J15" s="99" t="s">
        <v>882</v>
      </c>
      <c r="K15" s="99" t="s">
        <v>3</v>
      </c>
      <c r="L15" s="99" t="s">
        <v>13</v>
      </c>
      <c r="M15" s="99" t="s">
        <v>5</v>
      </c>
      <c r="N15" s="99" t="s">
        <v>108</v>
      </c>
      <c r="O15" s="99">
        <v>60</v>
      </c>
      <c r="P15" s="99" t="s">
        <v>995</v>
      </c>
      <c r="Q15" s="99"/>
      <c r="R15" s="99"/>
      <c r="S15" s="98"/>
      <c r="T15" s="93"/>
      <c r="U15" s="93"/>
      <c r="V15" s="93"/>
      <c r="W15" s="93"/>
      <c r="X15" s="93">
        <f>IF($B15="Yes",COUNTIF(Reference!P$52:P$67,$K15),"")</f>
        <v>1</v>
      </c>
      <c r="Y15" s="93">
        <f>IF($B15="Yes",COUNTIF(Reference!Q$52:Q$67,$K15),"")</f>
        <v>0</v>
      </c>
      <c r="Z15" s="93">
        <f>IF($B15="Yes",COUNTIF(Reference!R$52:R$67,$K15),"")</f>
        <v>0</v>
      </c>
      <c r="AA15" s="93">
        <f>IF($B15="Yes",COUNTIF(Reference!S$52:S$67,$K15),"")</f>
        <v>0</v>
      </c>
      <c r="AB15" s="93">
        <f>IF($B15="Yes",COUNTIF(Reference!T$52:T$67,$K15),"")</f>
        <v>0</v>
      </c>
      <c r="AC15" s="93">
        <f t="shared" si="2"/>
        <v>0</v>
      </c>
      <c r="AD15" s="97"/>
      <c r="AE15" s="97"/>
      <c r="AF15" s="97"/>
      <c r="AG15" s="97"/>
      <c r="AH15" s="97"/>
      <c r="AI15" s="97"/>
      <c r="AJ15" s="97"/>
      <c r="AK15" s="97"/>
      <c r="AL15" s="97"/>
      <c r="AM15" s="97"/>
      <c r="AN15" s="97"/>
      <c r="AO15" s="97"/>
      <c r="AP15" s="97"/>
      <c r="AQ15" s="97"/>
      <c r="AR15" s="97"/>
      <c r="AS15" s="97"/>
    </row>
    <row r="16" spans="1:45" x14ac:dyDescent="0.25">
      <c r="A16" s="92">
        <v>106</v>
      </c>
      <c r="B16" s="95" t="str">
        <f t="shared" si="0"/>
        <v>Yes</v>
      </c>
      <c r="H16" s="92" t="str">
        <f t="shared" si="1"/>
        <v>PL1-106</v>
      </c>
      <c r="I16" s="98"/>
      <c r="J16" s="99" t="s">
        <v>111</v>
      </c>
      <c r="K16" s="99" t="s">
        <v>459</v>
      </c>
      <c r="L16" s="99" t="s">
        <v>13</v>
      </c>
      <c r="M16" s="99" t="s">
        <v>808</v>
      </c>
      <c r="N16" s="99" t="s">
        <v>1200</v>
      </c>
      <c r="O16" s="99">
        <v>60</v>
      </c>
      <c r="P16" s="99" t="s">
        <v>995</v>
      </c>
      <c r="Q16" s="99"/>
      <c r="R16" s="99"/>
      <c r="S16" s="98"/>
      <c r="T16" s="93"/>
      <c r="U16" s="93"/>
      <c r="V16" s="93"/>
      <c r="W16" s="93"/>
      <c r="X16" s="93">
        <f>IF($B16="Yes",COUNTIF(Reference!P$52:P$67,$K16),"")</f>
        <v>1</v>
      </c>
      <c r="Y16" s="93">
        <f>IF($B16="Yes",COUNTIF(Reference!Q$52:Q$67,$K16),"")</f>
        <v>1</v>
      </c>
      <c r="Z16" s="93">
        <f>IF($B16="Yes",COUNTIF(Reference!R$52:R$67,$K16),"")</f>
        <v>1</v>
      </c>
      <c r="AA16" s="93">
        <f>IF($B16="Yes",COUNTIF(Reference!S$52:S$67,$K16),"")</f>
        <v>1</v>
      </c>
      <c r="AB16" s="93">
        <f>IF($B16="Yes",COUNTIF(Reference!T$52:T$67,$K16),"")</f>
        <v>1</v>
      </c>
      <c r="AC16" s="93">
        <f t="shared" si="2"/>
        <v>0</v>
      </c>
      <c r="AD16" s="97"/>
      <c r="AE16" s="97"/>
      <c r="AF16" s="97"/>
      <c r="AG16" s="97"/>
      <c r="AH16" s="97"/>
      <c r="AI16" s="97"/>
      <c r="AJ16" s="97"/>
      <c r="AK16" s="97"/>
      <c r="AL16" s="97"/>
      <c r="AM16" s="97"/>
      <c r="AN16" s="97"/>
      <c r="AO16" s="97"/>
      <c r="AP16" s="97"/>
      <c r="AQ16" s="97"/>
      <c r="AR16" s="97"/>
      <c r="AS16" s="97"/>
    </row>
    <row r="17" spans="1:45" x14ac:dyDescent="0.25">
      <c r="A17" s="92">
        <v>107</v>
      </c>
      <c r="B17" s="95" t="str">
        <f t="shared" si="0"/>
        <v>Yes</v>
      </c>
      <c r="H17" s="92" t="str">
        <f t="shared" si="1"/>
        <v>PL1-107</v>
      </c>
      <c r="I17" s="98"/>
      <c r="J17" s="99" t="s">
        <v>112</v>
      </c>
      <c r="K17" s="99" t="s">
        <v>437</v>
      </c>
      <c r="L17" s="99" t="s">
        <v>13</v>
      </c>
      <c r="M17" s="99" t="s">
        <v>809</v>
      </c>
      <c r="N17" s="99" t="s">
        <v>114</v>
      </c>
      <c r="O17" s="99">
        <v>60</v>
      </c>
      <c r="P17" s="99" t="s">
        <v>995</v>
      </c>
      <c r="Q17" s="99"/>
      <c r="R17" s="99"/>
      <c r="S17" s="98"/>
      <c r="T17" s="93"/>
      <c r="U17" s="93"/>
      <c r="V17" s="93"/>
      <c r="W17" s="93"/>
      <c r="X17" s="93">
        <f>IF($B17="Yes",COUNTIF(Reference!P$52:P$67,$K17),"")</f>
        <v>0</v>
      </c>
      <c r="Y17" s="93">
        <f>IF($B17="Yes",COUNTIF(Reference!Q$52:Q$67,$K17),"")</f>
        <v>1</v>
      </c>
      <c r="Z17" s="93">
        <f>IF($B17="Yes",COUNTIF(Reference!R$52:R$67,$K17),"")</f>
        <v>0</v>
      </c>
      <c r="AA17" s="93">
        <f>IF($B17="Yes",COUNTIF(Reference!S$52:S$67,$K17),"")</f>
        <v>0</v>
      </c>
      <c r="AB17" s="93">
        <f>IF($B17="Yes",COUNTIF(Reference!T$52:T$67,$K17),"")</f>
        <v>1</v>
      </c>
      <c r="AC17" s="93">
        <f t="shared" si="2"/>
        <v>0</v>
      </c>
      <c r="AD17" s="97"/>
      <c r="AE17" s="97"/>
      <c r="AF17" s="97"/>
      <c r="AG17" s="97"/>
      <c r="AH17" s="97"/>
      <c r="AI17" s="97"/>
      <c r="AJ17" s="97"/>
      <c r="AK17" s="97"/>
      <c r="AL17" s="97"/>
      <c r="AM17" s="97"/>
      <c r="AN17" s="97"/>
      <c r="AO17" s="97"/>
      <c r="AP17" s="97"/>
      <c r="AQ17" s="97"/>
      <c r="AR17" s="97"/>
      <c r="AS17" s="97"/>
    </row>
    <row r="18" spans="1:45" x14ac:dyDescent="0.25">
      <c r="A18" s="92">
        <v>108</v>
      </c>
      <c r="B18" s="95" t="str">
        <f t="shared" si="0"/>
        <v>Yes</v>
      </c>
      <c r="H18" s="92" t="str">
        <f t="shared" si="1"/>
        <v>PL1-108</v>
      </c>
      <c r="I18" s="98"/>
      <c r="J18" s="99" t="s">
        <v>113</v>
      </c>
      <c r="K18" s="99" t="s">
        <v>7</v>
      </c>
      <c r="L18" s="99" t="s">
        <v>13</v>
      </c>
      <c r="M18" s="99" t="s">
        <v>807</v>
      </c>
      <c r="N18" s="99" t="s">
        <v>109</v>
      </c>
      <c r="O18" s="99">
        <v>60</v>
      </c>
      <c r="P18" s="99" t="s">
        <v>995</v>
      </c>
      <c r="Q18" s="99"/>
      <c r="R18" s="99"/>
      <c r="S18" s="98"/>
      <c r="T18" s="93"/>
      <c r="U18" s="93"/>
      <c r="V18" s="93"/>
      <c r="W18" s="93"/>
      <c r="X18" s="93">
        <f>IF($B18="Yes",COUNTIF(Reference!P$52:P$67,$K18),"")</f>
        <v>0</v>
      </c>
      <c r="Y18" s="93">
        <f>IF($B18="Yes",COUNTIF(Reference!Q$52:Q$67,$K18),"")</f>
        <v>0</v>
      </c>
      <c r="Z18" s="93">
        <f>IF($B18="Yes",COUNTIF(Reference!R$52:R$67,$K18),"")</f>
        <v>0</v>
      </c>
      <c r="AA18" s="93">
        <f>IF($B18="Yes",COUNTIF(Reference!S$52:S$67,$K18),"")</f>
        <v>0</v>
      </c>
      <c r="AB18" s="93">
        <f>IF($B18="Yes",COUNTIF(Reference!T$52:T$67,$K18),"")</f>
        <v>1</v>
      </c>
      <c r="AC18" s="93">
        <f t="shared" si="2"/>
        <v>0</v>
      </c>
      <c r="AD18" s="97"/>
      <c r="AE18" s="97"/>
      <c r="AF18" s="97"/>
      <c r="AG18" s="97"/>
      <c r="AH18" s="97"/>
      <c r="AI18" s="97"/>
      <c r="AJ18" s="97"/>
      <c r="AK18" s="97"/>
      <c r="AL18" s="97"/>
      <c r="AM18" s="97"/>
      <c r="AN18" s="97"/>
      <c r="AO18" s="97"/>
      <c r="AP18" s="97"/>
      <c r="AQ18" s="97"/>
      <c r="AR18" s="97"/>
      <c r="AS18" s="97"/>
    </row>
    <row r="19" spans="1:45" x14ac:dyDescent="0.25">
      <c r="A19" s="92">
        <v>109</v>
      </c>
      <c r="B19" s="95" t="str">
        <f t="shared" si="0"/>
        <v>Yes</v>
      </c>
      <c r="H19" s="92" t="str">
        <f t="shared" si="1"/>
        <v>PL1-109</v>
      </c>
      <c r="I19" s="98"/>
      <c r="J19" s="99" t="s">
        <v>115</v>
      </c>
      <c r="K19" s="99" t="s">
        <v>459</v>
      </c>
      <c r="L19" s="99" t="s">
        <v>993</v>
      </c>
      <c r="M19" s="99" t="s">
        <v>380</v>
      </c>
      <c r="N19" s="99" t="s">
        <v>1201</v>
      </c>
      <c r="O19" s="99">
        <v>0</v>
      </c>
      <c r="P19" s="99" t="s">
        <v>995</v>
      </c>
      <c r="Q19" s="99"/>
      <c r="R19" s="99"/>
      <c r="S19" s="98"/>
      <c r="T19" s="93"/>
      <c r="U19" s="93"/>
      <c r="V19" s="93"/>
      <c r="W19" s="93"/>
      <c r="X19" s="93">
        <f>IF($B19="Yes",COUNTIF(Reference!P$52:P$67,$K19),"")</f>
        <v>1</v>
      </c>
      <c r="Y19" s="93">
        <f>IF($B19="Yes",COUNTIF(Reference!Q$52:Q$67,$K19),"")</f>
        <v>1</v>
      </c>
      <c r="Z19" s="93">
        <f>IF($B19="Yes",COUNTIF(Reference!R$52:R$67,$K19),"")</f>
        <v>1</v>
      </c>
      <c r="AA19" s="93">
        <f>IF($B19="Yes",COUNTIF(Reference!S$52:S$67,$K19),"")</f>
        <v>1</v>
      </c>
      <c r="AB19" s="93">
        <f>IF($B19="Yes",COUNTIF(Reference!T$52:T$67,$K19),"")</f>
        <v>1</v>
      </c>
      <c r="AC19" s="93">
        <f t="shared" si="2"/>
        <v>0</v>
      </c>
      <c r="AD19" s="97"/>
      <c r="AE19" s="97"/>
      <c r="AF19" s="97"/>
      <c r="AG19" s="97"/>
      <c r="AH19" s="97"/>
      <c r="AI19" s="97"/>
      <c r="AJ19" s="97"/>
      <c r="AK19" s="97"/>
      <c r="AL19" s="97"/>
      <c r="AM19" s="97"/>
      <c r="AN19" s="97"/>
      <c r="AO19" s="97"/>
      <c r="AP19" s="97"/>
      <c r="AQ19" s="97"/>
      <c r="AR19" s="97"/>
      <c r="AS19" s="97"/>
    </row>
    <row r="20" spans="1:45" x14ac:dyDescent="0.25">
      <c r="A20" s="92">
        <v>110</v>
      </c>
      <c r="B20" s="95" t="str">
        <f t="shared" si="0"/>
        <v>Yes</v>
      </c>
      <c r="H20" s="92" t="str">
        <f t="shared" si="1"/>
        <v>PL1-110</v>
      </c>
      <c r="I20" s="98"/>
      <c r="J20" s="99" t="s">
        <v>117</v>
      </c>
      <c r="K20" s="99" t="s">
        <v>459</v>
      </c>
      <c r="L20" s="99" t="s">
        <v>13</v>
      </c>
      <c r="M20" s="99" t="s">
        <v>807</v>
      </c>
      <c r="N20" s="99" t="s">
        <v>1202</v>
      </c>
      <c r="O20" s="99">
        <v>60</v>
      </c>
      <c r="P20" s="99" t="s">
        <v>118</v>
      </c>
      <c r="Q20" s="99"/>
      <c r="R20" s="99"/>
      <c r="S20" s="98"/>
      <c r="T20" s="93"/>
      <c r="U20" s="93"/>
      <c r="V20" s="93"/>
      <c r="W20" s="93"/>
      <c r="X20" s="93">
        <f>IF($B20="Yes",COUNTIF(Reference!P$52:P$67,$K20),"")</f>
        <v>1</v>
      </c>
      <c r="Y20" s="93">
        <f>IF($B20="Yes",COUNTIF(Reference!Q$52:Q$67,$K20),"")</f>
        <v>1</v>
      </c>
      <c r="Z20" s="93">
        <f>IF($B20="Yes",COUNTIF(Reference!R$52:R$67,$K20),"")</f>
        <v>1</v>
      </c>
      <c r="AA20" s="93">
        <f>IF($B20="Yes",COUNTIF(Reference!S$52:S$67,$K20),"")</f>
        <v>1</v>
      </c>
      <c r="AB20" s="93">
        <f>IF($B20="Yes",COUNTIF(Reference!T$52:T$67,$K20),"")</f>
        <v>1</v>
      </c>
      <c r="AC20" s="93">
        <f t="shared" si="2"/>
        <v>0</v>
      </c>
      <c r="AD20" s="97"/>
      <c r="AE20" s="97"/>
      <c r="AF20" s="97"/>
      <c r="AG20" s="97"/>
      <c r="AH20" s="97"/>
      <c r="AI20" s="97"/>
      <c r="AJ20" s="97"/>
      <c r="AK20" s="97"/>
      <c r="AL20" s="97"/>
      <c r="AM20" s="97"/>
      <c r="AN20" s="97"/>
      <c r="AO20" s="97"/>
      <c r="AP20" s="97"/>
      <c r="AQ20" s="97"/>
      <c r="AR20" s="97"/>
      <c r="AS20" s="97"/>
    </row>
    <row r="21" spans="1:45" x14ac:dyDescent="0.25">
      <c r="A21" s="92">
        <v>111</v>
      </c>
      <c r="B21" s="95" t="str">
        <f t="shared" si="0"/>
        <v>Yes</v>
      </c>
      <c r="H21" s="92" t="str">
        <f t="shared" si="1"/>
        <v>PL1-111</v>
      </c>
      <c r="I21" s="98"/>
      <c r="J21" s="99" t="s">
        <v>986</v>
      </c>
      <c r="K21" s="99" t="s">
        <v>5</v>
      </c>
      <c r="L21" s="99" t="s">
        <v>13</v>
      </c>
      <c r="M21" s="99" t="s">
        <v>807</v>
      </c>
      <c r="N21" s="99" t="s">
        <v>143</v>
      </c>
      <c r="O21" s="99">
        <v>60</v>
      </c>
      <c r="P21" s="99" t="s">
        <v>995</v>
      </c>
      <c r="Q21" s="99"/>
      <c r="R21" s="99"/>
      <c r="S21" s="98"/>
      <c r="T21" s="93"/>
      <c r="U21" s="93"/>
      <c r="V21" s="93"/>
      <c r="W21" s="93"/>
      <c r="X21" s="93">
        <f>IF($B21="Yes",COUNTIF(Reference!P$52:P$67,$K21),"")</f>
        <v>0</v>
      </c>
      <c r="Y21" s="93">
        <f>IF($B21="Yes",COUNTIF(Reference!Q$52:Q$67,$K21),"")</f>
        <v>0</v>
      </c>
      <c r="Z21" s="93">
        <f>IF($B21="Yes",COUNTIF(Reference!R$52:R$67,$K21),"")</f>
        <v>1</v>
      </c>
      <c r="AA21" s="93">
        <f>IF($B21="Yes",COUNTIF(Reference!S$52:S$67,$K21),"")</f>
        <v>0</v>
      </c>
      <c r="AB21" s="93">
        <f>IF($B21="Yes",COUNTIF(Reference!T$52:T$67,$K21),"")</f>
        <v>0</v>
      </c>
      <c r="AC21" s="93">
        <f t="shared" si="2"/>
        <v>0</v>
      </c>
      <c r="AD21" s="97"/>
      <c r="AE21" s="97"/>
      <c r="AF21" s="97"/>
      <c r="AG21" s="97"/>
      <c r="AH21" s="97"/>
      <c r="AI21" s="97"/>
      <c r="AJ21" s="97"/>
      <c r="AK21" s="97"/>
      <c r="AL21" s="97"/>
      <c r="AM21" s="97"/>
      <c r="AN21" s="97"/>
      <c r="AO21" s="97"/>
      <c r="AP21" s="97"/>
      <c r="AQ21" s="97"/>
      <c r="AR21" s="97"/>
      <c r="AS21" s="97"/>
    </row>
    <row r="22" spans="1:45" x14ac:dyDescent="0.25">
      <c r="A22" s="92">
        <v>112</v>
      </c>
      <c r="B22" s="95" t="str">
        <f t="shared" si="0"/>
        <v>Yes</v>
      </c>
      <c r="H22" s="92" t="str">
        <f t="shared" si="1"/>
        <v>PL1-112</v>
      </c>
      <c r="I22" s="98"/>
      <c r="J22" s="99" t="s">
        <v>119</v>
      </c>
      <c r="K22" s="99" t="s">
        <v>5</v>
      </c>
      <c r="L22" s="99" t="s">
        <v>30</v>
      </c>
      <c r="M22" s="99" t="s">
        <v>5</v>
      </c>
      <c r="N22" s="99" t="s">
        <v>154</v>
      </c>
      <c r="O22" s="99">
        <v>100</v>
      </c>
      <c r="P22" s="99" t="s">
        <v>121</v>
      </c>
      <c r="Q22" s="99"/>
      <c r="R22" s="99"/>
      <c r="S22" s="98"/>
      <c r="T22" s="93"/>
      <c r="U22" s="93"/>
      <c r="V22" s="93"/>
      <c r="W22" s="93"/>
      <c r="X22" s="93">
        <f>IF($B22="Yes",COUNTIF(Reference!P$52:P$67,$K22),"")</f>
        <v>0</v>
      </c>
      <c r="Y22" s="93">
        <f>IF($B22="Yes",COUNTIF(Reference!Q$52:Q$67,$K22),"")</f>
        <v>0</v>
      </c>
      <c r="Z22" s="93">
        <f>IF($B22="Yes",COUNTIF(Reference!R$52:R$67,$K22),"")</f>
        <v>1</v>
      </c>
      <c r="AA22" s="93">
        <f>IF($B22="Yes",COUNTIF(Reference!S$52:S$67,$K22),"")</f>
        <v>0</v>
      </c>
      <c r="AB22" s="93">
        <f>IF($B22="Yes",COUNTIF(Reference!T$52:T$67,$K22),"")</f>
        <v>0</v>
      </c>
      <c r="AC22" s="93">
        <f t="shared" si="2"/>
        <v>0</v>
      </c>
      <c r="AD22" s="97"/>
      <c r="AE22" s="97"/>
      <c r="AF22" s="97"/>
      <c r="AG22" s="97"/>
      <c r="AH22" s="97"/>
      <c r="AI22" s="97"/>
      <c r="AJ22" s="97"/>
      <c r="AK22" s="97"/>
      <c r="AL22" s="97"/>
      <c r="AM22" s="97"/>
      <c r="AN22" s="97"/>
      <c r="AO22" s="97"/>
      <c r="AP22" s="97"/>
      <c r="AQ22" s="97"/>
      <c r="AR22" s="97"/>
      <c r="AS22" s="97"/>
    </row>
    <row r="23" spans="1:45" x14ac:dyDescent="0.25">
      <c r="A23" s="92">
        <v>113</v>
      </c>
      <c r="B23" s="95" t="str">
        <f t="shared" si="0"/>
        <v>Yes</v>
      </c>
      <c r="H23" s="92" t="str">
        <f t="shared" si="1"/>
        <v>PL1-113</v>
      </c>
      <c r="I23" s="98"/>
      <c r="J23" s="99" t="s">
        <v>883</v>
      </c>
      <c r="K23" s="99" t="s">
        <v>7</v>
      </c>
      <c r="L23" s="99" t="s">
        <v>13</v>
      </c>
      <c r="M23" s="99" t="s">
        <v>807</v>
      </c>
      <c r="N23" s="99" t="s">
        <v>125</v>
      </c>
      <c r="O23" s="99">
        <v>60</v>
      </c>
      <c r="P23" s="99" t="s">
        <v>995</v>
      </c>
      <c r="Q23" s="99"/>
      <c r="R23" s="99"/>
      <c r="S23" s="98"/>
      <c r="T23" s="93"/>
      <c r="U23" s="93"/>
      <c r="V23" s="93"/>
      <c r="W23" s="93"/>
      <c r="X23" s="93">
        <f>IF($B23="Yes",COUNTIF(Reference!P$52:P$67,$K23),"")</f>
        <v>0</v>
      </c>
      <c r="Y23" s="93">
        <f>IF($B23="Yes",COUNTIF(Reference!Q$52:Q$67,$K23),"")</f>
        <v>0</v>
      </c>
      <c r="Z23" s="93">
        <f>IF($B23="Yes",COUNTIF(Reference!R$52:R$67,$K23),"")</f>
        <v>0</v>
      </c>
      <c r="AA23" s="93">
        <f>IF($B23="Yes",COUNTIF(Reference!S$52:S$67,$K23),"")</f>
        <v>0</v>
      </c>
      <c r="AB23" s="93">
        <f>IF($B23="Yes",COUNTIF(Reference!T$52:T$67,$K23),"")</f>
        <v>1</v>
      </c>
      <c r="AC23" s="93">
        <f t="shared" si="2"/>
        <v>0</v>
      </c>
      <c r="AD23" s="97"/>
      <c r="AE23" s="97"/>
      <c r="AF23" s="97"/>
      <c r="AG23" s="97"/>
      <c r="AH23" s="97"/>
      <c r="AI23" s="97"/>
      <c r="AJ23" s="97"/>
      <c r="AK23" s="97"/>
      <c r="AL23" s="97"/>
      <c r="AM23" s="97"/>
      <c r="AN23" s="97"/>
      <c r="AO23" s="97"/>
      <c r="AP23" s="97"/>
      <c r="AQ23" s="97"/>
      <c r="AR23" s="97"/>
      <c r="AS23" s="97"/>
    </row>
    <row r="24" spans="1:45" x14ac:dyDescent="0.25">
      <c r="A24" s="92">
        <v>114</v>
      </c>
      <c r="B24" s="95" t="str">
        <f t="shared" si="0"/>
        <v>Yes</v>
      </c>
      <c r="H24" s="92" t="str">
        <f t="shared" si="1"/>
        <v>PL1-114</v>
      </c>
      <c r="I24" s="98"/>
      <c r="J24" s="99" t="s">
        <v>122</v>
      </c>
      <c r="K24" s="99" t="s">
        <v>5</v>
      </c>
      <c r="L24" s="99" t="s">
        <v>30</v>
      </c>
      <c r="M24" s="99" t="s">
        <v>808</v>
      </c>
      <c r="N24" s="99" t="s">
        <v>120</v>
      </c>
      <c r="O24" s="99">
        <v>100</v>
      </c>
      <c r="P24" s="99" t="s">
        <v>123</v>
      </c>
      <c r="Q24" s="99"/>
      <c r="R24" s="99"/>
      <c r="S24" s="98"/>
      <c r="T24" s="93"/>
      <c r="U24" s="93"/>
      <c r="V24" s="93"/>
      <c r="W24" s="93"/>
      <c r="X24" s="93">
        <f>IF($B24="Yes",COUNTIF(Reference!P$52:P$67,$K24),"")</f>
        <v>0</v>
      </c>
      <c r="Y24" s="93">
        <f>IF($B24="Yes",COUNTIF(Reference!Q$52:Q$67,$K24),"")</f>
        <v>0</v>
      </c>
      <c r="Z24" s="93">
        <f>IF($B24="Yes",COUNTIF(Reference!R$52:R$67,$K24),"")</f>
        <v>1</v>
      </c>
      <c r="AA24" s="93">
        <f>IF($B24="Yes",COUNTIF(Reference!S$52:S$67,$K24),"")</f>
        <v>0</v>
      </c>
      <c r="AB24" s="93">
        <f>IF($B24="Yes",COUNTIF(Reference!T$52:T$67,$K24),"")</f>
        <v>0</v>
      </c>
      <c r="AC24" s="93">
        <f t="shared" si="2"/>
        <v>0</v>
      </c>
      <c r="AD24" s="97"/>
      <c r="AE24" s="97"/>
      <c r="AF24" s="97"/>
      <c r="AG24" s="97"/>
      <c r="AH24" s="97"/>
      <c r="AI24" s="97"/>
      <c r="AJ24" s="97"/>
      <c r="AK24" s="97"/>
      <c r="AL24" s="97"/>
      <c r="AM24" s="97"/>
      <c r="AN24" s="97"/>
      <c r="AO24" s="97"/>
      <c r="AP24" s="97"/>
      <c r="AQ24" s="97"/>
      <c r="AR24" s="97"/>
      <c r="AS24" s="97"/>
    </row>
    <row r="25" spans="1:45" x14ac:dyDescent="0.25">
      <c r="A25" s="92">
        <v>115</v>
      </c>
      <c r="B25" s="95" t="str">
        <f t="shared" si="0"/>
        <v>Yes</v>
      </c>
      <c r="H25" s="92" t="str">
        <f t="shared" si="1"/>
        <v>PL1-115</v>
      </c>
      <c r="I25" s="98"/>
      <c r="J25" s="99" t="s">
        <v>124</v>
      </c>
      <c r="K25" s="99" t="s">
        <v>4</v>
      </c>
      <c r="L25" s="99" t="s">
        <v>13</v>
      </c>
      <c r="M25" s="99" t="s">
        <v>808</v>
      </c>
      <c r="N25" s="99" t="s">
        <v>1203</v>
      </c>
      <c r="O25" s="99">
        <v>60</v>
      </c>
      <c r="P25" s="99" t="s">
        <v>995</v>
      </c>
      <c r="Q25" s="99"/>
      <c r="R25" s="99"/>
      <c r="S25" s="98"/>
      <c r="T25" s="93"/>
      <c r="U25" s="93"/>
      <c r="V25" s="93"/>
      <c r="W25" s="93"/>
      <c r="X25" s="93">
        <f>IF($B25="Yes",COUNTIF(Reference!P$52:P$67,$K25),"")</f>
        <v>0</v>
      </c>
      <c r="Y25" s="93">
        <f>IF($B25="Yes",COUNTIF(Reference!Q$52:Q$67,$K25),"")</f>
        <v>1</v>
      </c>
      <c r="Z25" s="93">
        <f>IF($B25="Yes",COUNTIF(Reference!R$52:R$67,$K25),"")</f>
        <v>0</v>
      </c>
      <c r="AA25" s="93">
        <f>IF($B25="Yes",COUNTIF(Reference!S$52:S$67,$K25),"")</f>
        <v>0</v>
      </c>
      <c r="AB25" s="93">
        <f>IF($B25="Yes",COUNTIF(Reference!T$52:T$67,$K25),"")</f>
        <v>0</v>
      </c>
      <c r="AC25" s="93">
        <f t="shared" si="2"/>
        <v>0</v>
      </c>
      <c r="AD25" s="97"/>
      <c r="AE25" s="97"/>
      <c r="AF25" s="97"/>
      <c r="AG25" s="97"/>
      <c r="AH25" s="97"/>
      <c r="AI25" s="97"/>
      <c r="AJ25" s="97"/>
      <c r="AK25" s="97"/>
      <c r="AL25" s="97"/>
      <c r="AM25" s="97"/>
      <c r="AN25" s="97"/>
      <c r="AO25" s="97"/>
      <c r="AP25" s="97"/>
      <c r="AQ25" s="97"/>
      <c r="AR25" s="97"/>
      <c r="AS25" s="97"/>
    </row>
    <row r="26" spans="1:45" x14ac:dyDescent="0.25">
      <c r="A26" s="92">
        <v>116</v>
      </c>
      <c r="B26" s="95" t="str">
        <f t="shared" si="0"/>
        <v>Yes</v>
      </c>
      <c r="H26" s="92" t="str">
        <f t="shared" si="1"/>
        <v>PL1-116</v>
      </c>
      <c r="I26" s="98"/>
      <c r="J26" s="99" t="s">
        <v>19</v>
      </c>
      <c r="K26" s="99" t="s">
        <v>4</v>
      </c>
      <c r="L26" s="99" t="s">
        <v>30</v>
      </c>
      <c r="M26" s="99" t="s">
        <v>807</v>
      </c>
      <c r="N26" s="99" t="s">
        <v>134</v>
      </c>
      <c r="O26" s="99">
        <v>100</v>
      </c>
      <c r="P26" s="99" t="s">
        <v>995</v>
      </c>
      <c r="Q26" s="99"/>
      <c r="R26" s="99"/>
      <c r="S26" s="98"/>
      <c r="T26" s="93"/>
      <c r="U26" s="93"/>
      <c r="V26" s="93"/>
      <c r="W26" s="93"/>
      <c r="X26" s="93">
        <f>IF($B26="Yes",COUNTIF(Reference!P$52:P$67,$K26),"")</f>
        <v>0</v>
      </c>
      <c r="Y26" s="93">
        <f>IF($B26="Yes",COUNTIF(Reference!Q$52:Q$67,$K26),"")</f>
        <v>1</v>
      </c>
      <c r="Z26" s="93">
        <f>IF($B26="Yes",COUNTIF(Reference!R$52:R$67,$K26),"")</f>
        <v>0</v>
      </c>
      <c r="AA26" s="93">
        <f>IF($B26="Yes",COUNTIF(Reference!S$52:S$67,$K26),"")</f>
        <v>0</v>
      </c>
      <c r="AB26" s="93">
        <f>IF($B26="Yes",COUNTIF(Reference!T$52:T$67,$K26),"")</f>
        <v>0</v>
      </c>
      <c r="AC26" s="93">
        <f t="shared" si="2"/>
        <v>0</v>
      </c>
      <c r="AD26" s="97"/>
      <c r="AE26" s="97"/>
      <c r="AF26" s="97"/>
      <c r="AG26" s="97"/>
      <c r="AH26" s="97"/>
      <c r="AI26" s="97"/>
      <c r="AJ26" s="97"/>
      <c r="AK26" s="97"/>
      <c r="AL26" s="97"/>
      <c r="AM26" s="97"/>
      <c r="AN26" s="97"/>
      <c r="AO26" s="97"/>
      <c r="AP26" s="97"/>
      <c r="AQ26" s="97"/>
      <c r="AR26" s="97"/>
      <c r="AS26" s="97"/>
    </row>
    <row r="27" spans="1:45" x14ac:dyDescent="0.25">
      <c r="A27" s="92">
        <v>117</v>
      </c>
      <c r="B27" s="95" t="str">
        <f t="shared" si="0"/>
        <v>Yes</v>
      </c>
      <c r="H27" s="92" t="str">
        <f t="shared" si="1"/>
        <v>PL1-117</v>
      </c>
      <c r="I27" s="98"/>
      <c r="J27" s="99" t="s">
        <v>126</v>
      </c>
      <c r="K27" s="99" t="s">
        <v>7</v>
      </c>
      <c r="L27" s="99" t="s">
        <v>30</v>
      </c>
      <c r="M27" s="99" t="s">
        <v>807</v>
      </c>
      <c r="N27" s="99" t="s">
        <v>1203</v>
      </c>
      <c r="O27" s="99">
        <v>100</v>
      </c>
      <c r="P27" s="99" t="s">
        <v>995</v>
      </c>
      <c r="Q27" s="99"/>
      <c r="R27" s="99"/>
      <c r="S27" s="98"/>
      <c r="T27" s="93"/>
      <c r="U27" s="93"/>
      <c r="V27" s="93"/>
      <c r="W27" s="93"/>
      <c r="X27" s="93">
        <f>IF($B27="Yes",COUNTIF(Reference!P$52:P$67,$K27),"")</f>
        <v>0</v>
      </c>
      <c r="Y27" s="93">
        <f>IF($B27="Yes",COUNTIF(Reference!Q$52:Q$67,$K27),"")</f>
        <v>0</v>
      </c>
      <c r="Z27" s="93">
        <f>IF($B27="Yes",COUNTIF(Reference!R$52:R$67,$K27),"")</f>
        <v>0</v>
      </c>
      <c r="AA27" s="93">
        <f>IF($B27="Yes",COUNTIF(Reference!S$52:S$67,$K27),"")</f>
        <v>0</v>
      </c>
      <c r="AB27" s="93">
        <f>IF($B27="Yes",COUNTIF(Reference!T$52:T$67,$K27),"")</f>
        <v>1</v>
      </c>
      <c r="AC27" s="93">
        <f t="shared" si="2"/>
        <v>0</v>
      </c>
      <c r="AD27" s="97"/>
      <c r="AE27" s="97"/>
      <c r="AF27" s="97"/>
      <c r="AG27" s="97"/>
      <c r="AH27" s="97"/>
      <c r="AI27" s="97"/>
      <c r="AJ27" s="97"/>
      <c r="AK27" s="97"/>
      <c r="AL27" s="97"/>
      <c r="AM27" s="97"/>
      <c r="AN27" s="97"/>
      <c r="AO27" s="97"/>
      <c r="AP27" s="97"/>
      <c r="AQ27" s="97"/>
      <c r="AR27" s="97"/>
      <c r="AS27" s="97"/>
    </row>
    <row r="28" spans="1:45" x14ac:dyDescent="0.25">
      <c r="A28" s="92">
        <v>118</v>
      </c>
      <c r="B28" s="95" t="str">
        <f t="shared" si="0"/>
        <v>Yes</v>
      </c>
      <c r="H28" s="92" t="str">
        <f t="shared" si="1"/>
        <v>PL1-118</v>
      </c>
      <c r="I28" s="98"/>
      <c r="J28" s="99" t="s">
        <v>127</v>
      </c>
      <c r="K28" s="99" t="s">
        <v>3</v>
      </c>
      <c r="L28" s="99" t="s">
        <v>30</v>
      </c>
      <c r="M28" s="99" t="s">
        <v>807</v>
      </c>
      <c r="N28" s="99" t="s">
        <v>145</v>
      </c>
      <c r="O28" s="99">
        <v>100</v>
      </c>
      <c r="P28" s="99" t="s">
        <v>995</v>
      </c>
      <c r="Q28" s="99"/>
      <c r="R28" s="99"/>
      <c r="S28" s="98"/>
      <c r="T28" s="93"/>
      <c r="U28" s="93"/>
      <c r="V28" s="93"/>
      <c r="W28" s="93"/>
      <c r="X28" s="93">
        <f>IF($B28="Yes",COUNTIF(Reference!P$52:P$67,$K28),"")</f>
        <v>1</v>
      </c>
      <c r="Y28" s="93">
        <f>IF($B28="Yes",COUNTIF(Reference!Q$52:Q$67,$K28),"")</f>
        <v>0</v>
      </c>
      <c r="Z28" s="93">
        <f>IF($B28="Yes",COUNTIF(Reference!R$52:R$67,$K28),"")</f>
        <v>0</v>
      </c>
      <c r="AA28" s="93">
        <f>IF($B28="Yes",COUNTIF(Reference!S$52:S$67,$K28),"")</f>
        <v>0</v>
      </c>
      <c r="AB28" s="93">
        <f>IF($B28="Yes",COUNTIF(Reference!T$52:T$67,$K28),"")</f>
        <v>0</v>
      </c>
      <c r="AC28" s="93">
        <f t="shared" si="2"/>
        <v>0</v>
      </c>
      <c r="AD28" s="97"/>
      <c r="AE28" s="97"/>
      <c r="AF28" s="97"/>
      <c r="AG28" s="97"/>
      <c r="AH28" s="97"/>
      <c r="AI28" s="97"/>
      <c r="AJ28" s="97"/>
      <c r="AK28" s="97"/>
      <c r="AL28" s="97"/>
      <c r="AM28" s="97"/>
      <c r="AN28" s="97"/>
      <c r="AO28" s="97"/>
      <c r="AP28" s="97"/>
      <c r="AQ28" s="97"/>
      <c r="AR28" s="97"/>
      <c r="AS28" s="97"/>
    </row>
    <row r="29" spans="1:45" x14ac:dyDescent="0.25">
      <c r="A29" s="92">
        <v>119</v>
      </c>
      <c r="B29" s="95" t="str">
        <f t="shared" si="0"/>
        <v>Yes</v>
      </c>
      <c r="H29" s="92" t="str">
        <f t="shared" si="1"/>
        <v>PL1-119</v>
      </c>
      <c r="I29" s="98"/>
      <c r="J29" s="99" t="s">
        <v>129</v>
      </c>
      <c r="K29" s="99" t="s">
        <v>434</v>
      </c>
      <c r="L29" s="99" t="s">
        <v>13</v>
      </c>
      <c r="M29" s="99" t="s">
        <v>380</v>
      </c>
      <c r="N29" s="99" t="s">
        <v>1197</v>
      </c>
      <c r="O29" s="99">
        <v>60</v>
      </c>
      <c r="P29" s="99" t="s">
        <v>995</v>
      </c>
      <c r="Q29" s="99"/>
      <c r="R29" s="99"/>
      <c r="S29" s="98"/>
      <c r="T29" s="93"/>
      <c r="U29" s="93"/>
      <c r="V29" s="93"/>
      <c r="W29" s="93"/>
      <c r="X29" s="93">
        <f>IF($B29="Yes",COUNTIF(Reference!P$52:P$67,$K29),"")</f>
        <v>1</v>
      </c>
      <c r="Y29" s="93">
        <f>IF($B29="Yes",COUNTIF(Reference!Q$52:Q$67,$K29),"")</f>
        <v>1</v>
      </c>
      <c r="Z29" s="93">
        <f>IF($B29="Yes",COUNTIF(Reference!R$52:R$67,$K29),"")</f>
        <v>0</v>
      </c>
      <c r="AA29" s="93">
        <f>IF($B29="Yes",COUNTIF(Reference!S$52:S$67,$K29),"")</f>
        <v>0</v>
      </c>
      <c r="AB29" s="93">
        <f>IF($B29="Yes",COUNTIF(Reference!T$52:T$67,$K29),"")</f>
        <v>0</v>
      </c>
      <c r="AC29" s="93">
        <f t="shared" si="2"/>
        <v>0</v>
      </c>
    </row>
    <row r="30" spans="1:45" x14ac:dyDescent="0.25">
      <c r="A30" s="92">
        <v>120</v>
      </c>
      <c r="B30" s="95" t="str">
        <f t="shared" si="0"/>
        <v>Yes</v>
      </c>
      <c r="H30" s="92" t="str">
        <f t="shared" si="1"/>
        <v>PL1-120</v>
      </c>
      <c r="I30" s="98"/>
      <c r="J30" s="99" t="s">
        <v>987</v>
      </c>
      <c r="K30" s="99" t="s">
        <v>5</v>
      </c>
      <c r="L30" s="99" t="s">
        <v>13</v>
      </c>
      <c r="M30" s="99" t="s">
        <v>807</v>
      </c>
      <c r="N30" s="99" t="s">
        <v>1202</v>
      </c>
      <c r="O30" s="99">
        <v>60</v>
      </c>
      <c r="P30" s="99" t="s">
        <v>995</v>
      </c>
      <c r="Q30" s="99"/>
      <c r="R30" s="99"/>
      <c r="S30" s="98"/>
      <c r="T30" s="93"/>
      <c r="U30" s="93"/>
      <c r="V30" s="93"/>
      <c r="W30" s="93"/>
      <c r="X30" s="93">
        <f>IF($B30="Yes",COUNTIF(Reference!P$52:P$67,$K30),"")</f>
        <v>0</v>
      </c>
      <c r="Y30" s="93">
        <f>IF($B30="Yes",COUNTIF(Reference!Q$52:Q$67,$K30),"")</f>
        <v>0</v>
      </c>
      <c r="Z30" s="93">
        <f>IF($B30="Yes",COUNTIF(Reference!R$52:R$67,$K30),"")</f>
        <v>1</v>
      </c>
      <c r="AA30" s="93">
        <f>IF($B30="Yes",COUNTIF(Reference!S$52:S$67,$K30),"")</f>
        <v>0</v>
      </c>
      <c r="AB30" s="93">
        <f>IF($B30="Yes",COUNTIF(Reference!T$52:T$67,$K30),"")</f>
        <v>0</v>
      </c>
      <c r="AC30" s="93">
        <f t="shared" si="2"/>
        <v>0</v>
      </c>
    </row>
    <row r="31" spans="1:45" x14ac:dyDescent="0.25">
      <c r="A31" s="92">
        <v>121</v>
      </c>
      <c r="B31" s="95" t="str">
        <f t="shared" si="0"/>
        <v>Yes</v>
      </c>
      <c r="H31" s="92" t="str">
        <f t="shared" si="1"/>
        <v>PL1-121</v>
      </c>
      <c r="I31" s="98"/>
      <c r="J31" s="99" t="s">
        <v>130</v>
      </c>
      <c r="K31" s="99" t="s">
        <v>422</v>
      </c>
      <c r="L31" s="99" t="s">
        <v>30</v>
      </c>
      <c r="M31" s="99" t="s">
        <v>5</v>
      </c>
      <c r="N31" s="99" t="s">
        <v>116</v>
      </c>
      <c r="O31" s="99">
        <v>100</v>
      </c>
      <c r="P31" s="99" t="s">
        <v>995</v>
      </c>
      <c r="Q31" s="99"/>
      <c r="R31" s="99"/>
      <c r="S31" s="98"/>
      <c r="T31" s="93"/>
      <c r="U31" s="93"/>
      <c r="V31" s="93"/>
      <c r="W31" s="93"/>
      <c r="X31" s="93">
        <f>IF($B31="Yes",COUNTIF(Reference!P$52:P$67,$K31),"")</f>
        <v>1</v>
      </c>
      <c r="Y31" s="93">
        <f>IF($B31="Yes",COUNTIF(Reference!Q$52:Q$67,$K31),"")</f>
        <v>0</v>
      </c>
      <c r="Z31" s="93">
        <f>IF($B31="Yes",COUNTIF(Reference!R$52:R$67,$K31),"")</f>
        <v>1</v>
      </c>
      <c r="AA31" s="93">
        <f>IF($B31="Yes",COUNTIF(Reference!S$52:S$67,$K31),"")</f>
        <v>0</v>
      </c>
      <c r="AB31" s="93">
        <f>IF($B31="Yes",COUNTIF(Reference!T$52:T$67,$K31),"")</f>
        <v>1</v>
      </c>
      <c r="AC31" s="93">
        <f t="shared" si="2"/>
        <v>0</v>
      </c>
    </row>
    <row r="32" spans="1:45" x14ac:dyDescent="0.25">
      <c r="A32" s="92">
        <v>122</v>
      </c>
      <c r="B32" s="95" t="str">
        <f t="shared" si="0"/>
        <v>Yes</v>
      </c>
      <c r="H32" s="92" t="str">
        <f t="shared" si="1"/>
        <v>PL1-122</v>
      </c>
      <c r="I32" s="98"/>
      <c r="J32" s="99" t="s">
        <v>131</v>
      </c>
      <c r="K32" s="99" t="s">
        <v>428</v>
      </c>
      <c r="L32" s="99" t="s">
        <v>13</v>
      </c>
      <c r="M32" s="99" t="s">
        <v>807</v>
      </c>
      <c r="N32" s="99" t="s">
        <v>134</v>
      </c>
      <c r="O32" s="99">
        <v>60</v>
      </c>
      <c r="P32" s="99" t="s">
        <v>995</v>
      </c>
      <c r="Q32" s="99"/>
      <c r="R32" s="99"/>
      <c r="S32" s="98"/>
      <c r="T32" s="93"/>
      <c r="U32" s="93"/>
      <c r="V32" s="93"/>
      <c r="W32" s="93"/>
      <c r="X32" s="93">
        <f>IF($B32="Yes",COUNTIF(Reference!P$52:P$67,$K32),"")</f>
        <v>0</v>
      </c>
      <c r="Y32" s="93">
        <f>IF($B32="Yes",COUNTIF(Reference!Q$52:Q$67,$K32),"")</f>
        <v>0</v>
      </c>
      <c r="Z32" s="93">
        <f>IF($B32="Yes",COUNTIF(Reference!R$52:R$67,$K32),"")</f>
        <v>0</v>
      </c>
      <c r="AA32" s="93">
        <f>IF($B32="Yes",COUNTIF(Reference!S$52:S$67,$K32),"")</f>
        <v>1</v>
      </c>
      <c r="AB32" s="93">
        <f>IF($B32="Yes",COUNTIF(Reference!T$52:T$67,$K32),"")</f>
        <v>1</v>
      </c>
      <c r="AC32" s="93">
        <f t="shared" si="2"/>
        <v>0</v>
      </c>
    </row>
    <row r="33" spans="1:29" x14ac:dyDescent="0.25">
      <c r="A33" s="92">
        <v>123</v>
      </c>
      <c r="B33" s="95" t="str">
        <f t="shared" si="0"/>
        <v>Yes</v>
      </c>
      <c r="H33" s="92" t="str">
        <f t="shared" si="1"/>
        <v>PL1-123</v>
      </c>
      <c r="I33" s="98"/>
      <c r="J33" s="99" t="s">
        <v>133</v>
      </c>
      <c r="K33" s="99" t="s">
        <v>420</v>
      </c>
      <c r="L33" s="99" t="s">
        <v>13</v>
      </c>
      <c r="M33" s="99" t="s">
        <v>807</v>
      </c>
      <c r="N33" s="99" t="s">
        <v>1200</v>
      </c>
      <c r="O33" s="99">
        <v>60</v>
      </c>
      <c r="P33" s="99" t="s">
        <v>995</v>
      </c>
      <c r="Q33" s="99"/>
      <c r="R33" s="99"/>
      <c r="S33" s="98"/>
      <c r="T33" s="93"/>
      <c r="U33" s="93"/>
      <c r="V33" s="93"/>
      <c r="W33" s="93"/>
      <c r="X33" s="93">
        <f>IF($B33="Yes",COUNTIF(Reference!P$52:P$67,$K33),"")</f>
        <v>0</v>
      </c>
      <c r="Y33" s="93">
        <f>IF($B33="Yes",COUNTIF(Reference!Q$52:Q$67,$K33),"")</f>
        <v>0</v>
      </c>
      <c r="Z33" s="93">
        <f>IF($B33="Yes",COUNTIF(Reference!R$52:R$67,$K33),"")</f>
        <v>1</v>
      </c>
      <c r="AA33" s="93">
        <f>IF($B33="Yes",COUNTIF(Reference!S$52:S$67,$K33),"")</f>
        <v>1</v>
      </c>
      <c r="AB33" s="93">
        <f>IF($B33="Yes",COUNTIF(Reference!T$52:T$67,$K33),"")</f>
        <v>0</v>
      </c>
      <c r="AC33" s="93">
        <f t="shared" si="2"/>
        <v>0</v>
      </c>
    </row>
    <row r="34" spans="1:29" x14ac:dyDescent="0.25">
      <c r="A34" s="92">
        <v>124</v>
      </c>
      <c r="B34" s="95" t="str">
        <f t="shared" si="0"/>
        <v>Yes</v>
      </c>
      <c r="H34" s="92" t="str">
        <f t="shared" si="1"/>
        <v>PL1-124</v>
      </c>
      <c r="I34" s="98"/>
      <c r="J34" s="99" t="s">
        <v>135</v>
      </c>
      <c r="K34" s="99" t="s">
        <v>459</v>
      </c>
      <c r="L34" s="99" t="s">
        <v>13</v>
      </c>
      <c r="M34" s="99" t="s">
        <v>808</v>
      </c>
      <c r="N34" s="99" t="s">
        <v>143</v>
      </c>
      <c r="O34" s="99">
        <v>60</v>
      </c>
      <c r="P34" s="99" t="s">
        <v>136</v>
      </c>
      <c r="Q34" s="99"/>
      <c r="R34" s="99"/>
      <c r="S34" s="98"/>
      <c r="T34" s="93"/>
      <c r="U34" s="93"/>
      <c r="V34" s="93"/>
      <c r="W34" s="93"/>
      <c r="X34" s="93">
        <f>IF($B34="Yes",COUNTIF(Reference!P$52:P$67,$K34),"")</f>
        <v>1</v>
      </c>
      <c r="Y34" s="93">
        <f>IF($B34="Yes",COUNTIF(Reference!Q$52:Q$67,$K34),"")</f>
        <v>1</v>
      </c>
      <c r="Z34" s="93">
        <f>IF($B34="Yes",COUNTIF(Reference!R$52:R$67,$K34),"")</f>
        <v>1</v>
      </c>
      <c r="AA34" s="93">
        <f>IF($B34="Yes",COUNTIF(Reference!S$52:S$67,$K34),"")</f>
        <v>1</v>
      </c>
      <c r="AB34" s="93">
        <f>IF($B34="Yes",COUNTIF(Reference!T$52:T$67,$K34),"")</f>
        <v>1</v>
      </c>
      <c r="AC34" s="93">
        <f t="shared" si="2"/>
        <v>0</v>
      </c>
    </row>
    <row r="35" spans="1:29" x14ac:dyDescent="0.25">
      <c r="A35" s="92">
        <v>125</v>
      </c>
      <c r="B35" s="95" t="str">
        <f t="shared" si="0"/>
        <v>Yes</v>
      </c>
      <c r="H35" s="92" t="str">
        <f t="shared" si="1"/>
        <v>PL1-125</v>
      </c>
      <c r="I35" s="98"/>
      <c r="J35" s="99" t="s">
        <v>137</v>
      </c>
      <c r="K35" s="99" t="s">
        <v>441</v>
      </c>
      <c r="L35" s="99" t="s">
        <v>13</v>
      </c>
      <c r="M35" s="99" t="s">
        <v>5</v>
      </c>
      <c r="N35" s="99" t="s">
        <v>125</v>
      </c>
      <c r="O35" s="99">
        <v>60</v>
      </c>
      <c r="P35" s="99" t="s">
        <v>138</v>
      </c>
      <c r="Q35" s="99"/>
      <c r="R35" s="99"/>
      <c r="S35" s="98"/>
      <c r="T35" s="93"/>
      <c r="U35" s="93"/>
      <c r="V35" s="93"/>
      <c r="W35" s="93"/>
      <c r="X35" s="93">
        <f>IF($B35="Yes",COUNTIF(Reference!P$52:P$67,$K35),"")</f>
        <v>0</v>
      </c>
      <c r="Y35" s="93">
        <f>IF($B35="Yes",COUNTIF(Reference!Q$52:Q$67,$K35),"")</f>
        <v>1</v>
      </c>
      <c r="Z35" s="93">
        <f>IF($B35="Yes",COUNTIF(Reference!R$52:R$67,$K35),"")</f>
        <v>0</v>
      </c>
      <c r="AA35" s="93">
        <f>IF($B35="Yes",COUNTIF(Reference!S$52:S$67,$K35),"")</f>
        <v>1</v>
      </c>
      <c r="AB35" s="93">
        <f>IF($B35="Yes",COUNTIF(Reference!T$52:T$67,$K35),"")</f>
        <v>0</v>
      </c>
      <c r="AC35" s="93">
        <f t="shared" si="2"/>
        <v>0</v>
      </c>
    </row>
    <row r="36" spans="1:29" x14ac:dyDescent="0.25">
      <c r="A36" s="92">
        <v>126</v>
      </c>
      <c r="B36" s="95" t="str">
        <f t="shared" si="0"/>
        <v>Yes</v>
      </c>
      <c r="H36" s="92" t="str">
        <f t="shared" si="1"/>
        <v>PL1-126</v>
      </c>
      <c r="I36" s="98"/>
      <c r="J36" s="99" t="s">
        <v>139</v>
      </c>
      <c r="K36" s="99" t="s">
        <v>434</v>
      </c>
      <c r="L36" s="99" t="s">
        <v>30</v>
      </c>
      <c r="M36" s="99" t="s">
        <v>807</v>
      </c>
      <c r="N36" s="99" t="s">
        <v>1200</v>
      </c>
      <c r="O36" s="99">
        <v>100</v>
      </c>
      <c r="P36" s="99" t="s">
        <v>995</v>
      </c>
      <c r="Q36" s="99"/>
      <c r="R36" s="99"/>
      <c r="S36" s="98"/>
      <c r="T36" s="93"/>
      <c r="U36" s="93"/>
      <c r="V36" s="93"/>
      <c r="W36" s="93"/>
      <c r="X36" s="93">
        <f>IF($B36="Yes",COUNTIF(Reference!P$52:P$67,$K36),"")</f>
        <v>1</v>
      </c>
      <c r="Y36" s="93">
        <f>IF($B36="Yes",COUNTIF(Reference!Q$52:Q$67,$K36),"")</f>
        <v>1</v>
      </c>
      <c r="Z36" s="93">
        <f>IF($B36="Yes",COUNTIF(Reference!R$52:R$67,$K36),"")</f>
        <v>0</v>
      </c>
      <c r="AA36" s="93">
        <f>IF($B36="Yes",COUNTIF(Reference!S$52:S$67,$K36),"")</f>
        <v>0</v>
      </c>
      <c r="AB36" s="93">
        <f>IF($B36="Yes",COUNTIF(Reference!T$52:T$67,$K36),"")</f>
        <v>0</v>
      </c>
      <c r="AC36" s="93">
        <f t="shared" si="2"/>
        <v>0</v>
      </c>
    </row>
    <row r="37" spans="1:29" x14ac:dyDescent="0.25">
      <c r="A37" s="92">
        <v>127</v>
      </c>
      <c r="B37" s="95" t="str">
        <f t="shared" si="0"/>
        <v>Yes</v>
      </c>
      <c r="H37" s="92" t="str">
        <f t="shared" si="1"/>
        <v>PL1-127</v>
      </c>
      <c r="I37" s="98"/>
      <c r="J37" s="99" t="s">
        <v>884</v>
      </c>
      <c r="K37" s="99" t="s">
        <v>6</v>
      </c>
      <c r="L37" s="99" t="s">
        <v>899</v>
      </c>
      <c r="M37" s="99" t="s">
        <v>5</v>
      </c>
      <c r="N37" s="99" t="s">
        <v>128</v>
      </c>
      <c r="O37" s="99">
        <v>100</v>
      </c>
      <c r="P37" s="99" t="s">
        <v>995</v>
      </c>
      <c r="Q37" s="99"/>
      <c r="R37" s="99"/>
      <c r="S37" s="98"/>
      <c r="T37" s="93"/>
      <c r="U37" s="93"/>
      <c r="V37" s="93"/>
      <c r="W37" s="93"/>
      <c r="X37" s="93">
        <f>IF($B37="Yes",COUNTIF(Reference!P$52:P$67,$K37),"")</f>
        <v>0</v>
      </c>
      <c r="Y37" s="93">
        <f>IF($B37="Yes",COUNTIF(Reference!Q$52:Q$67,$K37),"")</f>
        <v>0</v>
      </c>
      <c r="Z37" s="93">
        <f>IF($B37="Yes",COUNTIF(Reference!R$52:R$67,$K37),"")</f>
        <v>0</v>
      </c>
      <c r="AA37" s="93">
        <f>IF($B37="Yes",COUNTIF(Reference!S$52:S$67,$K37),"")</f>
        <v>1</v>
      </c>
      <c r="AB37" s="93">
        <f>IF($B37="Yes",COUNTIF(Reference!T$52:T$67,$K37),"")</f>
        <v>0</v>
      </c>
      <c r="AC37" s="93">
        <f t="shared" si="2"/>
        <v>0</v>
      </c>
    </row>
    <row r="38" spans="1:29" x14ac:dyDescent="0.25">
      <c r="A38" s="92">
        <v>128</v>
      </c>
      <c r="B38" s="95" t="str">
        <f t="shared" si="0"/>
        <v>Yes</v>
      </c>
      <c r="H38" s="92" t="str">
        <f t="shared" si="1"/>
        <v>PL1-128</v>
      </c>
      <c r="I38" s="98"/>
      <c r="J38" s="99" t="s">
        <v>140</v>
      </c>
      <c r="K38" s="99" t="s">
        <v>5</v>
      </c>
      <c r="L38" s="99" t="s">
        <v>13</v>
      </c>
      <c r="M38" s="99" t="s">
        <v>807</v>
      </c>
      <c r="N38" s="99" t="s">
        <v>108</v>
      </c>
      <c r="O38" s="99">
        <v>60</v>
      </c>
      <c r="P38" s="99" t="s">
        <v>141</v>
      </c>
      <c r="Q38" s="99"/>
      <c r="R38" s="99"/>
      <c r="S38" s="98"/>
      <c r="T38" s="93"/>
      <c r="U38" s="93"/>
      <c r="V38" s="93"/>
      <c r="W38" s="93"/>
      <c r="X38" s="93">
        <f>IF($B38="Yes",COUNTIF(Reference!P$52:P$67,$K38),"")</f>
        <v>0</v>
      </c>
      <c r="Y38" s="93">
        <f>IF($B38="Yes",COUNTIF(Reference!Q$52:Q$67,$K38),"")</f>
        <v>0</v>
      </c>
      <c r="Z38" s="93">
        <f>IF($B38="Yes",COUNTIF(Reference!R$52:R$67,$K38),"")</f>
        <v>1</v>
      </c>
      <c r="AA38" s="93">
        <f>IF($B38="Yes",COUNTIF(Reference!S$52:S$67,$K38),"")</f>
        <v>0</v>
      </c>
      <c r="AB38" s="93">
        <f>IF($B38="Yes",COUNTIF(Reference!T$52:T$67,$K38),"")</f>
        <v>0</v>
      </c>
      <c r="AC38" s="93">
        <f t="shared" si="2"/>
        <v>0</v>
      </c>
    </row>
    <row r="39" spans="1:29" x14ac:dyDescent="0.25">
      <c r="A39" s="92">
        <v>129</v>
      </c>
      <c r="B39" s="95" t="str">
        <f t="shared" si="0"/>
        <v>Yes</v>
      </c>
      <c r="H39" s="92" t="str">
        <f t="shared" si="1"/>
        <v>PL1-129</v>
      </c>
      <c r="I39" s="98"/>
      <c r="J39" s="99" t="s">
        <v>142</v>
      </c>
      <c r="K39" s="99" t="s">
        <v>6</v>
      </c>
      <c r="L39" s="99" t="s">
        <v>13</v>
      </c>
      <c r="M39" s="99" t="s">
        <v>5</v>
      </c>
      <c r="N39" s="99" t="s">
        <v>132</v>
      </c>
      <c r="O39" s="99">
        <v>60</v>
      </c>
      <c r="P39" s="99" t="s">
        <v>995</v>
      </c>
      <c r="Q39" s="99"/>
      <c r="R39" s="99"/>
      <c r="S39" s="98"/>
      <c r="T39" s="93"/>
      <c r="U39" s="93"/>
      <c r="V39" s="93"/>
      <c r="W39" s="93"/>
      <c r="X39" s="93">
        <f>IF($B39="Yes",COUNTIF(Reference!P$52:P$67,$K39),"")</f>
        <v>0</v>
      </c>
      <c r="Y39" s="93">
        <f>IF($B39="Yes",COUNTIF(Reference!Q$52:Q$67,$K39),"")</f>
        <v>0</v>
      </c>
      <c r="Z39" s="93">
        <f>IF($B39="Yes",COUNTIF(Reference!R$52:R$67,$K39),"")</f>
        <v>0</v>
      </c>
      <c r="AA39" s="93">
        <f>IF($B39="Yes",COUNTIF(Reference!S$52:S$67,$K39),"")</f>
        <v>1</v>
      </c>
      <c r="AB39" s="93">
        <f>IF($B39="Yes",COUNTIF(Reference!T$52:T$67,$K39),"")</f>
        <v>0</v>
      </c>
      <c r="AC39" s="93">
        <f t="shared" si="2"/>
        <v>0</v>
      </c>
    </row>
    <row r="40" spans="1:29" x14ac:dyDescent="0.25">
      <c r="A40" s="92">
        <v>130</v>
      </c>
      <c r="B40" s="95" t="str">
        <f t="shared" si="0"/>
        <v>Yes</v>
      </c>
      <c r="H40" s="92" t="str">
        <f t="shared" si="1"/>
        <v>PL1-130</v>
      </c>
      <c r="I40" s="98"/>
      <c r="J40" s="99" t="s">
        <v>144</v>
      </c>
      <c r="K40" s="99" t="s">
        <v>6</v>
      </c>
      <c r="L40" s="99" t="s">
        <v>13</v>
      </c>
      <c r="M40" s="99" t="s">
        <v>809</v>
      </c>
      <c r="N40" s="99" t="s">
        <v>1197</v>
      </c>
      <c r="O40" s="99">
        <v>60</v>
      </c>
      <c r="P40" s="99" t="s">
        <v>995</v>
      </c>
      <c r="Q40" s="99"/>
      <c r="R40" s="99"/>
      <c r="S40" s="98"/>
      <c r="T40" s="93"/>
      <c r="U40" s="93"/>
      <c r="V40" s="93"/>
      <c r="W40" s="93"/>
      <c r="X40" s="93">
        <f>IF($B40="Yes",COUNTIF(Reference!P$52:P$67,$K40),"")</f>
        <v>0</v>
      </c>
      <c r="Y40" s="93">
        <f>IF($B40="Yes",COUNTIF(Reference!Q$52:Q$67,$K40),"")</f>
        <v>0</v>
      </c>
      <c r="Z40" s="93">
        <f>IF($B40="Yes",COUNTIF(Reference!R$52:R$67,$K40),"")</f>
        <v>0</v>
      </c>
      <c r="AA40" s="93">
        <f>IF($B40="Yes",COUNTIF(Reference!S$52:S$67,$K40),"")</f>
        <v>1</v>
      </c>
      <c r="AB40" s="93">
        <f>IF($B40="Yes",COUNTIF(Reference!T$52:T$67,$K40),"")</f>
        <v>0</v>
      </c>
      <c r="AC40" s="93">
        <f t="shared" si="2"/>
        <v>0</v>
      </c>
    </row>
    <row r="41" spans="1:29" x14ac:dyDescent="0.25">
      <c r="A41" s="92">
        <v>131</v>
      </c>
      <c r="B41" s="95" t="str">
        <f t="shared" si="0"/>
        <v>Yes</v>
      </c>
      <c r="H41" s="92" t="str">
        <f t="shared" si="1"/>
        <v>PL1-131</v>
      </c>
      <c r="I41" s="98"/>
      <c r="J41" s="99" t="s">
        <v>146</v>
      </c>
      <c r="K41" s="99" t="s">
        <v>426</v>
      </c>
      <c r="L41" s="99" t="s">
        <v>147</v>
      </c>
      <c r="M41" s="99" t="s">
        <v>807</v>
      </c>
      <c r="N41" s="99" t="s">
        <v>132</v>
      </c>
      <c r="O41" s="99">
        <v>80</v>
      </c>
      <c r="P41" s="99" t="s">
        <v>995</v>
      </c>
      <c r="Q41" s="99"/>
      <c r="R41" s="99"/>
      <c r="S41" s="98"/>
      <c r="T41" s="93"/>
      <c r="U41" s="93"/>
      <c r="V41" s="93"/>
      <c r="W41" s="93"/>
      <c r="X41" s="93">
        <f>IF($B41="Yes",COUNTIF(Reference!P$52:P$67,$K41),"")</f>
        <v>1</v>
      </c>
      <c r="Y41" s="93">
        <f>IF($B41="Yes",COUNTIF(Reference!Q$52:Q$67,$K41),"")</f>
        <v>0</v>
      </c>
      <c r="Z41" s="93">
        <f>IF($B41="Yes",COUNTIF(Reference!R$52:R$67,$K41),"")</f>
        <v>1</v>
      </c>
      <c r="AA41" s="93">
        <f>IF($B41="Yes",COUNTIF(Reference!S$52:S$67,$K41),"")</f>
        <v>1</v>
      </c>
      <c r="AB41" s="93">
        <f>IF($B41="Yes",COUNTIF(Reference!T$52:T$67,$K41),"")</f>
        <v>0</v>
      </c>
      <c r="AC41" s="93">
        <f t="shared" si="2"/>
        <v>0</v>
      </c>
    </row>
    <row r="42" spans="1:29" x14ac:dyDescent="0.25">
      <c r="A42" s="92">
        <v>132</v>
      </c>
      <c r="B42" s="95" t="str">
        <f t="shared" si="0"/>
        <v>Yes</v>
      </c>
      <c r="H42" s="92" t="str">
        <f t="shared" si="1"/>
        <v>PL1-132</v>
      </c>
      <c r="I42" s="98"/>
      <c r="J42" s="99" t="s">
        <v>26</v>
      </c>
      <c r="K42" s="99" t="s">
        <v>459</v>
      </c>
      <c r="L42" s="99" t="s">
        <v>1204</v>
      </c>
      <c r="M42" s="99" t="s">
        <v>809</v>
      </c>
      <c r="N42" s="99" t="s">
        <v>1205</v>
      </c>
      <c r="O42" s="99">
        <v>60</v>
      </c>
      <c r="P42" s="99" t="s">
        <v>995</v>
      </c>
      <c r="Q42" s="99"/>
      <c r="R42" s="99"/>
      <c r="S42" s="98"/>
      <c r="T42" s="93"/>
      <c r="U42" s="93"/>
      <c r="V42" s="93"/>
      <c r="W42" s="93"/>
      <c r="X42" s="93">
        <f>IF($B42="Yes",COUNTIF(Reference!P$52:P$67,$K42),"")</f>
        <v>1</v>
      </c>
      <c r="Y42" s="93">
        <f>IF($B42="Yes",COUNTIF(Reference!Q$52:Q$67,$K42),"")</f>
        <v>1</v>
      </c>
      <c r="Z42" s="93">
        <f>IF($B42="Yes",COUNTIF(Reference!R$52:R$67,$K42),"")</f>
        <v>1</v>
      </c>
      <c r="AA42" s="93">
        <f>IF($B42="Yes",COUNTIF(Reference!S$52:S$67,$K42),"")</f>
        <v>1</v>
      </c>
      <c r="AB42" s="93">
        <f>IF($B42="Yes",COUNTIF(Reference!T$52:T$67,$K42),"")</f>
        <v>1</v>
      </c>
      <c r="AC42" s="93">
        <f t="shared" si="2"/>
        <v>0</v>
      </c>
    </row>
    <row r="43" spans="1:29" x14ac:dyDescent="0.25">
      <c r="A43" s="92">
        <v>133</v>
      </c>
      <c r="B43" s="95" t="str">
        <f t="shared" si="0"/>
        <v>Yes</v>
      </c>
      <c r="H43" s="92" t="str">
        <f t="shared" si="1"/>
        <v>PL1-133</v>
      </c>
      <c r="I43" s="98"/>
      <c r="J43" s="99" t="s">
        <v>148</v>
      </c>
      <c r="K43" s="99" t="s">
        <v>7</v>
      </c>
      <c r="L43" s="99" t="s">
        <v>13</v>
      </c>
      <c r="M43" s="99" t="s">
        <v>380</v>
      </c>
      <c r="N43" s="99" t="s">
        <v>898</v>
      </c>
      <c r="O43" s="99">
        <v>60</v>
      </c>
      <c r="P43" s="99" t="s">
        <v>995</v>
      </c>
      <c r="Q43" s="99"/>
      <c r="R43" s="99"/>
      <c r="S43" s="98"/>
      <c r="T43" s="93"/>
      <c r="U43" s="93"/>
      <c r="V43" s="93"/>
      <c r="W43" s="93"/>
      <c r="X43" s="93">
        <f>IF($B43="Yes",COUNTIF(Reference!P$52:P$67,$K43),"")</f>
        <v>0</v>
      </c>
      <c r="Y43" s="93">
        <f>IF($B43="Yes",COUNTIF(Reference!Q$52:Q$67,$K43),"")</f>
        <v>0</v>
      </c>
      <c r="Z43" s="93">
        <f>IF($B43="Yes",COUNTIF(Reference!R$52:R$67,$K43),"")</f>
        <v>0</v>
      </c>
      <c r="AA43" s="93">
        <f>IF($B43="Yes",COUNTIF(Reference!S$52:S$67,$K43),"")</f>
        <v>0</v>
      </c>
      <c r="AB43" s="93">
        <f>IF($B43="Yes",COUNTIF(Reference!T$52:T$67,$K43),"")</f>
        <v>1</v>
      </c>
      <c r="AC43" s="93">
        <f t="shared" si="2"/>
        <v>0</v>
      </c>
    </row>
    <row r="44" spans="1:29" x14ac:dyDescent="0.25">
      <c r="A44" s="92">
        <v>134</v>
      </c>
      <c r="B44" s="95" t="str">
        <f t="shared" si="0"/>
        <v>Yes</v>
      </c>
      <c r="H44" s="92" t="str">
        <f t="shared" si="1"/>
        <v>PL1-134</v>
      </c>
      <c r="I44" s="98"/>
      <c r="J44" s="99" t="s">
        <v>149</v>
      </c>
      <c r="K44" s="99" t="s">
        <v>6</v>
      </c>
      <c r="L44" s="99" t="s">
        <v>13</v>
      </c>
      <c r="M44" s="99" t="s">
        <v>807</v>
      </c>
      <c r="N44" s="99" t="s">
        <v>109</v>
      </c>
      <c r="O44" s="99">
        <v>60</v>
      </c>
      <c r="P44" s="99" t="s">
        <v>995</v>
      </c>
      <c r="Q44" s="99"/>
      <c r="R44" s="99"/>
      <c r="S44" s="98"/>
      <c r="T44" s="93"/>
      <c r="U44" s="93"/>
      <c r="V44" s="93"/>
      <c r="W44" s="93"/>
      <c r="X44" s="93">
        <f>IF($B44="Yes",COUNTIF(Reference!P$52:P$67,$K44),"")</f>
        <v>0</v>
      </c>
      <c r="Y44" s="93">
        <f>IF($B44="Yes",COUNTIF(Reference!Q$52:Q$67,$K44),"")</f>
        <v>0</v>
      </c>
      <c r="Z44" s="93">
        <f>IF($B44="Yes",COUNTIF(Reference!R$52:R$67,$K44),"")</f>
        <v>0</v>
      </c>
      <c r="AA44" s="93">
        <f>IF($B44="Yes",COUNTIF(Reference!S$52:S$67,$K44),"")</f>
        <v>1</v>
      </c>
      <c r="AB44" s="93">
        <f>IF($B44="Yes",COUNTIF(Reference!T$52:T$67,$K44),"")</f>
        <v>0</v>
      </c>
      <c r="AC44" s="93">
        <f t="shared" si="2"/>
        <v>0</v>
      </c>
    </row>
    <row r="45" spans="1:29" x14ac:dyDescent="0.25">
      <c r="A45" s="92">
        <v>135</v>
      </c>
      <c r="B45" s="95" t="str">
        <f t="shared" si="0"/>
        <v>Yes</v>
      </c>
      <c r="H45" s="92" t="str">
        <f t="shared" si="1"/>
        <v>PL1-135</v>
      </c>
      <c r="I45" s="98"/>
      <c r="J45" s="99" t="s">
        <v>885</v>
      </c>
      <c r="K45" s="99" t="s">
        <v>434</v>
      </c>
      <c r="L45" s="99" t="s">
        <v>900</v>
      </c>
      <c r="M45" s="99" t="s">
        <v>5</v>
      </c>
      <c r="N45" s="99" t="s">
        <v>896</v>
      </c>
      <c r="O45" s="99">
        <v>60</v>
      </c>
      <c r="P45" s="99" t="s">
        <v>995</v>
      </c>
      <c r="Q45" s="99"/>
      <c r="R45" s="99"/>
      <c r="S45" s="98"/>
      <c r="T45" s="93"/>
      <c r="U45" s="93"/>
      <c r="V45" s="93"/>
      <c r="W45" s="93"/>
      <c r="X45" s="93">
        <f>IF($B45="Yes",COUNTIF(Reference!P$52:P$67,$K45),"")</f>
        <v>1</v>
      </c>
      <c r="Y45" s="93">
        <f>IF($B45="Yes",COUNTIF(Reference!Q$52:Q$67,$K45),"")</f>
        <v>1</v>
      </c>
      <c r="Z45" s="93">
        <f>IF($B45="Yes",COUNTIF(Reference!R$52:R$67,$K45),"")</f>
        <v>0</v>
      </c>
      <c r="AA45" s="93">
        <f>IF($B45="Yes",COUNTIF(Reference!S$52:S$67,$K45),"")</f>
        <v>0</v>
      </c>
      <c r="AB45" s="93">
        <f>IF($B45="Yes",COUNTIF(Reference!T$52:T$67,$K45),"")</f>
        <v>0</v>
      </c>
      <c r="AC45" s="93">
        <f t="shared" si="2"/>
        <v>0</v>
      </c>
    </row>
    <row r="46" spans="1:29" x14ac:dyDescent="0.25">
      <c r="A46" s="92">
        <v>136</v>
      </c>
      <c r="B46" s="95" t="str">
        <f t="shared" si="0"/>
        <v>Yes</v>
      </c>
      <c r="H46" s="92" t="str">
        <f t="shared" si="1"/>
        <v>PL1-136</v>
      </c>
      <c r="I46" s="98"/>
      <c r="J46" s="99" t="s">
        <v>150</v>
      </c>
      <c r="K46" s="99" t="s">
        <v>459</v>
      </c>
      <c r="L46" s="99" t="s">
        <v>13</v>
      </c>
      <c r="M46" s="99" t="s">
        <v>809</v>
      </c>
      <c r="N46" s="99" t="s">
        <v>116</v>
      </c>
      <c r="O46" s="99">
        <v>60</v>
      </c>
      <c r="P46" s="99" t="s">
        <v>152</v>
      </c>
      <c r="Q46" s="99"/>
      <c r="R46" s="99"/>
      <c r="S46" s="98"/>
      <c r="T46" s="93"/>
      <c r="U46" s="93"/>
      <c r="V46" s="93"/>
      <c r="W46" s="93"/>
      <c r="X46" s="93">
        <f>IF($B46="Yes",COUNTIF(Reference!P$52:P$67,$K46),"")</f>
        <v>1</v>
      </c>
      <c r="Y46" s="93">
        <f>IF($B46="Yes",COUNTIF(Reference!Q$52:Q$67,$K46),"")</f>
        <v>1</v>
      </c>
      <c r="Z46" s="93">
        <f>IF($B46="Yes",COUNTIF(Reference!R$52:R$67,$K46),"")</f>
        <v>1</v>
      </c>
      <c r="AA46" s="93">
        <f>IF($B46="Yes",COUNTIF(Reference!S$52:S$67,$K46),"")</f>
        <v>1</v>
      </c>
      <c r="AB46" s="93">
        <f>IF($B46="Yes",COUNTIF(Reference!T$52:T$67,$K46),"")</f>
        <v>1</v>
      </c>
      <c r="AC46" s="93">
        <f t="shared" si="2"/>
        <v>0</v>
      </c>
    </row>
    <row r="47" spans="1:29" x14ac:dyDescent="0.25">
      <c r="A47" s="92">
        <v>137</v>
      </c>
      <c r="B47" s="95" t="str">
        <f t="shared" si="0"/>
        <v>Yes</v>
      </c>
      <c r="H47" s="92" t="str">
        <f t="shared" si="1"/>
        <v>PL1-137</v>
      </c>
      <c r="I47" s="98"/>
      <c r="J47" s="99" t="s">
        <v>153</v>
      </c>
      <c r="K47" s="99" t="s">
        <v>459</v>
      </c>
      <c r="L47" s="99" t="s">
        <v>13</v>
      </c>
      <c r="M47" s="99" t="s">
        <v>807</v>
      </c>
      <c r="N47" s="99" t="s">
        <v>992</v>
      </c>
      <c r="O47" s="99">
        <v>60</v>
      </c>
      <c r="P47" s="99" t="s">
        <v>155</v>
      </c>
      <c r="Q47" s="99"/>
      <c r="R47" s="99"/>
      <c r="S47" s="98"/>
      <c r="T47" s="93"/>
      <c r="U47" s="93"/>
      <c r="V47" s="93"/>
      <c r="W47" s="93"/>
      <c r="X47" s="93">
        <f>IF($B47="Yes",COUNTIF(Reference!P$52:P$67,$K47),"")</f>
        <v>1</v>
      </c>
      <c r="Y47" s="93">
        <f>IF($B47="Yes",COUNTIF(Reference!Q$52:Q$67,$K47),"")</f>
        <v>1</v>
      </c>
      <c r="Z47" s="93">
        <f>IF($B47="Yes",COUNTIF(Reference!R$52:R$67,$K47),"")</f>
        <v>1</v>
      </c>
      <c r="AA47" s="93">
        <f>IF($B47="Yes",COUNTIF(Reference!S$52:S$67,$K47),"")</f>
        <v>1</v>
      </c>
      <c r="AB47" s="93">
        <f>IF($B47="Yes",COUNTIF(Reference!T$52:T$67,$K47),"")</f>
        <v>1</v>
      </c>
      <c r="AC47" s="93">
        <f t="shared" si="2"/>
        <v>0</v>
      </c>
    </row>
    <row r="48" spans="1:29" x14ac:dyDescent="0.25">
      <c r="A48" s="92">
        <v>138</v>
      </c>
      <c r="B48" s="95" t="str">
        <f t="shared" si="0"/>
        <v>Yes</v>
      </c>
      <c r="H48" s="92" t="str">
        <f t="shared" si="1"/>
        <v>PL1-138</v>
      </c>
      <c r="I48" s="98"/>
      <c r="J48" s="99" t="s">
        <v>156</v>
      </c>
      <c r="K48" s="99" t="s">
        <v>3</v>
      </c>
      <c r="L48" s="99" t="s">
        <v>13</v>
      </c>
      <c r="M48" s="99" t="s">
        <v>807</v>
      </c>
      <c r="N48" s="99" t="s">
        <v>898</v>
      </c>
      <c r="O48" s="99">
        <v>60</v>
      </c>
      <c r="P48" s="99" t="s">
        <v>157</v>
      </c>
      <c r="Q48" s="99"/>
      <c r="R48" s="99"/>
      <c r="S48" s="98"/>
      <c r="T48" s="93"/>
      <c r="U48" s="93"/>
      <c r="V48" s="93"/>
      <c r="W48" s="93"/>
      <c r="X48" s="93">
        <f>IF($B48="Yes",COUNTIF(Reference!P$52:P$67,$K48),"")</f>
        <v>1</v>
      </c>
      <c r="Y48" s="93">
        <f>IF($B48="Yes",COUNTIF(Reference!Q$52:Q$67,$K48),"")</f>
        <v>0</v>
      </c>
      <c r="Z48" s="93">
        <f>IF($B48="Yes",COUNTIF(Reference!R$52:R$67,$K48),"")</f>
        <v>0</v>
      </c>
      <c r="AA48" s="93">
        <f>IF($B48="Yes",COUNTIF(Reference!S$52:S$67,$K48),"")</f>
        <v>0</v>
      </c>
      <c r="AB48" s="93">
        <f>IF($B48="Yes",COUNTIF(Reference!T$52:T$67,$K48),"")</f>
        <v>0</v>
      </c>
      <c r="AC48" s="93">
        <f t="shared" si="2"/>
        <v>0</v>
      </c>
    </row>
    <row r="49" spans="1:29" x14ac:dyDescent="0.25">
      <c r="A49" s="92">
        <v>139</v>
      </c>
      <c r="B49" s="95" t="str">
        <f t="shared" si="0"/>
        <v>Yes</v>
      </c>
      <c r="H49" s="92" t="str">
        <f t="shared" si="1"/>
        <v>PL1-139</v>
      </c>
      <c r="I49" s="98"/>
      <c r="J49" s="99" t="s">
        <v>158</v>
      </c>
      <c r="K49" s="99" t="s">
        <v>423</v>
      </c>
      <c r="L49" s="99" t="s">
        <v>899</v>
      </c>
      <c r="M49" s="99" t="s">
        <v>5</v>
      </c>
      <c r="N49" s="99" t="s">
        <v>167</v>
      </c>
      <c r="O49" s="99">
        <v>100</v>
      </c>
      <c r="P49" s="99" t="s">
        <v>995</v>
      </c>
      <c r="Q49" s="99"/>
      <c r="R49" s="99"/>
      <c r="S49" s="98"/>
      <c r="T49" s="93"/>
      <c r="U49" s="93"/>
      <c r="V49" s="93"/>
      <c r="W49" s="93"/>
      <c r="X49" s="93">
        <f>IF($B49="Yes",COUNTIF(Reference!P$52:P$67,$K49),"")</f>
        <v>0</v>
      </c>
      <c r="Y49" s="93">
        <f>IF($B49="Yes",COUNTIF(Reference!Q$52:Q$67,$K49),"")</f>
        <v>1</v>
      </c>
      <c r="Z49" s="93">
        <f>IF($B49="Yes",COUNTIF(Reference!R$52:R$67,$K49),"")</f>
        <v>1</v>
      </c>
      <c r="AA49" s="93">
        <f>IF($B49="Yes",COUNTIF(Reference!S$52:S$67,$K49),"")</f>
        <v>0</v>
      </c>
      <c r="AB49" s="93">
        <f>IF($B49="Yes",COUNTIF(Reference!T$52:T$67,$K49),"")</f>
        <v>1</v>
      </c>
      <c r="AC49" s="93">
        <f t="shared" si="2"/>
        <v>0</v>
      </c>
    </row>
    <row r="50" spans="1:29" x14ac:dyDescent="0.25">
      <c r="A50" s="92">
        <v>140</v>
      </c>
      <c r="B50" s="95" t="str">
        <f t="shared" si="0"/>
        <v>Yes</v>
      </c>
      <c r="H50" s="92" t="str">
        <f t="shared" si="1"/>
        <v>PL1-140</v>
      </c>
      <c r="I50" s="98"/>
      <c r="J50" s="99" t="s">
        <v>159</v>
      </c>
      <c r="K50" s="99" t="s">
        <v>456</v>
      </c>
      <c r="L50" s="99" t="s">
        <v>13</v>
      </c>
      <c r="M50" s="99" t="s">
        <v>807</v>
      </c>
      <c r="N50" s="99" t="s">
        <v>132</v>
      </c>
      <c r="O50" s="99">
        <v>80</v>
      </c>
      <c r="P50" s="99" t="s">
        <v>160</v>
      </c>
      <c r="Q50" s="99"/>
      <c r="R50" s="99"/>
      <c r="S50" s="98"/>
      <c r="T50" s="93"/>
      <c r="U50" s="93"/>
      <c r="V50" s="93"/>
      <c r="W50" s="93"/>
      <c r="X50" s="93">
        <f>IF($B50="Yes",COUNTIF(Reference!P$52:P$67,$K50),"")</f>
        <v>1</v>
      </c>
      <c r="Y50" s="93">
        <f>IF($B50="Yes",COUNTIF(Reference!Q$52:Q$67,$K50),"")</f>
        <v>1</v>
      </c>
      <c r="Z50" s="93">
        <f>IF($B50="Yes",COUNTIF(Reference!R$52:R$67,$K50),"")</f>
        <v>1</v>
      </c>
      <c r="AA50" s="93">
        <f>IF($B50="Yes",COUNTIF(Reference!S$52:S$67,$K50),"")</f>
        <v>1</v>
      </c>
      <c r="AB50" s="93">
        <f>IF($B50="Yes",COUNTIF(Reference!T$52:T$67,$K50),"")</f>
        <v>0</v>
      </c>
      <c r="AC50" s="93">
        <f t="shared" si="2"/>
        <v>0</v>
      </c>
    </row>
    <row r="51" spans="1:29" x14ac:dyDescent="0.25">
      <c r="A51" s="92">
        <v>141</v>
      </c>
      <c r="B51" s="95" t="str">
        <f t="shared" si="0"/>
        <v>Yes</v>
      </c>
      <c r="H51" s="92" t="str">
        <f t="shared" si="1"/>
        <v>PL1-141</v>
      </c>
      <c r="I51" s="98"/>
      <c r="J51" s="99" t="s">
        <v>161</v>
      </c>
      <c r="K51" s="99" t="s">
        <v>418</v>
      </c>
      <c r="L51" s="99" t="s">
        <v>13</v>
      </c>
      <c r="M51" s="99" t="s">
        <v>808</v>
      </c>
      <c r="N51" s="99" t="s">
        <v>145</v>
      </c>
      <c r="O51" s="99">
        <v>60</v>
      </c>
      <c r="P51" s="99" t="s">
        <v>995</v>
      </c>
      <c r="Q51" s="99"/>
      <c r="R51" s="99"/>
      <c r="S51" s="98"/>
      <c r="T51" s="93"/>
      <c r="U51" s="93"/>
      <c r="V51" s="93"/>
      <c r="W51" s="93"/>
      <c r="X51" s="93">
        <f>IF($B51="Yes",COUNTIF(Reference!P$52:P$67,$K51),"")</f>
        <v>0</v>
      </c>
      <c r="Y51" s="93">
        <f>IF($B51="Yes",COUNTIF(Reference!Q$52:Q$67,$K51),"")</f>
        <v>1</v>
      </c>
      <c r="Z51" s="93">
        <f>IF($B51="Yes",COUNTIF(Reference!R$52:R$67,$K51),"")</f>
        <v>1</v>
      </c>
      <c r="AA51" s="93">
        <f>IF($B51="Yes",COUNTIF(Reference!S$52:S$67,$K51),"")</f>
        <v>0</v>
      </c>
      <c r="AB51" s="93">
        <f>IF($B51="Yes",COUNTIF(Reference!T$52:T$67,$K51),"")</f>
        <v>0</v>
      </c>
      <c r="AC51" s="93">
        <f t="shared" si="2"/>
        <v>0</v>
      </c>
    </row>
    <row r="52" spans="1:29" x14ac:dyDescent="0.25">
      <c r="A52" s="92">
        <v>142</v>
      </c>
      <c r="B52" s="95" t="str">
        <f t="shared" si="0"/>
        <v>Yes</v>
      </c>
      <c r="H52" s="92" t="str">
        <f t="shared" si="1"/>
        <v>PL1-142</v>
      </c>
      <c r="I52" s="98"/>
      <c r="J52" s="99" t="s">
        <v>162</v>
      </c>
      <c r="K52" s="99" t="s">
        <v>6</v>
      </c>
      <c r="L52" s="99" t="s">
        <v>13</v>
      </c>
      <c r="M52" s="99" t="s">
        <v>807</v>
      </c>
      <c r="N52" s="99" t="s">
        <v>154</v>
      </c>
      <c r="O52" s="99">
        <v>60</v>
      </c>
      <c r="P52" s="99" t="s">
        <v>995</v>
      </c>
      <c r="Q52" s="99"/>
      <c r="R52" s="99"/>
      <c r="S52" s="98"/>
      <c r="T52" s="93"/>
      <c r="U52" s="93"/>
      <c r="V52" s="93"/>
      <c r="W52" s="93"/>
      <c r="X52" s="93">
        <f>IF($B52="Yes",COUNTIF(Reference!P$52:P$67,$K52),"")</f>
        <v>0</v>
      </c>
      <c r="Y52" s="93">
        <f>IF($B52="Yes",COUNTIF(Reference!Q$52:Q$67,$K52),"")</f>
        <v>0</v>
      </c>
      <c r="Z52" s="93">
        <f>IF($B52="Yes",COUNTIF(Reference!R$52:R$67,$K52),"")</f>
        <v>0</v>
      </c>
      <c r="AA52" s="93">
        <f>IF($B52="Yes",COUNTIF(Reference!S$52:S$67,$K52),"")</f>
        <v>1</v>
      </c>
      <c r="AB52" s="93">
        <f>IF($B52="Yes",COUNTIF(Reference!T$52:T$67,$K52),"")</f>
        <v>0</v>
      </c>
      <c r="AC52" s="93">
        <f t="shared" si="2"/>
        <v>0</v>
      </c>
    </row>
    <row r="53" spans="1:29" x14ac:dyDescent="0.25">
      <c r="A53" s="92">
        <v>143</v>
      </c>
      <c r="B53" s="95" t="str">
        <f t="shared" si="0"/>
        <v>Yes</v>
      </c>
      <c r="H53" s="92" t="str">
        <f t="shared" si="1"/>
        <v>PL1-143</v>
      </c>
      <c r="I53" s="98"/>
      <c r="J53" s="99" t="s">
        <v>163</v>
      </c>
      <c r="K53" s="99" t="s">
        <v>6</v>
      </c>
      <c r="L53" s="99" t="s">
        <v>13</v>
      </c>
      <c r="M53" s="99" t="s">
        <v>807</v>
      </c>
      <c r="N53" s="99" t="s">
        <v>1202</v>
      </c>
      <c r="O53" s="99">
        <v>60</v>
      </c>
      <c r="P53" s="99" t="s">
        <v>995</v>
      </c>
      <c r="Q53" s="99"/>
      <c r="R53" s="99"/>
      <c r="S53" s="98"/>
      <c r="T53" s="93"/>
      <c r="U53" s="93"/>
      <c r="V53" s="93"/>
      <c r="W53" s="93"/>
      <c r="X53" s="93">
        <f>IF($B53="Yes",COUNTIF(Reference!P$52:P$67,$K53),"")</f>
        <v>0</v>
      </c>
      <c r="Y53" s="93">
        <f>IF($B53="Yes",COUNTIF(Reference!Q$52:Q$67,$K53),"")</f>
        <v>0</v>
      </c>
      <c r="Z53" s="93">
        <f>IF($B53="Yes",COUNTIF(Reference!R$52:R$67,$K53),"")</f>
        <v>0</v>
      </c>
      <c r="AA53" s="93">
        <f>IF($B53="Yes",COUNTIF(Reference!S$52:S$67,$K53),"")</f>
        <v>1</v>
      </c>
      <c r="AB53" s="93">
        <f>IF($B53="Yes",COUNTIF(Reference!T$52:T$67,$K53),"")</f>
        <v>0</v>
      </c>
      <c r="AC53" s="93">
        <f t="shared" si="2"/>
        <v>0</v>
      </c>
    </row>
    <row r="54" spans="1:29" x14ac:dyDescent="0.25">
      <c r="A54" s="92">
        <v>144</v>
      </c>
      <c r="B54" s="95" t="str">
        <f t="shared" si="0"/>
        <v>Yes</v>
      </c>
      <c r="H54" s="92" t="str">
        <f t="shared" si="1"/>
        <v>PL1-144</v>
      </c>
      <c r="I54" s="98"/>
      <c r="J54" s="99" t="s">
        <v>164</v>
      </c>
      <c r="K54" s="99" t="s">
        <v>441</v>
      </c>
      <c r="L54" s="99" t="s">
        <v>13</v>
      </c>
      <c r="M54" s="99" t="s">
        <v>808</v>
      </c>
      <c r="N54" s="99" t="s">
        <v>1206</v>
      </c>
      <c r="O54" s="99">
        <v>60</v>
      </c>
      <c r="P54" s="99" t="s">
        <v>995</v>
      </c>
      <c r="Q54" s="99"/>
      <c r="R54" s="99"/>
      <c r="S54" s="98"/>
      <c r="T54" s="93"/>
      <c r="U54" s="93"/>
      <c r="V54" s="93"/>
      <c r="W54" s="93"/>
      <c r="X54" s="93">
        <f>IF($B54="Yes",COUNTIF(Reference!P$52:P$67,$K54),"")</f>
        <v>0</v>
      </c>
      <c r="Y54" s="93">
        <f>IF($B54="Yes",COUNTIF(Reference!Q$52:Q$67,$K54),"")</f>
        <v>1</v>
      </c>
      <c r="Z54" s="93">
        <f>IF($B54="Yes",COUNTIF(Reference!R$52:R$67,$K54),"")</f>
        <v>0</v>
      </c>
      <c r="AA54" s="93">
        <f>IF($B54="Yes",COUNTIF(Reference!S$52:S$67,$K54),"")</f>
        <v>1</v>
      </c>
      <c r="AB54" s="93">
        <f>IF($B54="Yes",COUNTIF(Reference!T$52:T$67,$K54),"")</f>
        <v>0</v>
      </c>
      <c r="AC54" s="93">
        <f t="shared" si="2"/>
        <v>0</v>
      </c>
    </row>
    <row r="55" spans="1:29" x14ac:dyDescent="0.25">
      <c r="A55" s="92">
        <v>145</v>
      </c>
      <c r="B55" s="95" t="str">
        <f t="shared" si="0"/>
        <v>Yes</v>
      </c>
      <c r="H55" s="92" t="str">
        <f t="shared" si="1"/>
        <v>PL1-145</v>
      </c>
      <c r="I55" s="98"/>
      <c r="J55" s="99" t="s">
        <v>165</v>
      </c>
      <c r="K55" s="99" t="s">
        <v>6</v>
      </c>
      <c r="L55" s="99" t="s">
        <v>13</v>
      </c>
      <c r="M55" s="99" t="s">
        <v>807</v>
      </c>
      <c r="N55" s="99" t="s">
        <v>120</v>
      </c>
      <c r="O55" s="99">
        <v>60</v>
      </c>
      <c r="P55" s="99" t="s">
        <v>995</v>
      </c>
      <c r="Q55" s="99"/>
      <c r="R55" s="99"/>
      <c r="S55" s="98"/>
      <c r="T55" s="93"/>
      <c r="U55" s="93"/>
      <c r="V55" s="93"/>
      <c r="W55" s="93"/>
      <c r="X55" s="93">
        <f>IF($B55="Yes",COUNTIF(Reference!P$52:P$67,$K55),"")</f>
        <v>0</v>
      </c>
      <c r="Y55" s="93">
        <f>IF($B55="Yes",COUNTIF(Reference!Q$52:Q$67,$K55),"")</f>
        <v>0</v>
      </c>
      <c r="Z55" s="93">
        <f>IF($B55="Yes",COUNTIF(Reference!R$52:R$67,$K55),"")</f>
        <v>0</v>
      </c>
      <c r="AA55" s="93">
        <f>IF($B55="Yes",COUNTIF(Reference!S$52:S$67,$K55),"")</f>
        <v>1</v>
      </c>
      <c r="AB55" s="93">
        <f>IF($B55="Yes",COUNTIF(Reference!T$52:T$67,$K55),"")</f>
        <v>0</v>
      </c>
      <c r="AC55" s="93">
        <f t="shared" si="2"/>
        <v>0</v>
      </c>
    </row>
    <row r="56" spans="1:29" x14ac:dyDescent="0.25">
      <c r="A56" s="92">
        <v>146</v>
      </c>
      <c r="B56" s="95" t="str">
        <f t="shared" si="0"/>
        <v>Yes</v>
      </c>
      <c r="H56" s="92" t="str">
        <f t="shared" si="1"/>
        <v>PL1-146</v>
      </c>
      <c r="I56" s="98"/>
      <c r="J56" s="99" t="s">
        <v>166</v>
      </c>
      <c r="K56" s="99" t="s">
        <v>6</v>
      </c>
      <c r="L56" s="99" t="s">
        <v>13</v>
      </c>
      <c r="M56" s="99" t="s">
        <v>807</v>
      </c>
      <c r="N56" s="99" t="s">
        <v>897</v>
      </c>
      <c r="O56" s="99">
        <v>60</v>
      </c>
      <c r="P56" s="99" t="s">
        <v>995</v>
      </c>
      <c r="Q56" s="99"/>
      <c r="R56" s="99"/>
      <c r="S56" s="98"/>
      <c r="T56" s="93"/>
      <c r="U56" s="93"/>
      <c r="V56" s="93"/>
      <c r="W56" s="93"/>
      <c r="X56" s="93">
        <f>IF($B56="Yes",COUNTIF(Reference!P$52:P$67,$K56),"")</f>
        <v>0</v>
      </c>
      <c r="Y56" s="93">
        <f>IF($B56="Yes",COUNTIF(Reference!Q$52:Q$67,$K56),"")</f>
        <v>0</v>
      </c>
      <c r="Z56" s="93">
        <f>IF($B56="Yes",COUNTIF(Reference!R$52:R$67,$K56),"")</f>
        <v>0</v>
      </c>
      <c r="AA56" s="93">
        <f>IF($B56="Yes",COUNTIF(Reference!S$52:S$67,$K56),"")</f>
        <v>1</v>
      </c>
      <c r="AB56" s="93">
        <f>IF($B56="Yes",COUNTIF(Reference!T$52:T$67,$K56),"")</f>
        <v>0</v>
      </c>
      <c r="AC56" s="93">
        <f t="shared" si="2"/>
        <v>0</v>
      </c>
    </row>
    <row r="57" spans="1:29" x14ac:dyDescent="0.25">
      <c r="A57" s="92">
        <v>147</v>
      </c>
      <c r="B57" s="95" t="str">
        <f t="shared" si="0"/>
        <v>Yes</v>
      </c>
      <c r="H57" s="92" t="str">
        <f t="shared" si="1"/>
        <v>PL1-147</v>
      </c>
      <c r="I57" s="98"/>
      <c r="J57" s="99" t="s">
        <v>168</v>
      </c>
      <c r="K57" s="99" t="s">
        <v>5</v>
      </c>
      <c r="L57" s="99" t="s">
        <v>30</v>
      </c>
      <c r="M57" s="99" t="s">
        <v>807</v>
      </c>
      <c r="N57" s="99" t="s">
        <v>897</v>
      </c>
      <c r="O57" s="99">
        <v>100</v>
      </c>
      <c r="P57" s="99" t="s">
        <v>995</v>
      </c>
      <c r="Q57" s="99"/>
      <c r="R57" s="99"/>
      <c r="S57" s="98"/>
      <c r="T57" s="93"/>
      <c r="U57" s="93"/>
      <c r="V57" s="93"/>
      <c r="W57" s="93"/>
      <c r="X57" s="93">
        <f>IF($B57="Yes",COUNTIF(Reference!P$52:P$67,$K57),"")</f>
        <v>0</v>
      </c>
      <c r="Y57" s="93">
        <f>IF($B57="Yes",COUNTIF(Reference!Q$52:Q$67,$K57),"")</f>
        <v>0</v>
      </c>
      <c r="Z57" s="93">
        <f>IF($B57="Yes",COUNTIF(Reference!R$52:R$67,$K57),"")</f>
        <v>1</v>
      </c>
      <c r="AA57" s="93">
        <f>IF($B57="Yes",COUNTIF(Reference!S$52:S$67,$K57),"")</f>
        <v>0</v>
      </c>
      <c r="AB57" s="93">
        <f>IF($B57="Yes",COUNTIF(Reference!T$52:T$67,$K57),"")</f>
        <v>0</v>
      </c>
      <c r="AC57" s="93">
        <f t="shared" si="2"/>
        <v>0</v>
      </c>
    </row>
    <row r="58" spans="1:29" x14ac:dyDescent="0.25">
      <c r="A58" s="92">
        <v>148</v>
      </c>
      <c r="B58" s="95" t="str">
        <f t="shared" si="0"/>
        <v>Yes</v>
      </c>
      <c r="H58" s="92" t="str">
        <f t="shared" si="1"/>
        <v>PL1-148</v>
      </c>
      <c r="I58" s="98"/>
      <c r="J58" s="99" t="s">
        <v>996</v>
      </c>
      <c r="K58" s="99" t="s">
        <v>465</v>
      </c>
      <c r="L58" s="99" t="s">
        <v>1204</v>
      </c>
      <c r="M58" s="99" t="s">
        <v>807</v>
      </c>
      <c r="N58" s="99" t="s">
        <v>895</v>
      </c>
      <c r="O58" s="99">
        <v>60</v>
      </c>
      <c r="P58" s="99" t="s">
        <v>995</v>
      </c>
      <c r="Q58" s="99"/>
      <c r="R58" s="99"/>
      <c r="S58" s="98"/>
      <c r="T58" s="93"/>
      <c r="U58" s="93"/>
      <c r="V58" s="93"/>
      <c r="W58" s="93"/>
      <c r="X58" s="93">
        <f>IF($B58="Yes",COUNTIF(Reference!P$52:P$67,$K58),"")</f>
        <v>1</v>
      </c>
      <c r="Y58" s="93">
        <f>IF($B58="Yes",COUNTIF(Reference!Q$52:Q$67,$K58),"")</f>
        <v>1</v>
      </c>
      <c r="Z58" s="93">
        <f>IF($B58="Yes",COUNTIF(Reference!R$52:R$67,$K58),"")</f>
        <v>0</v>
      </c>
      <c r="AA58" s="93">
        <f>IF($B58="Yes",COUNTIF(Reference!S$52:S$67,$K58),"")</f>
        <v>1</v>
      </c>
      <c r="AB58" s="93">
        <f>IF($B58="Yes",COUNTIF(Reference!T$52:T$67,$K58),"")</f>
        <v>0</v>
      </c>
      <c r="AC58" s="93">
        <f t="shared" si="2"/>
        <v>0</v>
      </c>
    </row>
    <row r="59" spans="1:29" x14ac:dyDescent="0.25">
      <c r="A59" s="92">
        <v>149</v>
      </c>
      <c r="B59" s="95" t="str">
        <f t="shared" si="0"/>
        <v>Yes</v>
      </c>
      <c r="H59" s="92" t="str">
        <f t="shared" si="1"/>
        <v>PL1-149</v>
      </c>
      <c r="I59" s="98"/>
      <c r="J59" s="99" t="s">
        <v>169</v>
      </c>
      <c r="K59" s="99" t="s">
        <v>450</v>
      </c>
      <c r="L59" s="99" t="s">
        <v>13</v>
      </c>
      <c r="M59" s="99" t="s">
        <v>5</v>
      </c>
      <c r="N59" s="99" t="s">
        <v>134</v>
      </c>
      <c r="O59" s="99">
        <v>60</v>
      </c>
      <c r="P59" s="99" t="s">
        <v>995</v>
      </c>
      <c r="Q59" s="99"/>
      <c r="R59" s="99"/>
      <c r="S59" s="98"/>
      <c r="T59" s="93"/>
      <c r="U59" s="93"/>
      <c r="V59" s="93"/>
      <c r="W59" s="93"/>
      <c r="X59" s="93">
        <f>IF($B59="Yes",COUNTIF(Reference!P$52:P$67,$K59),"")</f>
        <v>1</v>
      </c>
      <c r="Y59" s="93">
        <f>IF($B59="Yes",COUNTIF(Reference!Q$52:Q$67,$K59),"")</f>
        <v>1</v>
      </c>
      <c r="Z59" s="93">
        <f>IF($B59="Yes",COUNTIF(Reference!R$52:R$67,$K59),"")</f>
        <v>1</v>
      </c>
      <c r="AA59" s="93">
        <f>IF($B59="Yes",COUNTIF(Reference!S$52:S$67,$K59),"")</f>
        <v>0</v>
      </c>
      <c r="AB59" s="93">
        <f>IF($B59="Yes",COUNTIF(Reference!T$52:T$67,$K59),"")</f>
        <v>0</v>
      </c>
      <c r="AC59" s="93">
        <f t="shared" si="2"/>
        <v>0</v>
      </c>
    </row>
    <row r="60" spans="1:29" x14ac:dyDescent="0.25">
      <c r="A60" s="92">
        <v>150</v>
      </c>
      <c r="B60" s="95" t="str">
        <f t="shared" si="0"/>
        <v>Yes</v>
      </c>
      <c r="H60" s="92" t="str">
        <f t="shared" si="1"/>
        <v>PL1-150</v>
      </c>
      <c r="I60" s="98"/>
      <c r="J60" s="99" t="s">
        <v>170</v>
      </c>
      <c r="K60" s="99" t="s">
        <v>440</v>
      </c>
      <c r="L60" s="99" t="s">
        <v>13</v>
      </c>
      <c r="M60" s="99" t="s">
        <v>809</v>
      </c>
      <c r="N60" s="99" t="s">
        <v>116</v>
      </c>
      <c r="O60" s="99">
        <v>60</v>
      </c>
      <c r="P60" s="99" t="s">
        <v>995</v>
      </c>
      <c r="Q60" s="99"/>
      <c r="R60" s="99"/>
      <c r="S60" s="98"/>
      <c r="T60" s="93"/>
      <c r="U60" s="93"/>
      <c r="V60" s="93"/>
      <c r="W60" s="93"/>
      <c r="X60" s="93">
        <f>IF($B60="Yes",COUNTIF(Reference!P$52:P$67,$K60),"")</f>
        <v>1</v>
      </c>
      <c r="Y60" s="93">
        <f>IF($B60="Yes",COUNTIF(Reference!Q$52:Q$67,$K60),"")</f>
        <v>0</v>
      </c>
      <c r="Z60" s="93">
        <f>IF($B60="Yes",COUNTIF(Reference!R$52:R$67,$K60),"")</f>
        <v>0</v>
      </c>
      <c r="AA60" s="93">
        <f>IF($B60="Yes",COUNTIF(Reference!S$52:S$67,$K60),"")</f>
        <v>1</v>
      </c>
      <c r="AB60" s="93">
        <f>IF($B60="Yes",COUNTIF(Reference!T$52:T$67,$K60),"")</f>
        <v>0</v>
      </c>
      <c r="AC60" s="93">
        <f t="shared" si="2"/>
        <v>0</v>
      </c>
    </row>
    <row r="61" spans="1:29" x14ac:dyDescent="0.25">
      <c r="A61" s="92">
        <v>151</v>
      </c>
      <c r="B61" s="95" t="str">
        <f t="shared" si="0"/>
        <v>Yes</v>
      </c>
      <c r="H61" s="92" t="str">
        <f t="shared" si="1"/>
        <v>PL1-151</v>
      </c>
      <c r="I61" s="98"/>
      <c r="J61" s="99" t="s">
        <v>171</v>
      </c>
      <c r="K61" s="99" t="s">
        <v>3</v>
      </c>
      <c r="L61" s="99" t="s">
        <v>13</v>
      </c>
      <c r="M61" s="99" t="s">
        <v>807</v>
      </c>
      <c r="N61" s="99" t="s">
        <v>992</v>
      </c>
      <c r="O61" s="99">
        <v>60</v>
      </c>
      <c r="P61" s="99" t="s">
        <v>995</v>
      </c>
      <c r="Q61" s="99"/>
      <c r="R61" s="99"/>
      <c r="S61" s="98"/>
      <c r="T61" s="93"/>
      <c r="U61" s="93"/>
      <c r="V61" s="93"/>
      <c r="W61" s="93"/>
      <c r="X61" s="93">
        <f>IF($B61="Yes",COUNTIF(Reference!P$52:P$67,$K61),"")</f>
        <v>1</v>
      </c>
      <c r="Y61" s="93">
        <f>IF($B61="Yes",COUNTIF(Reference!Q$52:Q$67,$K61),"")</f>
        <v>0</v>
      </c>
      <c r="Z61" s="93">
        <f>IF($B61="Yes",COUNTIF(Reference!R$52:R$67,$K61),"")</f>
        <v>0</v>
      </c>
      <c r="AA61" s="93">
        <f>IF($B61="Yes",COUNTIF(Reference!S$52:S$67,$K61),"")</f>
        <v>0</v>
      </c>
      <c r="AB61" s="93">
        <f>IF($B61="Yes",COUNTIF(Reference!T$52:T$67,$K61),"")</f>
        <v>0</v>
      </c>
      <c r="AC61" s="93">
        <f t="shared" si="2"/>
        <v>0</v>
      </c>
    </row>
    <row r="62" spans="1:29" x14ac:dyDescent="0.25">
      <c r="A62" s="92">
        <v>152</v>
      </c>
      <c r="B62" s="95" t="str">
        <f t="shared" si="0"/>
        <v>Yes</v>
      </c>
      <c r="H62" s="92" t="str">
        <f t="shared" si="1"/>
        <v>PL1-152</v>
      </c>
      <c r="I62" s="98"/>
      <c r="J62" s="99" t="s">
        <v>172</v>
      </c>
      <c r="K62" s="99" t="s">
        <v>427</v>
      </c>
      <c r="L62" s="99" t="s">
        <v>13</v>
      </c>
      <c r="M62" s="99" t="s">
        <v>807</v>
      </c>
      <c r="N62" s="99" t="s">
        <v>120</v>
      </c>
      <c r="O62" s="99">
        <v>60</v>
      </c>
      <c r="P62" s="99" t="s">
        <v>995</v>
      </c>
      <c r="Q62" s="99"/>
      <c r="R62" s="99"/>
      <c r="S62" s="98"/>
      <c r="T62" s="93"/>
      <c r="U62" s="93"/>
      <c r="V62" s="93"/>
      <c r="W62" s="93"/>
      <c r="X62" s="93">
        <f>IF($B62="Yes",COUNTIF(Reference!P$52:P$67,$K62),"")</f>
        <v>0</v>
      </c>
      <c r="Y62" s="93">
        <f>IF($B62="Yes",COUNTIF(Reference!Q$52:Q$67,$K62),"")</f>
        <v>1</v>
      </c>
      <c r="Z62" s="93">
        <f>IF($B62="Yes",COUNTIF(Reference!R$52:R$67,$K62),"")</f>
        <v>1</v>
      </c>
      <c r="AA62" s="93">
        <f>IF($B62="Yes",COUNTIF(Reference!S$52:S$67,$K62),"")</f>
        <v>1</v>
      </c>
      <c r="AB62" s="93">
        <f>IF($B62="Yes",COUNTIF(Reference!T$52:T$67,$K62),"")</f>
        <v>0</v>
      </c>
      <c r="AC62" s="93">
        <f t="shared" si="2"/>
        <v>0</v>
      </c>
    </row>
    <row r="63" spans="1:29" x14ac:dyDescent="0.25">
      <c r="A63" s="92">
        <v>153</v>
      </c>
      <c r="B63" s="95" t="str">
        <f t="shared" si="0"/>
        <v>Yes</v>
      </c>
      <c r="H63" s="92" t="str">
        <f t="shared" si="1"/>
        <v>PL1-153</v>
      </c>
      <c r="I63" s="98"/>
      <c r="J63" s="99" t="s">
        <v>173</v>
      </c>
      <c r="K63" s="99" t="s">
        <v>6</v>
      </c>
      <c r="L63" s="99" t="s">
        <v>13</v>
      </c>
      <c r="M63" s="99" t="s">
        <v>807</v>
      </c>
      <c r="N63" s="99" t="s">
        <v>896</v>
      </c>
      <c r="O63" s="99">
        <v>60</v>
      </c>
      <c r="P63" s="99" t="s">
        <v>995</v>
      </c>
      <c r="Q63" s="99"/>
      <c r="R63" s="99"/>
      <c r="S63" s="98"/>
      <c r="T63" s="93"/>
      <c r="U63" s="93"/>
      <c r="V63" s="93"/>
      <c r="W63" s="93"/>
      <c r="X63" s="93">
        <f>IF($B63="Yes",COUNTIF(Reference!P$52:P$67,$K63),"")</f>
        <v>0</v>
      </c>
      <c r="Y63" s="93">
        <f>IF($B63="Yes",COUNTIF(Reference!Q$52:Q$67,$K63),"")</f>
        <v>0</v>
      </c>
      <c r="Z63" s="93">
        <f>IF($B63="Yes",COUNTIF(Reference!R$52:R$67,$K63),"")</f>
        <v>0</v>
      </c>
      <c r="AA63" s="93">
        <f>IF($B63="Yes",COUNTIF(Reference!S$52:S$67,$K63),"")</f>
        <v>1</v>
      </c>
      <c r="AB63" s="93">
        <f>IF($B63="Yes",COUNTIF(Reference!T$52:T$67,$K63),"")</f>
        <v>0</v>
      </c>
      <c r="AC63" s="93">
        <f t="shared" si="2"/>
        <v>0</v>
      </c>
    </row>
    <row r="64" spans="1:29" x14ac:dyDescent="0.25">
      <c r="A64" s="92">
        <v>154</v>
      </c>
      <c r="B64" s="95" t="str">
        <f t="shared" si="0"/>
        <v>Yes</v>
      </c>
      <c r="H64" s="92" t="str">
        <f t="shared" si="1"/>
        <v>PL1-154</v>
      </c>
      <c r="I64" s="98"/>
      <c r="J64" s="99" t="s">
        <v>174</v>
      </c>
      <c r="K64" s="99" t="s">
        <v>427</v>
      </c>
      <c r="L64" s="99" t="s">
        <v>13</v>
      </c>
      <c r="M64" s="99" t="s">
        <v>808</v>
      </c>
      <c r="N64" s="99" t="s">
        <v>1207</v>
      </c>
      <c r="O64" s="99">
        <v>60</v>
      </c>
      <c r="P64" s="99" t="s">
        <v>995</v>
      </c>
      <c r="Q64" s="99"/>
      <c r="R64" s="99"/>
      <c r="S64" s="98"/>
      <c r="T64" s="93"/>
      <c r="U64" s="93"/>
      <c r="V64" s="93"/>
      <c r="W64" s="93"/>
      <c r="X64" s="93">
        <f>IF($B64="Yes",COUNTIF(Reference!P$52:P$67,$K64),"")</f>
        <v>0</v>
      </c>
      <c r="Y64" s="93">
        <f>IF($B64="Yes",COUNTIF(Reference!Q$52:Q$67,$K64),"")</f>
        <v>1</v>
      </c>
      <c r="Z64" s="93">
        <f>IF($B64="Yes",COUNTIF(Reference!R$52:R$67,$K64),"")</f>
        <v>1</v>
      </c>
      <c r="AA64" s="93">
        <f>IF($B64="Yes",COUNTIF(Reference!S$52:S$67,$K64),"")</f>
        <v>1</v>
      </c>
      <c r="AB64" s="93">
        <f>IF($B64="Yes",COUNTIF(Reference!T$52:T$67,$K64),"")</f>
        <v>0</v>
      </c>
      <c r="AC64" s="93">
        <f t="shared" si="2"/>
        <v>0</v>
      </c>
    </row>
    <row r="65" spans="1:29" x14ac:dyDescent="0.25">
      <c r="A65" s="92">
        <v>155</v>
      </c>
      <c r="B65" s="95" t="str">
        <f t="shared" si="0"/>
        <v>Yes</v>
      </c>
      <c r="H65" s="92" t="str">
        <f t="shared" si="1"/>
        <v>PL1-155</v>
      </c>
      <c r="I65" s="98"/>
      <c r="J65" s="99" t="s">
        <v>176</v>
      </c>
      <c r="K65" s="99" t="s">
        <v>420</v>
      </c>
      <c r="L65" s="99" t="s">
        <v>1204</v>
      </c>
      <c r="M65" s="99" t="s">
        <v>5</v>
      </c>
      <c r="N65" s="99" t="s">
        <v>1205</v>
      </c>
      <c r="O65" s="99">
        <v>60</v>
      </c>
      <c r="P65" s="99" t="s">
        <v>995</v>
      </c>
      <c r="Q65" s="99"/>
      <c r="R65" s="99"/>
      <c r="S65" s="98"/>
      <c r="T65" s="93"/>
      <c r="U65" s="93"/>
      <c r="V65" s="93"/>
      <c r="W65" s="93"/>
      <c r="X65" s="93">
        <f>IF($B65="Yes",COUNTIF(Reference!P$52:P$67,$K65),"")</f>
        <v>0</v>
      </c>
      <c r="Y65" s="93">
        <f>IF($B65="Yes",COUNTIF(Reference!Q$52:Q$67,$K65),"")</f>
        <v>0</v>
      </c>
      <c r="Z65" s="93">
        <f>IF($B65="Yes",COUNTIF(Reference!R$52:R$67,$K65),"")</f>
        <v>1</v>
      </c>
      <c r="AA65" s="93">
        <f>IF($B65="Yes",COUNTIF(Reference!S$52:S$67,$K65),"")</f>
        <v>1</v>
      </c>
      <c r="AB65" s="93">
        <f>IF($B65="Yes",COUNTIF(Reference!T$52:T$67,$K65),"")</f>
        <v>0</v>
      </c>
      <c r="AC65" s="93">
        <f t="shared" si="2"/>
        <v>0</v>
      </c>
    </row>
    <row r="66" spans="1:29" x14ac:dyDescent="0.25">
      <c r="A66" s="92">
        <v>156</v>
      </c>
      <c r="B66" s="95" t="str">
        <f t="shared" si="0"/>
        <v>Yes</v>
      </c>
      <c r="H66" s="92" t="str">
        <f t="shared" si="1"/>
        <v>PL1-156</v>
      </c>
      <c r="I66" s="98"/>
      <c r="J66" s="99" t="s">
        <v>177</v>
      </c>
      <c r="K66" s="99" t="s">
        <v>428</v>
      </c>
      <c r="L66" s="99" t="s">
        <v>1204</v>
      </c>
      <c r="M66" s="99" t="s">
        <v>5</v>
      </c>
      <c r="N66" s="99" t="s">
        <v>1205</v>
      </c>
      <c r="O66" s="99">
        <v>60</v>
      </c>
      <c r="P66" s="99" t="s">
        <v>995</v>
      </c>
      <c r="Q66" s="99"/>
      <c r="R66" s="99"/>
      <c r="S66" s="98"/>
      <c r="T66" s="93"/>
      <c r="U66" s="93"/>
      <c r="V66" s="93"/>
      <c r="W66" s="93"/>
      <c r="X66" s="93">
        <f>IF($B66="Yes",COUNTIF(Reference!P$52:P$67,$K66),"")</f>
        <v>0</v>
      </c>
      <c r="Y66" s="93">
        <f>IF($B66="Yes",COUNTIF(Reference!Q$52:Q$67,$K66),"")</f>
        <v>0</v>
      </c>
      <c r="Z66" s="93">
        <f>IF($B66="Yes",COUNTIF(Reference!R$52:R$67,$K66),"")</f>
        <v>0</v>
      </c>
      <c r="AA66" s="93">
        <f>IF($B66="Yes",COUNTIF(Reference!S$52:S$67,$K66),"")</f>
        <v>1</v>
      </c>
      <c r="AB66" s="93">
        <f>IF($B66="Yes",COUNTIF(Reference!T$52:T$67,$K66),"")</f>
        <v>1</v>
      </c>
      <c r="AC66" s="93">
        <f t="shared" si="2"/>
        <v>0</v>
      </c>
    </row>
    <row r="67" spans="1:29" x14ac:dyDescent="0.25">
      <c r="A67" s="92">
        <v>157</v>
      </c>
      <c r="B67" s="95" t="str">
        <f t="shared" si="0"/>
        <v>Yes</v>
      </c>
      <c r="H67" s="92" t="str">
        <f t="shared" si="1"/>
        <v>PL1-157</v>
      </c>
      <c r="I67" s="98"/>
      <c r="J67" s="99" t="s">
        <v>886</v>
      </c>
      <c r="K67" s="99" t="s">
        <v>459</v>
      </c>
      <c r="L67" s="99" t="s">
        <v>13</v>
      </c>
      <c r="M67" s="99" t="s">
        <v>5</v>
      </c>
      <c r="N67" s="99" t="s">
        <v>184</v>
      </c>
      <c r="O67" s="99">
        <v>60</v>
      </c>
      <c r="P67" s="99" t="s">
        <v>995</v>
      </c>
      <c r="Q67" s="99"/>
      <c r="R67" s="99"/>
      <c r="S67" s="98"/>
      <c r="T67" s="93"/>
      <c r="U67" s="93"/>
      <c r="V67" s="93"/>
      <c r="W67" s="93"/>
      <c r="X67" s="93">
        <f>IF($B67="Yes",COUNTIF(Reference!P$52:P$67,$K67),"")</f>
        <v>1</v>
      </c>
      <c r="Y67" s="93">
        <f>IF($B67="Yes",COUNTIF(Reference!Q$52:Q$67,$K67),"")</f>
        <v>1</v>
      </c>
      <c r="Z67" s="93">
        <f>IF($B67="Yes",COUNTIF(Reference!R$52:R$67,$K67),"")</f>
        <v>1</v>
      </c>
      <c r="AA67" s="93">
        <f>IF($B67="Yes",COUNTIF(Reference!S$52:S$67,$K67),"")</f>
        <v>1</v>
      </c>
      <c r="AB67" s="93">
        <f>IF($B67="Yes",COUNTIF(Reference!T$52:T$67,$K67),"")</f>
        <v>1</v>
      </c>
      <c r="AC67" s="93">
        <f t="shared" si="2"/>
        <v>0</v>
      </c>
    </row>
    <row r="68" spans="1:29" x14ac:dyDescent="0.25">
      <c r="A68" s="92">
        <v>158</v>
      </c>
      <c r="B68" s="95" t="str">
        <f t="shared" si="0"/>
        <v>Yes</v>
      </c>
      <c r="H68" s="92" t="str">
        <f t="shared" si="1"/>
        <v>PL1-158</v>
      </c>
      <c r="I68" s="98"/>
      <c r="J68" s="99" t="s">
        <v>178</v>
      </c>
      <c r="K68" s="99" t="s">
        <v>418</v>
      </c>
      <c r="L68" s="99" t="s">
        <v>13</v>
      </c>
      <c r="M68" s="99" t="s">
        <v>807</v>
      </c>
      <c r="N68" s="99" t="s">
        <v>898</v>
      </c>
      <c r="O68" s="99">
        <v>60</v>
      </c>
      <c r="P68" s="99" t="s">
        <v>995</v>
      </c>
      <c r="Q68" s="99"/>
      <c r="R68" s="99"/>
      <c r="S68" s="98"/>
      <c r="T68" s="93"/>
      <c r="U68" s="93"/>
      <c r="V68" s="93"/>
      <c r="W68" s="93"/>
      <c r="X68" s="93">
        <f>IF($B68="Yes",COUNTIF(Reference!P$52:P$67,$K68),"")</f>
        <v>0</v>
      </c>
      <c r="Y68" s="93">
        <f>IF($B68="Yes",COUNTIF(Reference!Q$52:Q$67,$K68),"")</f>
        <v>1</v>
      </c>
      <c r="Z68" s="93">
        <f>IF($B68="Yes",COUNTIF(Reference!R$52:R$67,$K68),"")</f>
        <v>1</v>
      </c>
      <c r="AA68" s="93">
        <f>IF($B68="Yes",COUNTIF(Reference!S$52:S$67,$K68),"")</f>
        <v>0</v>
      </c>
      <c r="AB68" s="93">
        <f>IF($B68="Yes",COUNTIF(Reference!T$52:T$67,$K68),"")</f>
        <v>0</v>
      </c>
      <c r="AC68" s="93">
        <f t="shared" si="2"/>
        <v>0</v>
      </c>
    </row>
    <row r="69" spans="1:29" x14ac:dyDescent="0.25">
      <c r="A69" s="92">
        <v>159</v>
      </c>
      <c r="B69" s="95" t="str">
        <f t="shared" si="0"/>
        <v>Yes</v>
      </c>
      <c r="H69" s="92" t="str">
        <f t="shared" si="1"/>
        <v>PL1-159</v>
      </c>
      <c r="I69" s="98"/>
      <c r="J69" s="99" t="s">
        <v>179</v>
      </c>
      <c r="K69" s="99" t="s">
        <v>422</v>
      </c>
      <c r="L69" s="99" t="s">
        <v>899</v>
      </c>
      <c r="M69" s="99" t="s">
        <v>5</v>
      </c>
      <c r="N69" s="99" t="s">
        <v>167</v>
      </c>
      <c r="O69" s="99">
        <v>100</v>
      </c>
      <c r="P69" s="99" t="s">
        <v>995</v>
      </c>
      <c r="Q69" s="99"/>
      <c r="R69" s="99"/>
      <c r="S69" s="98"/>
      <c r="T69" s="93"/>
      <c r="U69" s="93"/>
      <c r="V69" s="93"/>
      <c r="W69" s="93"/>
      <c r="X69" s="93">
        <f>IF($B69="Yes",COUNTIF(Reference!P$52:P$67,$K69),"")</f>
        <v>1</v>
      </c>
      <c r="Y69" s="93">
        <f>IF($B69="Yes",COUNTIF(Reference!Q$52:Q$67,$K69),"")</f>
        <v>0</v>
      </c>
      <c r="Z69" s="93">
        <f>IF($B69="Yes",COUNTIF(Reference!R$52:R$67,$K69),"")</f>
        <v>1</v>
      </c>
      <c r="AA69" s="93">
        <f>IF($B69="Yes",COUNTIF(Reference!S$52:S$67,$K69),"")</f>
        <v>0</v>
      </c>
      <c r="AB69" s="93">
        <f>IF($B69="Yes",COUNTIF(Reference!T$52:T$67,$K69),"")</f>
        <v>1</v>
      </c>
      <c r="AC69" s="93">
        <f t="shared" si="2"/>
        <v>0</v>
      </c>
    </row>
    <row r="70" spans="1:29" x14ac:dyDescent="0.25">
      <c r="A70" s="92">
        <v>160</v>
      </c>
      <c r="B70" s="95" t="str">
        <f t="shared" si="0"/>
        <v>Yes</v>
      </c>
      <c r="H70" s="92" t="str">
        <f t="shared" si="1"/>
        <v>PL1-160</v>
      </c>
      <c r="I70" s="98"/>
      <c r="J70" s="99" t="s">
        <v>180</v>
      </c>
      <c r="K70" s="99" t="s">
        <v>6</v>
      </c>
      <c r="L70" s="99" t="s">
        <v>30</v>
      </c>
      <c r="M70" s="99" t="s">
        <v>807</v>
      </c>
      <c r="N70" s="99" t="s">
        <v>1197</v>
      </c>
      <c r="O70" s="99">
        <v>100</v>
      </c>
      <c r="P70" s="99" t="s">
        <v>995</v>
      </c>
      <c r="Q70" s="99"/>
      <c r="R70" s="99"/>
      <c r="S70" s="98"/>
      <c r="T70" s="93"/>
      <c r="U70" s="93"/>
      <c r="V70" s="93"/>
      <c r="W70" s="93"/>
      <c r="X70" s="93">
        <f>IF($B70="Yes",COUNTIF(Reference!P$52:P$67,$K70),"")</f>
        <v>0</v>
      </c>
      <c r="Y70" s="93">
        <f>IF($B70="Yes",COUNTIF(Reference!Q$52:Q$67,$K70),"")</f>
        <v>0</v>
      </c>
      <c r="Z70" s="93">
        <f>IF($B70="Yes",COUNTIF(Reference!R$52:R$67,$K70),"")</f>
        <v>0</v>
      </c>
      <c r="AA70" s="93">
        <f>IF($B70="Yes",COUNTIF(Reference!S$52:S$67,$K70),"")</f>
        <v>1</v>
      </c>
      <c r="AB70" s="93">
        <f>IF($B70="Yes",COUNTIF(Reference!T$52:T$67,$K70),"")</f>
        <v>0</v>
      </c>
      <c r="AC70" s="93">
        <f t="shared" si="2"/>
        <v>0</v>
      </c>
    </row>
    <row r="71" spans="1:29" x14ac:dyDescent="0.25">
      <c r="A71" s="92">
        <v>161</v>
      </c>
      <c r="B71" s="95" t="str">
        <f t="shared" si="0"/>
        <v>Yes</v>
      </c>
      <c r="H71" s="92" t="str">
        <f t="shared" si="1"/>
        <v>PL1-161</v>
      </c>
      <c r="I71" s="98"/>
      <c r="J71" s="99" t="s">
        <v>181</v>
      </c>
      <c r="K71" s="99" t="s">
        <v>468</v>
      </c>
      <c r="L71" s="99" t="s">
        <v>13</v>
      </c>
      <c r="M71" s="99" t="s">
        <v>5</v>
      </c>
      <c r="N71" s="99" t="s">
        <v>109</v>
      </c>
      <c r="O71" s="99">
        <v>60</v>
      </c>
      <c r="P71" s="99" t="s">
        <v>995</v>
      </c>
      <c r="Q71" s="99"/>
      <c r="R71" s="99"/>
      <c r="S71" s="98"/>
      <c r="T71" s="93"/>
      <c r="U71" s="93"/>
      <c r="V71" s="93"/>
      <c r="W71" s="93"/>
      <c r="X71" s="93">
        <f>IF($B71="Yes",COUNTIF(Reference!P$52:P$67,$K71),"")</f>
        <v>1</v>
      </c>
      <c r="Y71" s="93">
        <f>IF($B71="Yes",COUNTIF(Reference!Q$52:Q$67,$K71),"")</f>
        <v>1</v>
      </c>
      <c r="Z71" s="93">
        <f>IF($B71="Yes",COUNTIF(Reference!R$52:R$67,$K71),"")</f>
        <v>0</v>
      </c>
      <c r="AA71" s="93">
        <f>IF($B71="Yes",COUNTIF(Reference!S$52:S$67,$K71),"")</f>
        <v>1</v>
      </c>
      <c r="AB71" s="93">
        <f>IF($B71="Yes",COUNTIF(Reference!T$52:T$67,$K71),"")</f>
        <v>1</v>
      </c>
      <c r="AC71" s="93">
        <f t="shared" si="2"/>
        <v>0</v>
      </c>
    </row>
    <row r="72" spans="1:29" x14ac:dyDescent="0.25">
      <c r="A72" s="92">
        <v>162</v>
      </c>
      <c r="B72" s="95" t="str">
        <f t="shared" si="0"/>
        <v>Yes</v>
      </c>
      <c r="H72" s="92" t="str">
        <f t="shared" si="1"/>
        <v>PL1-162</v>
      </c>
      <c r="I72" s="98"/>
      <c r="J72" s="99" t="s">
        <v>182</v>
      </c>
      <c r="K72" s="99" t="s">
        <v>459</v>
      </c>
      <c r="L72" s="99" t="s">
        <v>13</v>
      </c>
      <c r="M72" s="99" t="s">
        <v>808</v>
      </c>
      <c r="N72" s="99" t="s">
        <v>1197</v>
      </c>
      <c r="O72" s="99">
        <v>60</v>
      </c>
      <c r="P72" s="99" t="s">
        <v>995</v>
      </c>
      <c r="Q72" s="99"/>
      <c r="R72" s="99"/>
      <c r="S72" s="98"/>
      <c r="T72" s="93"/>
      <c r="U72" s="93"/>
      <c r="V72" s="93"/>
      <c r="W72" s="93"/>
      <c r="X72" s="93">
        <f>IF($B72="Yes",COUNTIF(Reference!P$52:P$67,$K72),"")</f>
        <v>1</v>
      </c>
      <c r="Y72" s="93">
        <f>IF($B72="Yes",COUNTIF(Reference!Q$52:Q$67,$K72),"")</f>
        <v>1</v>
      </c>
      <c r="Z72" s="93">
        <f>IF($B72="Yes",COUNTIF(Reference!R$52:R$67,$K72),"")</f>
        <v>1</v>
      </c>
      <c r="AA72" s="93">
        <f>IF($B72="Yes",COUNTIF(Reference!S$52:S$67,$K72),"")</f>
        <v>1</v>
      </c>
      <c r="AB72" s="93">
        <f>IF($B72="Yes",COUNTIF(Reference!T$52:T$67,$K72),"")</f>
        <v>1</v>
      </c>
      <c r="AC72" s="93">
        <f t="shared" si="2"/>
        <v>0</v>
      </c>
    </row>
    <row r="73" spans="1:29" x14ac:dyDescent="0.25">
      <c r="A73" s="92">
        <v>163</v>
      </c>
      <c r="B73" s="95" t="str">
        <f t="shared" si="0"/>
        <v>Yes</v>
      </c>
      <c r="H73" s="92" t="str">
        <f t="shared" si="1"/>
        <v>PL1-163</v>
      </c>
      <c r="I73" s="98"/>
      <c r="J73" s="99" t="s">
        <v>183</v>
      </c>
      <c r="K73" s="99" t="s">
        <v>441</v>
      </c>
      <c r="L73" s="99" t="s">
        <v>13</v>
      </c>
      <c r="M73" s="99" t="s">
        <v>380</v>
      </c>
      <c r="N73" s="99" t="s">
        <v>1208</v>
      </c>
      <c r="O73" s="99">
        <v>60</v>
      </c>
      <c r="P73" s="99" t="s">
        <v>185</v>
      </c>
      <c r="Q73" s="99"/>
      <c r="R73" s="99"/>
      <c r="S73" s="98"/>
      <c r="T73" s="93"/>
      <c r="U73" s="93"/>
      <c r="V73" s="93"/>
      <c r="W73" s="93"/>
      <c r="X73" s="93">
        <f>IF($B73="Yes",COUNTIF(Reference!P$52:P$67,$K73),"")</f>
        <v>0</v>
      </c>
      <c r="Y73" s="93">
        <f>IF($B73="Yes",COUNTIF(Reference!Q$52:Q$67,$K73),"")</f>
        <v>1</v>
      </c>
      <c r="Z73" s="93">
        <f>IF($B73="Yes",COUNTIF(Reference!R$52:R$67,$K73),"")</f>
        <v>0</v>
      </c>
      <c r="AA73" s="93">
        <f>IF($B73="Yes",COUNTIF(Reference!S$52:S$67,$K73),"")</f>
        <v>1</v>
      </c>
      <c r="AB73" s="93">
        <f>IF($B73="Yes",COUNTIF(Reference!T$52:T$67,$K73),"")</f>
        <v>0</v>
      </c>
      <c r="AC73" s="93">
        <f t="shared" si="2"/>
        <v>0</v>
      </c>
    </row>
    <row r="74" spans="1:29" x14ac:dyDescent="0.25">
      <c r="A74" s="92">
        <v>164</v>
      </c>
      <c r="B74" s="95" t="str">
        <f t="shared" si="0"/>
        <v>Yes</v>
      </c>
      <c r="H74" s="92" t="str">
        <f t="shared" si="1"/>
        <v>PL1-164</v>
      </c>
      <c r="I74" s="98"/>
      <c r="J74" s="99" t="s">
        <v>186</v>
      </c>
      <c r="K74" s="99" t="s">
        <v>6</v>
      </c>
      <c r="L74" s="99" t="s">
        <v>13</v>
      </c>
      <c r="M74" s="99" t="s">
        <v>5</v>
      </c>
      <c r="N74" s="99" t="s">
        <v>1200</v>
      </c>
      <c r="O74" s="99">
        <v>60</v>
      </c>
      <c r="P74" s="99" t="s">
        <v>995</v>
      </c>
      <c r="Q74" s="99"/>
      <c r="R74" s="99"/>
      <c r="S74" s="98"/>
      <c r="T74" s="93"/>
      <c r="U74" s="93"/>
      <c r="V74" s="93"/>
      <c r="W74" s="93"/>
      <c r="X74" s="93">
        <f>IF($B74="Yes",COUNTIF(Reference!P$52:P$67,$K74),"")</f>
        <v>0</v>
      </c>
      <c r="Y74" s="93">
        <f>IF($B74="Yes",COUNTIF(Reference!Q$52:Q$67,$K74),"")</f>
        <v>0</v>
      </c>
      <c r="Z74" s="93">
        <f>IF($B74="Yes",COUNTIF(Reference!R$52:R$67,$K74),"")</f>
        <v>0</v>
      </c>
      <c r="AA74" s="93">
        <f>IF($B74="Yes",COUNTIF(Reference!S$52:S$67,$K74),"")</f>
        <v>1</v>
      </c>
      <c r="AB74" s="93">
        <f>IF($B74="Yes",COUNTIF(Reference!T$52:T$67,$K74),"")</f>
        <v>0</v>
      </c>
      <c r="AC74" s="93">
        <f t="shared" si="2"/>
        <v>0</v>
      </c>
    </row>
    <row r="75" spans="1:29" x14ac:dyDescent="0.25">
      <c r="A75" s="92">
        <v>165</v>
      </c>
      <c r="B75" s="95" t="str">
        <f t="shared" ref="B75:B138" si="3">IF(COUNTBLANK(J75:M75)=0,"Yes","No")</f>
        <v>Yes</v>
      </c>
      <c r="H75" s="92" t="str">
        <f t="shared" ref="H75:H138" si="4">IF(J75="","",$A$1&amp;"-"&amp;A75)</f>
        <v>PL1-165</v>
      </c>
      <c r="I75" s="98"/>
      <c r="J75" s="99" t="s">
        <v>187</v>
      </c>
      <c r="K75" s="99" t="s">
        <v>6</v>
      </c>
      <c r="L75" s="99" t="s">
        <v>13</v>
      </c>
      <c r="M75" s="99" t="s">
        <v>808</v>
      </c>
      <c r="N75" s="99" t="s">
        <v>134</v>
      </c>
      <c r="O75" s="99">
        <v>60</v>
      </c>
      <c r="P75" s="99" t="s">
        <v>995</v>
      </c>
      <c r="Q75" s="99"/>
      <c r="R75" s="99"/>
      <c r="S75" s="98"/>
      <c r="T75" s="93"/>
      <c r="U75" s="93"/>
      <c r="V75" s="93"/>
      <c r="W75" s="93"/>
      <c r="X75" s="93">
        <f>IF($B75="Yes",COUNTIF(Reference!P$52:P$67,$K75),"")</f>
        <v>0</v>
      </c>
      <c r="Y75" s="93">
        <f>IF($B75="Yes",COUNTIF(Reference!Q$52:Q$67,$K75),"")</f>
        <v>0</v>
      </c>
      <c r="Z75" s="93">
        <f>IF($B75="Yes",COUNTIF(Reference!R$52:R$67,$K75),"")</f>
        <v>0</v>
      </c>
      <c r="AA75" s="93">
        <f>IF($B75="Yes",COUNTIF(Reference!S$52:S$67,$K75),"")</f>
        <v>1</v>
      </c>
      <c r="AB75" s="93">
        <f>IF($B75="Yes",COUNTIF(Reference!T$52:T$67,$K75),"")</f>
        <v>0</v>
      </c>
      <c r="AC75" s="93">
        <f t="shared" ref="AC75:AC138" si="5">IF($B75="Yes",COUNTIF(K75,"N"),"")</f>
        <v>0</v>
      </c>
    </row>
    <row r="76" spans="1:29" x14ac:dyDescent="0.25">
      <c r="A76" s="92">
        <v>166</v>
      </c>
      <c r="B76" s="95" t="str">
        <f t="shared" si="3"/>
        <v>Yes</v>
      </c>
      <c r="H76" s="92" t="str">
        <f t="shared" si="4"/>
        <v>PL1-166</v>
      </c>
      <c r="I76" s="98"/>
      <c r="J76" s="99" t="s">
        <v>188</v>
      </c>
      <c r="K76" s="99" t="s">
        <v>459</v>
      </c>
      <c r="L76" s="99" t="s">
        <v>13</v>
      </c>
      <c r="M76" s="99" t="s">
        <v>807</v>
      </c>
      <c r="N76" s="99" t="s">
        <v>175</v>
      </c>
      <c r="O76" s="99">
        <v>60</v>
      </c>
      <c r="P76" s="99" t="s">
        <v>189</v>
      </c>
      <c r="Q76" s="99"/>
      <c r="R76" s="99"/>
      <c r="S76" s="98"/>
      <c r="T76" s="93"/>
      <c r="U76" s="93"/>
      <c r="V76" s="93"/>
      <c r="W76" s="93"/>
      <c r="X76" s="93">
        <f>IF($B76="Yes",COUNTIF(Reference!P$52:P$67,$K76),"")</f>
        <v>1</v>
      </c>
      <c r="Y76" s="93">
        <f>IF($B76="Yes",COUNTIF(Reference!Q$52:Q$67,$K76),"")</f>
        <v>1</v>
      </c>
      <c r="Z76" s="93">
        <f>IF($B76="Yes",COUNTIF(Reference!R$52:R$67,$K76),"")</f>
        <v>1</v>
      </c>
      <c r="AA76" s="93">
        <f>IF($B76="Yes",COUNTIF(Reference!S$52:S$67,$K76),"")</f>
        <v>1</v>
      </c>
      <c r="AB76" s="93">
        <f>IF($B76="Yes",COUNTIF(Reference!T$52:T$67,$K76),"")</f>
        <v>1</v>
      </c>
      <c r="AC76" s="93">
        <f t="shared" si="5"/>
        <v>0</v>
      </c>
    </row>
    <row r="77" spans="1:29" x14ac:dyDescent="0.25">
      <c r="A77" s="92">
        <v>167</v>
      </c>
      <c r="B77" s="95" t="str">
        <f t="shared" si="3"/>
        <v>Yes</v>
      </c>
      <c r="H77" s="92" t="str">
        <f t="shared" si="4"/>
        <v>PL1-167</v>
      </c>
      <c r="I77" s="98"/>
      <c r="J77" s="99" t="s">
        <v>190</v>
      </c>
      <c r="K77" s="99" t="s">
        <v>6</v>
      </c>
      <c r="L77" s="99" t="s">
        <v>13</v>
      </c>
      <c r="M77" s="99" t="s">
        <v>808</v>
      </c>
      <c r="N77" s="99" t="s">
        <v>1209</v>
      </c>
      <c r="O77" s="99">
        <v>60</v>
      </c>
      <c r="P77" s="99" t="s">
        <v>995</v>
      </c>
      <c r="Q77" s="99"/>
      <c r="R77" s="99"/>
      <c r="S77" s="98"/>
      <c r="T77" s="93"/>
      <c r="U77" s="93"/>
      <c r="V77" s="93"/>
      <c r="W77" s="93"/>
      <c r="X77" s="93">
        <f>IF($B77="Yes",COUNTIF(Reference!P$52:P$67,$K77),"")</f>
        <v>0</v>
      </c>
      <c r="Y77" s="93">
        <f>IF($B77="Yes",COUNTIF(Reference!Q$52:Q$67,$K77),"")</f>
        <v>0</v>
      </c>
      <c r="Z77" s="93">
        <f>IF($B77="Yes",COUNTIF(Reference!R$52:R$67,$K77),"")</f>
        <v>0</v>
      </c>
      <c r="AA77" s="93">
        <f>IF($B77="Yes",COUNTIF(Reference!S$52:S$67,$K77),"")</f>
        <v>1</v>
      </c>
      <c r="AB77" s="93">
        <f>IF($B77="Yes",COUNTIF(Reference!T$52:T$67,$K77),"")</f>
        <v>0</v>
      </c>
      <c r="AC77" s="93">
        <f t="shared" si="5"/>
        <v>0</v>
      </c>
    </row>
    <row r="78" spans="1:29" x14ac:dyDescent="0.25">
      <c r="A78" s="92">
        <v>168</v>
      </c>
      <c r="B78" s="95" t="str">
        <f t="shared" si="3"/>
        <v>Yes</v>
      </c>
      <c r="H78" s="92" t="str">
        <f t="shared" si="4"/>
        <v>PL1-168</v>
      </c>
      <c r="I78" s="98"/>
      <c r="J78" s="99" t="s">
        <v>191</v>
      </c>
      <c r="K78" s="99" t="s">
        <v>445</v>
      </c>
      <c r="L78" s="99" t="s">
        <v>13</v>
      </c>
      <c r="M78" s="99" t="s">
        <v>809</v>
      </c>
      <c r="N78" s="99" t="s">
        <v>145</v>
      </c>
      <c r="O78" s="99">
        <v>60</v>
      </c>
      <c r="P78" s="99" t="s">
        <v>995</v>
      </c>
      <c r="Q78" s="99"/>
      <c r="R78" s="99"/>
      <c r="S78" s="98"/>
      <c r="T78" s="93"/>
      <c r="U78" s="93"/>
      <c r="V78" s="93"/>
      <c r="W78" s="93"/>
      <c r="X78" s="93">
        <f>IF($B78="Yes",COUNTIF(Reference!P$52:P$67,$K78),"")</f>
        <v>0</v>
      </c>
      <c r="Y78" s="93">
        <f>IF($B78="Yes",COUNTIF(Reference!Q$52:Q$67,$K78),"")</f>
        <v>1</v>
      </c>
      <c r="Z78" s="93">
        <f>IF($B78="Yes",COUNTIF(Reference!R$52:R$67,$K78),"")</f>
        <v>0</v>
      </c>
      <c r="AA78" s="93">
        <f>IF($B78="Yes",COUNTIF(Reference!S$52:S$67,$K78),"")</f>
        <v>1</v>
      </c>
      <c r="AB78" s="93">
        <f>IF($B78="Yes",COUNTIF(Reference!T$52:T$67,$K78),"")</f>
        <v>1</v>
      </c>
      <c r="AC78" s="93">
        <f t="shared" si="5"/>
        <v>0</v>
      </c>
    </row>
    <row r="79" spans="1:29" x14ac:dyDescent="0.25">
      <c r="A79" s="92">
        <v>169</v>
      </c>
      <c r="B79" s="95" t="str">
        <f t="shared" si="3"/>
        <v>Yes</v>
      </c>
      <c r="H79" s="92" t="str">
        <f t="shared" si="4"/>
        <v>PL1-169</v>
      </c>
      <c r="I79" s="98"/>
      <c r="J79" s="99" t="s">
        <v>192</v>
      </c>
      <c r="K79" s="99" t="s">
        <v>7</v>
      </c>
      <c r="L79" s="99" t="s">
        <v>30</v>
      </c>
      <c r="M79" s="99" t="s">
        <v>809</v>
      </c>
      <c r="N79" s="99" t="s">
        <v>1197</v>
      </c>
      <c r="O79" s="99">
        <v>100</v>
      </c>
      <c r="P79" s="99" t="s">
        <v>995</v>
      </c>
      <c r="Q79" s="99"/>
      <c r="R79" s="99"/>
      <c r="S79" s="98"/>
      <c r="T79" s="93"/>
      <c r="U79" s="93"/>
      <c r="V79" s="93"/>
      <c r="W79" s="93"/>
      <c r="X79" s="93">
        <f>IF($B79="Yes",COUNTIF(Reference!P$52:P$67,$K79),"")</f>
        <v>0</v>
      </c>
      <c r="Y79" s="93">
        <f>IF($B79="Yes",COUNTIF(Reference!Q$52:Q$67,$K79),"")</f>
        <v>0</v>
      </c>
      <c r="Z79" s="93">
        <f>IF($B79="Yes",COUNTIF(Reference!R$52:R$67,$K79),"")</f>
        <v>0</v>
      </c>
      <c r="AA79" s="93">
        <f>IF($B79="Yes",COUNTIF(Reference!S$52:S$67,$K79),"")</f>
        <v>0</v>
      </c>
      <c r="AB79" s="93">
        <f>IF($B79="Yes",COUNTIF(Reference!T$52:T$67,$K79),"")</f>
        <v>1</v>
      </c>
      <c r="AC79" s="93">
        <f t="shared" si="5"/>
        <v>0</v>
      </c>
    </row>
    <row r="80" spans="1:29" x14ac:dyDescent="0.25">
      <c r="A80" s="92">
        <v>170</v>
      </c>
      <c r="B80" s="95" t="str">
        <f t="shared" si="3"/>
        <v>Yes</v>
      </c>
      <c r="H80" s="92" t="str">
        <f t="shared" si="4"/>
        <v>PL1-170</v>
      </c>
      <c r="I80" s="98"/>
      <c r="J80" s="99" t="s">
        <v>887</v>
      </c>
      <c r="K80" s="99" t="s">
        <v>7</v>
      </c>
      <c r="L80" s="99" t="s">
        <v>1204</v>
      </c>
      <c r="M80" s="99" t="s">
        <v>5</v>
      </c>
      <c r="N80" s="99" t="s">
        <v>895</v>
      </c>
      <c r="O80" s="99">
        <v>60</v>
      </c>
      <c r="P80" s="99" t="s">
        <v>995</v>
      </c>
      <c r="Q80" s="99"/>
      <c r="R80" s="99"/>
      <c r="S80" s="98"/>
      <c r="T80" s="93"/>
      <c r="U80" s="93"/>
      <c r="V80" s="93"/>
      <c r="W80" s="93"/>
      <c r="X80" s="93">
        <f>IF($B80="Yes",COUNTIF(Reference!P$52:P$67,$K80),"")</f>
        <v>0</v>
      </c>
      <c r="Y80" s="93">
        <f>IF($B80="Yes",COUNTIF(Reference!Q$52:Q$67,$K80),"")</f>
        <v>0</v>
      </c>
      <c r="Z80" s="93">
        <f>IF($B80="Yes",COUNTIF(Reference!R$52:R$67,$K80),"")</f>
        <v>0</v>
      </c>
      <c r="AA80" s="93">
        <f>IF($B80="Yes",COUNTIF(Reference!S$52:S$67,$K80),"")</f>
        <v>0</v>
      </c>
      <c r="AB80" s="93">
        <f>IF($B80="Yes",COUNTIF(Reference!T$52:T$67,$K80),"")</f>
        <v>1</v>
      </c>
      <c r="AC80" s="93">
        <f t="shared" si="5"/>
        <v>0</v>
      </c>
    </row>
    <row r="81" spans="1:29" x14ac:dyDescent="0.25">
      <c r="A81" s="92">
        <v>171</v>
      </c>
      <c r="B81" s="95" t="str">
        <f t="shared" si="3"/>
        <v>Yes</v>
      </c>
      <c r="H81" s="92" t="str">
        <f t="shared" si="4"/>
        <v>PL1-171</v>
      </c>
      <c r="I81" s="98"/>
      <c r="J81" s="99" t="s">
        <v>193</v>
      </c>
      <c r="K81" s="99" t="s">
        <v>441</v>
      </c>
      <c r="L81" s="99" t="s">
        <v>13</v>
      </c>
      <c r="M81" s="99" t="s">
        <v>5</v>
      </c>
      <c r="N81" s="99" t="s">
        <v>1209</v>
      </c>
      <c r="O81" s="99">
        <v>60</v>
      </c>
      <c r="P81" s="99" t="s">
        <v>995</v>
      </c>
      <c r="Q81" s="99"/>
      <c r="R81" s="99"/>
      <c r="S81" s="98"/>
      <c r="T81" s="93"/>
      <c r="U81" s="93"/>
      <c r="V81" s="93"/>
      <c r="W81" s="93"/>
      <c r="X81" s="93">
        <f>IF($B81="Yes",COUNTIF(Reference!P$52:P$67,$K81),"")</f>
        <v>0</v>
      </c>
      <c r="Y81" s="93">
        <f>IF($B81="Yes",COUNTIF(Reference!Q$52:Q$67,$K81),"")</f>
        <v>1</v>
      </c>
      <c r="Z81" s="93">
        <f>IF($B81="Yes",COUNTIF(Reference!R$52:R$67,$K81),"")</f>
        <v>0</v>
      </c>
      <c r="AA81" s="93">
        <f>IF($B81="Yes",COUNTIF(Reference!S$52:S$67,$K81),"")</f>
        <v>1</v>
      </c>
      <c r="AB81" s="93">
        <f>IF($B81="Yes",COUNTIF(Reference!T$52:T$67,$K81),"")</f>
        <v>0</v>
      </c>
      <c r="AC81" s="93">
        <f t="shared" si="5"/>
        <v>0</v>
      </c>
    </row>
    <row r="82" spans="1:29" x14ac:dyDescent="0.25">
      <c r="A82" s="92">
        <v>172</v>
      </c>
      <c r="B82" s="95" t="str">
        <f t="shared" si="3"/>
        <v>Yes</v>
      </c>
      <c r="H82" s="92" t="str">
        <f t="shared" si="4"/>
        <v>PL1-172</v>
      </c>
      <c r="I82" s="98"/>
      <c r="J82" s="99" t="s">
        <v>997</v>
      </c>
      <c r="K82" s="99" t="s">
        <v>3</v>
      </c>
      <c r="L82" s="99" t="s">
        <v>13</v>
      </c>
      <c r="M82" s="99" t="s">
        <v>5</v>
      </c>
      <c r="N82" s="99" t="s">
        <v>1208</v>
      </c>
      <c r="O82" s="99">
        <v>60</v>
      </c>
      <c r="P82" s="99" t="s">
        <v>995</v>
      </c>
      <c r="Q82" s="99"/>
      <c r="R82" s="99"/>
      <c r="S82" s="98"/>
      <c r="T82" s="93"/>
      <c r="U82" s="93"/>
      <c r="V82" s="93"/>
      <c r="W82" s="93"/>
      <c r="X82" s="93">
        <f>IF($B82="Yes",COUNTIF(Reference!P$52:P$67,$K82),"")</f>
        <v>1</v>
      </c>
      <c r="Y82" s="93">
        <f>IF($B82="Yes",COUNTIF(Reference!Q$52:Q$67,$K82),"")</f>
        <v>0</v>
      </c>
      <c r="Z82" s="93">
        <f>IF($B82="Yes",COUNTIF(Reference!R$52:R$67,$K82),"")</f>
        <v>0</v>
      </c>
      <c r="AA82" s="93">
        <f>IF($B82="Yes",COUNTIF(Reference!S$52:S$67,$K82),"")</f>
        <v>0</v>
      </c>
      <c r="AB82" s="93">
        <f>IF($B82="Yes",COUNTIF(Reference!T$52:T$67,$K82),"")</f>
        <v>0</v>
      </c>
      <c r="AC82" s="93">
        <f t="shared" si="5"/>
        <v>0</v>
      </c>
    </row>
    <row r="83" spans="1:29" x14ac:dyDescent="0.25">
      <c r="A83" s="92">
        <v>173</v>
      </c>
      <c r="B83" s="95" t="str">
        <f t="shared" si="3"/>
        <v>Yes</v>
      </c>
      <c r="H83" s="92" t="str">
        <f t="shared" si="4"/>
        <v>PL1-173</v>
      </c>
      <c r="I83" s="98"/>
      <c r="J83" s="99" t="s">
        <v>194</v>
      </c>
      <c r="K83" s="99" t="s">
        <v>417</v>
      </c>
      <c r="L83" s="99" t="s">
        <v>13</v>
      </c>
      <c r="M83" s="99" t="s">
        <v>380</v>
      </c>
      <c r="N83" s="99" t="s">
        <v>116</v>
      </c>
      <c r="O83" s="99">
        <v>60</v>
      </c>
      <c r="P83" s="99" t="s">
        <v>995</v>
      </c>
      <c r="Q83" s="99"/>
      <c r="R83" s="99"/>
      <c r="S83" s="98"/>
      <c r="T83" s="93"/>
      <c r="U83" s="93"/>
      <c r="V83" s="93"/>
      <c r="W83" s="93"/>
      <c r="X83" s="93">
        <f>IF($B83="Yes",COUNTIF(Reference!P$52:P$67,$K83),"")</f>
        <v>1</v>
      </c>
      <c r="Y83" s="93">
        <f>IF($B83="Yes",COUNTIF(Reference!Q$52:Q$67,$K83),"")</f>
        <v>0</v>
      </c>
      <c r="Z83" s="93">
        <f>IF($B83="Yes",COUNTIF(Reference!R$52:R$67,$K83),"")</f>
        <v>1</v>
      </c>
      <c r="AA83" s="93">
        <f>IF($B83="Yes",COUNTIF(Reference!S$52:S$67,$K83),"")</f>
        <v>0</v>
      </c>
      <c r="AB83" s="93">
        <f>IF($B83="Yes",COUNTIF(Reference!T$52:T$67,$K83),"")</f>
        <v>0</v>
      </c>
      <c r="AC83" s="93">
        <f t="shared" si="5"/>
        <v>0</v>
      </c>
    </row>
    <row r="84" spans="1:29" x14ac:dyDescent="0.25">
      <c r="A84" s="92">
        <v>174</v>
      </c>
      <c r="B84" s="95" t="str">
        <f t="shared" si="3"/>
        <v>Yes</v>
      </c>
      <c r="H84" s="92" t="str">
        <f t="shared" si="4"/>
        <v>PL1-174</v>
      </c>
      <c r="I84" s="98"/>
      <c r="J84" s="99" t="s">
        <v>31</v>
      </c>
      <c r="K84" s="99" t="s">
        <v>6</v>
      </c>
      <c r="L84" s="99" t="s">
        <v>1204</v>
      </c>
      <c r="M84" s="99" t="s">
        <v>5</v>
      </c>
      <c r="N84" s="99" t="s">
        <v>895</v>
      </c>
      <c r="O84" s="99">
        <v>60</v>
      </c>
      <c r="P84" s="99" t="s">
        <v>995</v>
      </c>
      <c r="Q84" s="99"/>
      <c r="R84" s="99"/>
      <c r="S84" s="98"/>
      <c r="T84" s="93"/>
      <c r="U84" s="93"/>
      <c r="V84" s="93"/>
      <c r="W84" s="93"/>
      <c r="X84" s="93">
        <f>IF($B84="Yes",COUNTIF(Reference!P$52:P$67,$K84),"")</f>
        <v>0</v>
      </c>
      <c r="Y84" s="93">
        <f>IF($B84="Yes",COUNTIF(Reference!Q$52:Q$67,$K84),"")</f>
        <v>0</v>
      </c>
      <c r="Z84" s="93">
        <f>IF($B84="Yes",COUNTIF(Reference!R$52:R$67,$K84),"")</f>
        <v>0</v>
      </c>
      <c r="AA84" s="93">
        <f>IF($B84="Yes",COUNTIF(Reference!S$52:S$67,$K84),"")</f>
        <v>1</v>
      </c>
      <c r="AB84" s="93">
        <f>IF($B84="Yes",COUNTIF(Reference!T$52:T$67,$K84),"")</f>
        <v>0</v>
      </c>
      <c r="AC84" s="93">
        <f t="shared" si="5"/>
        <v>0</v>
      </c>
    </row>
    <row r="85" spans="1:29" x14ac:dyDescent="0.25">
      <c r="A85" s="92">
        <v>175</v>
      </c>
      <c r="B85" s="95" t="str">
        <f t="shared" si="3"/>
        <v>Yes</v>
      </c>
      <c r="H85" s="92" t="str">
        <f t="shared" si="4"/>
        <v>PL1-175</v>
      </c>
      <c r="I85" s="98"/>
      <c r="J85" s="99" t="s">
        <v>44</v>
      </c>
      <c r="K85" s="99" t="s">
        <v>450</v>
      </c>
      <c r="L85" s="99" t="s">
        <v>899</v>
      </c>
      <c r="M85" s="99" t="s">
        <v>5</v>
      </c>
      <c r="N85" s="99" t="s">
        <v>1210</v>
      </c>
      <c r="O85" s="99">
        <v>100</v>
      </c>
      <c r="P85" s="99" t="s">
        <v>995</v>
      </c>
      <c r="Q85" s="99"/>
      <c r="R85" s="99"/>
      <c r="S85" s="98"/>
      <c r="T85" s="93"/>
      <c r="U85" s="93"/>
      <c r="V85" s="93"/>
      <c r="W85" s="93"/>
      <c r="X85" s="93">
        <f>IF($B85="Yes",COUNTIF(Reference!P$52:P$67,$K85),"")</f>
        <v>1</v>
      </c>
      <c r="Y85" s="93">
        <f>IF($B85="Yes",COUNTIF(Reference!Q$52:Q$67,$K85),"")</f>
        <v>1</v>
      </c>
      <c r="Z85" s="93">
        <f>IF($B85="Yes",COUNTIF(Reference!R$52:R$67,$K85),"")</f>
        <v>1</v>
      </c>
      <c r="AA85" s="93">
        <f>IF($B85="Yes",COUNTIF(Reference!S$52:S$67,$K85),"")</f>
        <v>0</v>
      </c>
      <c r="AB85" s="93">
        <f>IF($B85="Yes",COUNTIF(Reference!T$52:T$67,$K85),"")</f>
        <v>0</v>
      </c>
      <c r="AC85" s="93">
        <f t="shared" si="5"/>
        <v>0</v>
      </c>
    </row>
    <row r="86" spans="1:29" x14ac:dyDescent="0.25">
      <c r="A86" s="92">
        <v>176</v>
      </c>
      <c r="B86" s="95" t="str">
        <f t="shared" si="3"/>
        <v>Yes</v>
      </c>
      <c r="H86" s="92" t="str">
        <f t="shared" si="4"/>
        <v>PL1-176</v>
      </c>
      <c r="I86" s="98"/>
      <c r="J86" s="99" t="s">
        <v>107</v>
      </c>
      <c r="K86" s="99" t="s">
        <v>434</v>
      </c>
      <c r="L86" s="99" t="s">
        <v>1204</v>
      </c>
      <c r="M86" s="99" t="s">
        <v>5</v>
      </c>
      <c r="N86" s="99" t="s">
        <v>895</v>
      </c>
      <c r="O86" s="99">
        <v>60</v>
      </c>
      <c r="P86" s="99" t="s">
        <v>995</v>
      </c>
      <c r="Q86" s="99"/>
      <c r="R86" s="99"/>
      <c r="S86" s="98"/>
      <c r="T86" s="93"/>
      <c r="U86" s="93"/>
      <c r="V86" s="93"/>
      <c r="W86" s="93"/>
      <c r="X86" s="93">
        <f>IF($B86="Yes",COUNTIF(Reference!P$52:P$67,$K86),"")</f>
        <v>1</v>
      </c>
      <c r="Y86" s="93">
        <f>IF($B86="Yes",COUNTIF(Reference!Q$52:Q$67,$K86),"")</f>
        <v>1</v>
      </c>
      <c r="Z86" s="93">
        <f>IF($B86="Yes",COUNTIF(Reference!R$52:R$67,$K86),"")</f>
        <v>0</v>
      </c>
      <c r="AA86" s="93">
        <f>IF($B86="Yes",COUNTIF(Reference!S$52:S$67,$K86),"")</f>
        <v>0</v>
      </c>
      <c r="AB86" s="93">
        <f>IF($B86="Yes",COUNTIF(Reference!T$52:T$67,$K86),"")</f>
        <v>0</v>
      </c>
      <c r="AC86" s="93">
        <f t="shared" si="5"/>
        <v>0</v>
      </c>
    </row>
    <row r="87" spans="1:29" x14ac:dyDescent="0.25">
      <c r="A87" s="92">
        <v>177</v>
      </c>
      <c r="B87" s="95" t="str">
        <f t="shared" si="3"/>
        <v>Yes</v>
      </c>
      <c r="H87" s="92" t="str">
        <f t="shared" si="4"/>
        <v>PL1-177</v>
      </c>
      <c r="I87" s="98"/>
      <c r="J87" s="99" t="s">
        <v>45</v>
      </c>
      <c r="K87" s="99" t="s">
        <v>462</v>
      </c>
      <c r="L87" s="99" t="s">
        <v>899</v>
      </c>
      <c r="M87" s="99" t="s">
        <v>5</v>
      </c>
      <c r="N87" s="99" t="s">
        <v>1210</v>
      </c>
      <c r="O87" s="99">
        <v>100</v>
      </c>
      <c r="P87" s="99" t="s">
        <v>995</v>
      </c>
      <c r="Q87" s="99"/>
      <c r="R87" s="99"/>
      <c r="S87" s="98"/>
      <c r="T87" s="93"/>
      <c r="U87" s="93"/>
      <c r="V87" s="93"/>
      <c r="W87" s="93"/>
      <c r="X87" s="93">
        <f>IF($B87="Yes",COUNTIF(Reference!P$52:P$67,$K87),"")</f>
        <v>1</v>
      </c>
      <c r="Y87" s="93">
        <f>IF($B87="Yes",COUNTIF(Reference!Q$52:Q$67,$K87),"")</f>
        <v>1</v>
      </c>
      <c r="Z87" s="93">
        <f>IF($B87="Yes",COUNTIF(Reference!R$52:R$67,$K87),"")</f>
        <v>0</v>
      </c>
      <c r="AA87" s="93">
        <f>IF($B87="Yes",COUNTIF(Reference!S$52:S$67,$K87),"")</f>
        <v>0</v>
      </c>
      <c r="AB87" s="93">
        <f>IF($B87="Yes",COUNTIF(Reference!T$52:T$67,$K87),"")</f>
        <v>1</v>
      </c>
      <c r="AC87" s="93">
        <f t="shared" si="5"/>
        <v>0</v>
      </c>
    </row>
    <row r="88" spans="1:29" x14ac:dyDescent="0.25">
      <c r="A88" s="92">
        <v>178</v>
      </c>
      <c r="B88" s="95" t="str">
        <f t="shared" si="3"/>
        <v>No</v>
      </c>
      <c r="H88" s="92" t="str">
        <f t="shared" si="4"/>
        <v/>
      </c>
      <c r="I88" s="98"/>
      <c r="J88" s="99"/>
      <c r="K88" s="99"/>
      <c r="L88" s="99"/>
      <c r="M88" s="99"/>
      <c r="N88" s="99"/>
      <c r="O88" s="99"/>
      <c r="P88" s="99" t="s">
        <v>995</v>
      </c>
      <c r="Q88" s="99"/>
      <c r="R88" s="99"/>
      <c r="S88" s="98"/>
      <c r="T88" s="93"/>
      <c r="U88" s="93"/>
      <c r="V88" s="93"/>
      <c r="W88" s="93"/>
      <c r="X88" s="93" t="str">
        <f>IF($B88="Yes",COUNTIF(Reference!P$52:P$67,$K88),"")</f>
        <v/>
      </c>
      <c r="Y88" s="93" t="str">
        <f>IF($B88="Yes",COUNTIF(Reference!Q$52:Q$67,$K88),"")</f>
        <v/>
      </c>
      <c r="Z88" s="93" t="str">
        <f>IF($B88="Yes",COUNTIF(Reference!R$52:R$67,$K88),"")</f>
        <v/>
      </c>
      <c r="AA88" s="93" t="str">
        <f>IF($B88="Yes",COUNTIF(Reference!S$52:S$67,$K88),"")</f>
        <v/>
      </c>
      <c r="AB88" s="93" t="str">
        <f>IF($B88="Yes",COUNTIF(Reference!T$52:T$67,$K88),"")</f>
        <v/>
      </c>
      <c r="AC88" s="93" t="str">
        <f t="shared" si="5"/>
        <v/>
      </c>
    </row>
    <row r="89" spans="1:29" x14ac:dyDescent="0.25">
      <c r="A89" s="92">
        <v>179</v>
      </c>
      <c r="B89" s="95" t="str">
        <f t="shared" si="3"/>
        <v>Yes</v>
      </c>
      <c r="H89" s="92" t="str">
        <f t="shared" si="4"/>
        <v>PL1-179</v>
      </c>
      <c r="I89" s="98"/>
      <c r="J89" s="99" t="s">
        <v>195</v>
      </c>
      <c r="K89" s="99" t="s">
        <v>428</v>
      </c>
      <c r="L89" s="99" t="s">
        <v>13</v>
      </c>
      <c r="M89" s="99" t="s">
        <v>5</v>
      </c>
      <c r="N89" s="99" t="s">
        <v>1209</v>
      </c>
      <c r="O89" s="99">
        <v>60</v>
      </c>
      <c r="P89" s="99" t="s">
        <v>995</v>
      </c>
      <c r="Q89" s="99"/>
      <c r="R89" s="99"/>
      <c r="S89" s="98"/>
      <c r="T89" s="93"/>
      <c r="U89" s="93"/>
      <c r="V89" s="93"/>
      <c r="W89" s="93"/>
      <c r="X89" s="93">
        <f>IF($B89="Yes",COUNTIF(Reference!P$52:P$67,$K89),"")</f>
        <v>0</v>
      </c>
      <c r="Y89" s="93">
        <f>IF($B89="Yes",COUNTIF(Reference!Q$52:Q$67,$K89),"")</f>
        <v>0</v>
      </c>
      <c r="Z89" s="93">
        <f>IF($B89="Yes",COUNTIF(Reference!R$52:R$67,$K89),"")</f>
        <v>0</v>
      </c>
      <c r="AA89" s="93">
        <f>IF($B89="Yes",COUNTIF(Reference!S$52:S$67,$K89),"")</f>
        <v>1</v>
      </c>
      <c r="AB89" s="93">
        <f>IF($B89="Yes",COUNTIF(Reference!T$52:T$67,$K89),"")</f>
        <v>1</v>
      </c>
      <c r="AC89" s="93">
        <f t="shared" si="5"/>
        <v>0</v>
      </c>
    </row>
    <row r="90" spans="1:29" x14ac:dyDescent="0.25">
      <c r="A90" s="92">
        <v>180</v>
      </c>
      <c r="B90" s="95" t="str">
        <f t="shared" si="3"/>
        <v>Yes</v>
      </c>
      <c r="H90" s="92" t="str">
        <f t="shared" si="4"/>
        <v>PL1-180</v>
      </c>
      <c r="I90" s="98"/>
      <c r="J90" s="99" t="s">
        <v>196</v>
      </c>
      <c r="K90" s="99" t="s">
        <v>5</v>
      </c>
      <c r="L90" s="99" t="s">
        <v>13</v>
      </c>
      <c r="M90" s="99" t="s">
        <v>5</v>
      </c>
      <c r="N90" s="99" t="s">
        <v>1197</v>
      </c>
      <c r="O90" s="99">
        <v>60</v>
      </c>
      <c r="P90" s="99" t="s">
        <v>995</v>
      </c>
      <c r="Q90" s="99"/>
      <c r="R90" s="99"/>
      <c r="S90" s="98"/>
      <c r="T90" s="93"/>
      <c r="U90" s="93"/>
      <c r="V90" s="93"/>
      <c r="W90" s="93"/>
      <c r="X90" s="93">
        <f>IF($B90="Yes",COUNTIF(Reference!P$52:P$67,$K90),"")</f>
        <v>0</v>
      </c>
      <c r="Y90" s="93">
        <f>IF($B90="Yes",COUNTIF(Reference!Q$52:Q$67,$K90),"")</f>
        <v>0</v>
      </c>
      <c r="Z90" s="93">
        <f>IF($B90="Yes",COUNTIF(Reference!R$52:R$67,$K90),"")</f>
        <v>1</v>
      </c>
      <c r="AA90" s="93">
        <f>IF($B90="Yes",COUNTIF(Reference!S$52:S$67,$K90),"")</f>
        <v>0</v>
      </c>
      <c r="AB90" s="93">
        <f>IF($B90="Yes",COUNTIF(Reference!T$52:T$67,$K90),"")</f>
        <v>0</v>
      </c>
      <c r="AC90" s="93">
        <f t="shared" si="5"/>
        <v>0</v>
      </c>
    </row>
    <row r="91" spans="1:29" x14ac:dyDescent="0.25">
      <c r="A91" s="92">
        <v>181</v>
      </c>
      <c r="B91" s="95" t="str">
        <f t="shared" si="3"/>
        <v>Yes</v>
      </c>
      <c r="H91" s="92" t="str">
        <f t="shared" si="4"/>
        <v>PL1-181</v>
      </c>
      <c r="I91" s="98"/>
      <c r="J91" s="99" t="s">
        <v>1211</v>
      </c>
      <c r="K91" s="99" t="s">
        <v>459</v>
      </c>
      <c r="L91" s="99" t="s">
        <v>13</v>
      </c>
      <c r="M91" s="99" t="s">
        <v>380</v>
      </c>
      <c r="N91" s="99" t="s">
        <v>1199</v>
      </c>
      <c r="O91" s="99">
        <v>60</v>
      </c>
      <c r="P91" s="99" t="s">
        <v>995</v>
      </c>
      <c r="Q91" s="99"/>
      <c r="R91" s="99"/>
      <c r="S91" s="98"/>
      <c r="T91" s="93"/>
      <c r="U91" s="93"/>
      <c r="V91" s="93"/>
      <c r="W91" s="93"/>
      <c r="X91" s="93">
        <f>IF($B91="Yes",COUNTIF(Reference!P$52:P$67,$K91),"")</f>
        <v>1</v>
      </c>
      <c r="Y91" s="93">
        <f>IF($B91="Yes",COUNTIF(Reference!Q$52:Q$67,$K91),"")</f>
        <v>1</v>
      </c>
      <c r="Z91" s="93">
        <f>IF($B91="Yes",COUNTIF(Reference!R$52:R$67,$K91),"")</f>
        <v>1</v>
      </c>
      <c r="AA91" s="93">
        <f>IF($B91="Yes",COUNTIF(Reference!S$52:S$67,$K91),"")</f>
        <v>1</v>
      </c>
      <c r="AB91" s="93">
        <f>IF($B91="Yes",COUNTIF(Reference!T$52:T$67,$K91),"")</f>
        <v>1</v>
      </c>
      <c r="AC91" s="93">
        <f t="shared" si="5"/>
        <v>0</v>
      </c>
    </row>
    <row r="92" spans="1:29" x14ac:dyDescent="0.25">
      <c r="A92" s="92">
        <v>182</v>
      </c>
      <c r="B92" s="95" t="str">
        <f t="shared" si="3"/>
        <v>Yes</v>
      </c>
      <c r="H92" s="92" t="str">
        <f t="shared" si="4"/>
        <v>PL1-182</v>
      </c>
      <c r="I92" s="98"/>
      <c r="J92" s="99" t="s">
        <v>197</v>
      </c>
      <c r="K92" s="99" t="s">
        <v>3</v>
      </c>
      <c r="L92" s="99" t="s">
        <v>13</v>
      </c>
      <c r="M92" s="99" t="s">
        <v>807</v>
      </c>
      <c r="N92" s="99" t="s">
        <v>154</v>
      </c>
      <c r="O92" s="99">
        <v>60</v>
      </c>
      <c r="P92" s="99" t="s">
        <v>995</v>
      </c>
      <c r="Q92" s="99"/>
      <c r="R92" s="99"/>
      <c r="S92" s="98"/>
      <c r="T92" s="93"/>
      <c r="U92" s="93"/>
      <c r="V92" s="93"/>
      <c r="W92" s="93"/>
      <c r="X92" s="93">
        <f>IF($B92="Yes",COUNTIF(Reference!P$52:P$67,$K92),"")</f>
        <v>1</v>
      </c>
      <c r="Y92" s="93">
        <f>IF($B92="Yes",COUNTIF(Reference!Q$52:Q$67,$K92),"")</f>
        <v>0</v>
      </c>
      <c r="Z92" s="93">
        <f>IF($B92="Yes",COUNTIF(Reference!R$52:R$67,$K92),"")</f>
        <v>0</v>
      </c>
      <c r="AA92" s="93">
        <f>IF($B92="Yes",COUNTIF(Reference!S$52:S$67,$K92),"")</f>
        <v>0</v>
      </c>
      <c r="AB92" s="93">
        <f>IF($B92="Yes",COUNTIF(Reference!T$52:T$67,$K92),"")</f>
        <v>0</v>
      </c>
      <c r="AC92" s="93">
        <f t="shared" si="5"/>
        <v>0</v>
      </c>
    </row>
    <row r="93" spans="1:29" x14ac:dyDescent="0.25">
      <c r="A93" s="92">
        <v>183</v>
      </c>
      <c r="B93" s="95" t="str">
        <f t="shared" si="3"/>
        <v>Yes</v>
      </c>
      <c r="H93" s="92" t="str">
        <f t="shared" si="4"/>
        <v>PL1-183</v>
      </c>
      <c r="I93" s="98"/>
      <c r="J93" s="99" t="s">
        <v>198</v>
      </c>
      <c r="K93" s="99" t="s">
        <v>7</v>
      </c>
      <c r="L93" s="99" t="s">
        <v>13</v>
      </c>
      <c r="M93" s="99" t="s">
        <v>808</v>
      </c>
      <c r="N93" s="99" t="s">
        <v>1208</v>
      </c>
      <c r="O93" s="99">
        <v>60</v>
      </c>
      <c r="P93" s="99" t="s">
        <v>995</v>
      </c>
      <c r="Q93" s="99"/>
      <c r="R93" s="99"/>
      <c r="S93" s="98"/>
      <c r="T93" s="93"/>
      <c r="U93" s="93"/>
      <c r="V93" s="93"/>
      <c r="W93" s="93"/>
      <c r="X93" s="93">
        <f>IF($B93="Yes",COUNTIF(Reference!P$52:P$67,$K93),"")</f>
        <v>0</v>
      </c>
      <c r="Y93" s="93">
        <f>IF($B93="Yes",COUNTIF(Reference!Q$52:Q$67,$K93),"")</f>
        <v>0</v>
      </c>
      <c r="Z93" s="93">
        <f>IF($B93="Yes",COUNTIF(Reference!R$52:R$67,$K93),"")</f>
        <v>0</v>
      </c>
      <c r="AA93" s="93">
        <f>IF($B93="Yes",COUNTIF(Reference!S$52:S$67,$K93),"")</f>
        <v>0</v>
      </c>
      <c r="AB93" s="93">
        <f>IF($B93="Yes",COUNTIF(Reference!T$52:T$67,$K93),"")</f>
        <v>1</v>
      </c>
      <c r="AC93" s="93">
        <f t="shared" si="5"/>
        <v>0</v>
      </c>
    </row>
    <row r="94" spans="1:29" x14ac:dyDescent="0.25">
      <c r="A94" s="92">
        <v>184</v>
      </c>
      <c r="B94" s="95" t="str">
        <f t="shared" si="3"/>
        <v>Yes</v>
      </c>
      <c r="H94" s="92" t="str">
        <f t="shared" si="4"/>
        <v>PL1-184</v>
      </c>
      <c r="I94" s="98"/>
      <c r="J94" s="99" t="s">
        <v>199</v>
      </c>
      <c r="K94" s="99" t="s">
        <v>423</v>
      </c>
      <c r="L94" s="99" t="s">
        <v>13</v>
      </c>
      <c r="M94" s="99" t="s">
        <v>807</v>
      </c>
      <c r="N94" s="99" t="s">
        <v>1208</v>
      </c>
      <c r="O94" s="99">
        <v>60</v>
      </c>
      <c r="P94" s="99" t="s">
        <v>995</v>
      </c>
      <c r="Q94" s="99"/>
      <c r="R94" s="99"/>
      <c r="S94" s="98"/>
      <c r="T94" s="93"/>
      <c r="U94" s="93"/>
      <c r="V94" s="93"/>
      <c r="W94" s="93"/>
      <c r="X94" s="93">
        <f>IF($B94="Yes",COUNTIF(Reference!P$52:P$67,$K94),"")</f>
        <v>0</v>
      </c>
      <c r="Y94" s="93">
        <f>IF($B94="Yes",COUNTIF(Reference!Q$52:Q$67,$K94),"")</f>
        <v>1</v>
      </c>
      <c r="Z94" s="93">
        <f>IF($B94="Yes",COUNTIF(Reference!R$52:R$67,$K94),"")</f>
        <v>1</v>
      </c>
      <c r="AA94" s="93">
        <f>IF($B94="Yes",COUNTIF(Reference!S$52:S$67,$K94),"")</f>
        <v>0</v>
      </c>
      <c r="AB94" s="93">
        <f>IF($B94="Yes",COUNTIF(Reference!T$52:T$67,$K94),"")</f>
        <v>1</v>
      </c>
      <c r="AC94" s="93">
        <f t="shared" si="5"/>
        <v>0</v>
      </c>
    </row>
    <row r="95" spans="1:29" x14ac:dyDescent="0.25">
      <c r="A95" s="92">
        <v>185</v>
      </c>
      <c r="B95" s="95" t="str">
        <f t="shared" si="3"/>
        <v>Yes</v>
      </c>
      <c r="H95" s="92" t="str">
        <f t="shared" si="4"/>
        <v>PL1-185</v>
      </c>
      <c r="I95" s="98"/>
      <c r="J95" s="99" t="s">
        <v>200</v>
      </c>
      <c r="K95" s="99" t="s">
        <v>459</v>
      </c>
      <c r="L95" s="99" t="s">
        <v>13</v>
      </c>
      <c r="M95" s="99" t="s">
        <v>807</v>
      </c>
      <c r="N95" s="99" t="s">
        <v>1206</v>
      </c>
      <c r="O95" s="99">
        <v>60</v>
      </c>
      <c r="P95" s="99" t="s">
        <v>995</v>
      </c>
      <c r="Q95" s="99"/>
      <c r="R95" s="99"/>
      <c r="S95" s="98"/>
      <c r="T95" s="93"/>
      <c r="U95" s="93"/>
      <c r="V95" s="93"/>
      <c r="W95" s="93"/>
      <c r="X95" s="93">
        <f>IF($B95="Yes",COUNTIF(Reference!P$52:P$67,$K95),"")</f>
        <v>1</v>
      </c>
      <c r="Y95" s="93">
        <f>IF($B95="Yes",COUNTIF(Reference!Q$52:Q$67,$K95),"")</f>
        <v>1</v>
      </c>
      <c r="Z95" s="93">
        <f>IF($B95="Yes",COUNTIF(Reference!R$52:R$67,$K95),"")</f>
        <v>1</v>
      </c>
      <c r="AA95" s="93">
        <f>IF($B95="Yes",COUNTIF(Reference!S$52:S$67,$K95),"")</f>
        <v>1</v>
      </c>
      <c r="AB95" s="93">
        <f>IF($B95="Yes",COUNTIF(Reference!T$52:T$67,$K95),"")</f>
        <v>1</v>
      </c>
      <c r="AC95" s="93">
        <f t="shared" si="5"/>
        <v>0</v>
      </c>
    </row>
    <row r="96" spans="1:29" x14ac:dyDescent="0.25">
      <c r="A96" s="92">
        <v>186</v>
      </c>
      <c r="B96" s="95" t="str">
        <f t="shared" si="3"/>
        <v>Yes</v>
      </c>
      <c r="H96" s="92" t="str">
        <f t="shared" si="4"/>
        <v>PL1-186</v>
      </c>
      <c r="I96" s="98"/>
      <c r="J96" s="99" t="s">
        <v>1522</v>
      </c>
      <c r="K96" s="99" t="s">
        <v>459</v>
      </c>
      <c r="L96" s="99" t="s">
        <v>13</v>
      </c>
      <c r="M96" s="99" t="s">
        <v>807</v>
      </c>
      <c r="N96" s="99" t="s">
        <v>1206</v>
      </c>
      <c r="O96" s="99">
        <v>60</v>
      </c>
      <c r="P96" s="99" t="s">
        <v>995</v>
      </c>
      <c r="Q96" s="99"/>
      <c r="R96" s="99"/>
      <c r="S96" s="98"/>
      <c r="T96" s="93"/>
      <c r="U96" s="93"/>
      <c r="V96" s="93"/>
      <c r="W96" s="93"/>
      <c r="X96" s="93">
        <f>IF($B96="Yes",COUNTIF(Reference!P$52:P$67,$K96),"")</f>
        <v>1</v>
      </c>
      <c r="Y96" s="93">
        <f>IF($B96="Yes",COUNTIF(Reference!Q$52:Q$67,$K96),"")</f>
        <v>1</v>
      </c>
      <c r="Z96" s="93">
        <f>IF($B96="Yes",COUNTIF(Reference!R$52:R$67,$K96),"")</f>
        <v>1</v>
      </c>
      <c r="AA96" s="93">
        <f>IF($B96="Yes",COUNTIF(Reference!S$52:S$67,$K96),"")</f>
        <v>1</v>
      </c>
      <c r="AB96" s="93">
        <f>IF($B96="Yes",COUNTIF(Reference!T$52:T$67,$K96),"")</f>
        <v>1</v>
      </c>
      <c r="AC96" s="93">
        <f t="shared" si="5"/>
        <v>0</v>
      </c>
    </row>
    <row r="97" spans="1:29" x14ac:dyDescent="0.25">
      <c r="A97" s="92">
        <v>187</v>
      </c>
      <c r="B97" s="95" t="str">
        <f t="shared" si="3"/>
        <v>Yes</v>
      </c>
      <c r="H97" s="92" t="str">
        <f t="shared" si="4"/>
        <v>PL1-187</v>
      </c>
      <c r="I97" s="98"/>
      <c r="J97" s="99" t="s">
        <v>988</v>
      </c>
      <c r="K97" s="99" t="s">
        <v>3</v>
      </c>
      <c r="L97" s="99" t="s">
        <v>13</v>
      </c>
      <c r="M97" s="99" t="s">
        <v>807</v>
      </c>
      <c r="N97" s="99" t="s">
        <v>1209</v>
      </c>
      <c r="O97" s="99">
        <v>60</v>
      </c>
      <c r="P97" s="99" t="s">
        <v>995</v>
      </c>
      <c r="Q97" s="99"/>
      <c r="R97" s="99"/>
      <c r="S97" s="98"/>
      <c r="T97" s="93"/>
      <c r="U97" s="93"/>
      <c r="V97" s="93"/>
      <c r="W97" s="93"/>
      <c r="X97" s="93">
        <f>IF($B97="Yes",COUNTIF(Reference!P$52:P$67,$K97),"")</f>
        <v>1</v>
      </c>
      <c r="Y97" s="93">
        <f>IF($B97="Yes",COUNTIF(Reference!Q$52:Q$67,$K97),"")</f>
        <v>0</v>
      </c>
      <c r="Z97" s="93">
        <f>IF($B97="Yes",COUNTIF(Reference!R$52:R$67,$K97),"")</f>
        <v>0</v>
      </c>
      <c r="AA97" s="93">
        <f>IF($B97="Yes",COUNTIF(Reference!S$52:S$67,$K97),"")</f>
        <v>0</v>
      </c>
      <c r="AB97" s="93">
        <f>IF($B97="Yes",COUNTIF(Reference!T$52:T$67,$K97),"")</f>
        <v>0</v>
      </c>
      <c r="AC97" s="93">
        <f t="shared" si="5"/>
        <v>0</v>
      </c>
    </row>
    <row r="98" spans="1:29" x14ac:dyDescent="0.25">
      <c r="A98" s="92">
        <v>188</v>
      </c>
      <c r="B98" s="95" t="str">
        <f t="shared" si="3"/>
        <v>Yes</v>
      </c>
      <c r="H98" s="92" t="str">
        <f t="shared" si="4"/>
        <v>PL1-188</v>
      </c>
      <c r="I98" s="98"/>
      <c r="J98" s="99" t="s">
        <v>201</v>
      </c>
      <c r="K98" s="99" t="s">
        <v>3</v>
      </c>
      <c r="L98" s="99" t="s">
        <v>30</v>
      </c>
      <c r="M98" s="99" t="s">
        <v>5</v>
      </c>
      <c r="N98" s="99" t="s">
        <v>125</v>
      </c>
      <c r="O98" s="99">
        <v>100</v>
      </c>
      <c r="P98" s="99" t="s">
        <v>202</v>
      </c>
      <c r="Q98" s="99"/>
      <c r="R98" s="99"/>
      <c r="S98" s="98"/>
      <c r="T98" s="93"/>
      <c r="U98" s="93"/>
      <c r="V98" s="93"/>
      <c r="W98" s="93"/>
      <c r="X98" s="93">
        <f>IF($B98="Yes",COUNTIF(Reference!P$52:P$67,$K98),"")</f>
        <v>1</v>
      </c>
      <c r="Y98" s="93">
        <f>IF($B98="Yes",COUNTIF(Reference!Q$52:Q$67,$K98),"")</f>
        <v>0</v>
      </c>
      <c r="Z98" s="93">
        <f>IF($B98="Yes",COUNTIF(Reference!R$52:R$67,$K98),"")</f>
        <v>0</v>
      </c>
      <c r="AA98" s="93">
        <f>IF($B98="Yes",COUNTIF(Reference!S$52:S$67,$K98),"")</f>
        <v>0</v>
      </c>
      <c r="AB98" s="93">
        <f>IF($B98="Yes",COUNTIF(Reference!T$52:T$67,$K98),"")</f>
        <v>0</v>
      </c>
      <c r="AC98" s="93">
        <f t="shared" si="5"/>
        <v>0</v>
      </c>
    </row>
    <row r="99" spans="1:29" x14ac:dyDescent="0.25">
      <c r="A99" s="92">
        <v>189</v>
      </c>
      <c r="B99" s="95" t="str">
        <f t="shared" si="3"/>
        <v>Yes</v>
      </c>
      <c r="H99" s="92" t="str">
        <f t="shared" si="4"/>
        <v>PL1-189</v>
      </c>
      <c r="I99" s="98"/>
      <c r="J99" s="99" t="s">
        <v>888</v>
      </c>
      <c r="K99" s="99" t="s">
        <v>3</v>
      </c>
      <c r="L99" s="99" t="s">
        <v>899</v>
      </c>
      <c r="M99" s="99" t="s">
        <v>5</v>
      </c>
      <c r="N99" s="99" t="s">
        <v>128</v>
      </c>
      <c r="O99" s="99">
        <v>100</v>
      </c>
      <c r="P99" s="99" t="s">
        <v>995</v>
      </c>
      <c r="Q99" s="99"/>
      <c r="R99" s="99"/>
      <c r="S99" s="98"/>
      <c r="T99" s="93"/>
      <c r="U99" s="93"/>
      <c r="V99" s="93"/>
      <c r="W99" s="93"/>
      <c r="X99" s="93">
        <f>IF($B99="Yes",COUNTIF(Reference!P$52:P$67,$K99),"")</f>
        <v>1</v>
      </c>
      <c r="Y99" s="93">
        <f>IF($B99="Yes",COUNTIF(Reference!Q$52:Q$67,$K99),"")</f>
        <v>0</v>
      </c>
      <c r="Z99" s="93">
        <f>IF($B99="Yes",COUNTIF(Reference!R$52:R$67,$K99),"")</f>
        <v>0</v>
      </c>
      <c r="AA99" s="93">
        <f>IF($B99="Yes",COUNTIF(Reference!S$52:S$67,$K99),"")</f>
        <v>0</v>
      </c>
      <c r="AB99" s="93">
        <f>IF($B99="Yes",COUNTIF(Reference!T$52:T$67,$K99),"")</f>
        <v>0</v>
      </c>
      <c r="AC99" s="93">
        <f t="shared" si="5"/>
        <v>0</v>
      </c>
    </row>
    <row r="100" spans="1:29" x14ac:dyDescent="0.25">
      <c r="A100" s="92">
        <v>190</v>
      </c>
      <c r="B100" s="95" t="str">
        <f t="shared" si="3"/>
        <v>Yes</v>
      </c>
      <c r="H100" s="92" t="str">
        <f t="shared" si="4"/>
        <v>PL1-190</v>
      </c>
      <c r="I100" s="98"/>
      <c r="J100" s="99" t="s">
        <v>203</v>
      </c>
      <c r="K100" s="99" t="s">
        <v>5</v>
      </c>
      <c r="L100" s="99" t="s">
        <v>13</v>
      </c>
      <c r="M100" s="99" t="s">
        <v>808</v>
      </c>
      <c r="N100" s="99" t="s">
        <v>175</v>
      </c>
      <c r="O100" s="99">
        <v>60</v>
      </c>
      <c r="P100" s="99" t="s">
        <v>995</v>
      </c>
      <c r="Q100" s="99"/>
      <c r="R100" s="99"/>
      <c r="S100" s="98"/>
      <c r="T100" s="93"/>
      <c r="U100" s="93"/>
      <c r="V100" s="93"/>
      <c r="W100" s="93"/>
      <c r="X100" s="93">
        <f>IF($B100="Yes",COUNTIF(Reference!P$52:P$67,$K100),"")</f>
        <v>0</v>
      </c>
      <c r="Y100" s="93">
        <f>IF($B100="Yes",COUNTIF(Reference!Q$52:Q$67,$K100),"")</f>
        <v>0</v>
      </c>
      <c r="Z100" s="93">
        <f>IF($B100="Yes",COUNTIF(Reference!R$52:R$67,$K100),"")</f>
        <v>1</v>
      </c>
      <c r="AA100" s="93">
        <f>IF($B100="Yes",COUNTIF(Reference!S$52:S$67,$K100),"")</f>
        <v>0</v>
      </c>
      <c r="AB100" s="93">
        <f>IF($B100="Yes",COUNTIF(Reference!T$52:T$67,$K100),"")</f>
        <v>0</v>
      </c>
      <c r="AC100" s="93">
        <f t="shared" si="5"/>
        <v>0</v>
      </c>
    </row>
    <row r="101" spans="1:29" x14ac:dyDescent="0.25">
      <c r="A101" s="92">
        <v>191</v>
      </c>
      <c r="B101" s="95" t="str">
        <f t="shared" si="3"/>
        <v>Yes</v>
      </c>
      <c r="H101" s="92" t="str">
        <f t="shared" si="4"/>
        <v>PL1-191</v>
      </c>
      <c r="I101" s="98"/>
      <c r="J101" s="99" t="s">
        <v>204</v>
      </c>
      <c r="K101" s="99" t="s">
        <v>434</v>
      </c>
      <c r="L101" s="99" t="s">
        <v>13</v>
      </c>
      <c r="M101" s="99" t="s">
        <v>807</v>
      </c>
      <c r="N101" s="99" t="s">
        <v>134</v>
      </c>
      <c r="O101" s="99">
        <v>60</v>
      </c>
      <c r="P101" s="99" t="s">
        <v>995</v>
      </c>
      <c r="Q101" s="99"/>
      <c r="R101" s="99"/>
      <c r="S101" s="98"/>
      <c r="T101" s="93"/>
      <c r="U101" s="93"/>
      <c r="V101" s="93"/>
      <c r="W101" s="93"/>
      <c r="X101" s="93">
        <f>IF($B101="Yes",COUNTIF(Reference!P$52:P$67,$K101),"")</f>
        <v>1</v>
      </c>
      <c r="Y101" s="93">
        <f>IF($B101="Yes",COUNTIF(Reference!Q$52:Q$67,$K101),"")</f>
        <v>1</v>
      </c>
      <c r="Z101" s="93">
        <f>IF($B101="Yes",COUNTIF(Reference!R$52:R$67,$K101),"")</f>
        <v>0</v>
      </c>
      <c r="AA101" s="93">
        <f>IF($B101="Yes",COUNTIF(Reference!S$52:S$67,$K101),"")</f>
        <v>0</v>
      </c>
      <c r="AB101" s="93">
        <f>IF($B101="Yes",COUNTIF(Reference!T$52:T$67,$K101),"")</f>
        <v>0</v>
      </c>
      <c r="AC101" s="93">
        <f t="shared" si="5"/>
        <v>0</v>
      </c>
    </row>
    <row r="102" spans="1:29" x14ac:dyDescent="0.25">
      <c r="A102" s="92">
        <v>192</v>
      </c>
      <c r="B102" s="95" t="str">
        <f t="shared" si="3"/>
        <v>Yes</v>
      </c>
      <c r="H102" s="92" t="str">
        <f t="shared" si="4"/>
        <v>PL1-192</v>
      </c>
      <c r="I102" s="98"/>
      <c r="J102" s="99" t="s">
        <v>205</v>
      </c>
      <c r="K102" s="99" t="s">
        <v>422</v>
      </c>
      <c r="L102" s="99" t="s">
        <v>30</v>
      </c>
      <c r="M102" s="99" t="s">
        <v>5</v>
      </c>
      <c r="N102" s="99" t="s">
        <v>1197</v>
      </c>
      <c r="O102" s="99">
        <v>100</v>
      </c>
      <c r="P102" s="99" t="s">
        <v>995</v>
      </c>
      <c r="Q102" s="99"/>
      <c r="R102" s="99"/>
      <c r="S102" s="98"/>
      <c r="T102" s="93"/>
      <c r="U102" s="93"/>
      <c r="V102" s="93"/>
      <c r="W102" s="93"/>
      <c r="X102" s="93">
        <f>IF($B102="Yes",COUNTIF(Reference!P$52:P$67,$K102),"")</f>
        <v>1</v>
      </c>
      <c r="Y102" s="93">
        <f>IF($B102="Yes",COUNTIF(Reference!Q$52:Q$67,$K102),"")</f>
        <v>0</v>
      </c>
      <c r="Z102" s="93">
        <f>IF($B102="Yes",COUNTIF(Reference!R$52:R$67,$K102),"")</f>
        <v>1</v>
      </c>
      <c r="AA102" s="93">
        <f>IF($B102="Yes",COUNTIF(Reference!S$52:S$67,$K102),"")</f>
        <v>0</v>
      </c>
      <c r="AB102" s="93">
        <f>IF($B102="Yes",COUNTIF(Reference!T$52:T$67,$K102),"")</f>
        <v>1</v>
      </c>
      <c r="AC102" s="93">
        <f t="shared" si="5"/>
        <v>0</v>
      </c>
    </row>
    <row r="103" spans="1:29" x14ac:dyDescent="0.25">
      <c r="A103" s="92">
        <v>193</v>
      </c>
      <c r="B103" s="95" t="str">
        <f t="shared" si="3"/>
        <v>Yes</v>
      </c>
      <c r="H103" s="92" t="str">
        <f t="shared" si="4"/>
        <v>PL1-193</v>
      </c>
      <c r="I103" s="98"/>
      <c r="J103" s="99" t="s">
        <v>206</v>
      </c>
      <c r="K103" s="99" t="s">
        <v>440</v>
      </c>
      <c r="L103" s="99" t="s">
        <v>13</v>
      </c>
      <c r="M103" s="99" t="s">
        <v>380</v>
      </c>
      <c r="N103" s="99" t="s">
        <v>898</v>
      </c>
      <c r="O103" s="99">
        <v>60</v>
      </c>
      <c r="P103" s="99" t="s">
        <v>995</v>
      </c>
      <c r="Q103" s="99"/>
      <c r="R103" s="99"/>
      <c r="S103" s="98"/>
      <c r="T103" s="93"/>
      <c r="U103" s="93"/>
      <c r="V103" s="93"/>
      <c r="W103" s="93"/>
      <c r="X103" s="93">
        <f>IF($B103="Yes",COUNTIF(Reference!P$52:P$67,$K103),"")</f>
        <v>1</v>
      </c>
      <c r="Y103" s="93">
        <f>IF($B103="Yes",COUNTIF(Reference!Q$52:Q$67,$K103),"")</f>
        <v>0</v>
      </c>
      <c r="Z103" s="93">
        <f>IF($B103="Yes",COUNTIF(Reference!R$52:R$67,$K103),"")</f>
        <v>0</v>
      </c>
      <c r="AA103" s="93">
        <f>IF($B103="Yes",COUNTIF(Reference!S$52:S$67,$K103),"")</f>
        <v>1</v>
      </c>
      <c r="AB103" s="93">
        <f>IF($B103="Yes",COUNTIF(Reference!T$52:T$67,$K103),"")</f>
        <v>0</v>
      </c>
      <c r="AC103" s="93">
        <f t="shared" si="5"/>
        <v>0</v>
      </c>
    </row>
    <row r="104" spans="1:29" x14ac:dyDescent="0.25">
      <c r="A104" s="92">
        <v>194</v>
      </c>
      <c r="B104" s="95" t="str">
        <f t="shared" si="3"/>
        <v>Yes</v>
      </c>
      <c r="H104" s="92" t="str">
        <f t="shared" si="4"/>
        <v>PL1-194</v>
      </c>
      <c r="I104" s="98"/>
      <c r="J104" s="99" t="s">
        <v>889</v>
      </c>
      <c r="K104" s="99" t="s">
        <v>6</v>
      </c>
      <c r="L104" s="99" t="s">
        <v>1204</v>
      </c>
      <c r="M104" s="99" t="s">
        <v>5</v>
      </c>
      <c r="N104" s="99" t="s">
        <v>895</v>
      </c>
      <c r="O104" s="99">
        <v>60</v>
      </c>
      <c r="P104" s="99" t="s">
        <v>995</v>
      </c>
      <c r="Q104" s="99"/>
      <c r="R104" s="99"/>
      <c r="S104" s="98"/>
      <c r="T104" s="93"/>
      <c r="U104" s="93"/>
      <c r="V104" s="93"/>
      <c r="W104" s="93"/>
      <c r="X104" s="93">
        <f>IF($B104="Yes",COUNTIF(Reference!P$52:P$67,$K104),"")</f>
        <v>0</v>
      </c>
      <c r="Y104" s="93">
        <f>IF($B104="Yes",COUNTIF(Reference!Q$52:Q$67,$K104),"")</f>
        <v>0</v>
      </c>
      <c r="Z104" s="93">
        <f>IF($B104="Yes",COUNTIF(Reference!R$52:R$67,$K104),"")</f>
        <v>0</v>
      </c>
      <c r="AA104" s="93">
        <f>IF($B104="Yes",COUNTIF(Reference!S$52:S$67,$K104),"")</f>
        <v>1</v>
      </c>
      <c r="AB104" s="93">
        <f>IF($B104="Yes",COUNTIF(Reference!T$52:T$67,$K104),"")</f>
        <v>0</v>
      </c>
      <c r="AC104" s="93">
        <f t="shared" si="5"/>
        <v>0</v>
      </c>
    </row>
    <row r="105" spans="1:29" x14ac:dyDescent="0.25">
      <c r="A105" s="92">
        <v>195</v>
      </c>
      <c r="B105" s="95" t="str">
        <f t="shared" si="3"/>
        <v>Yes</v>
      </c>
      <c r="H105" s="92" t="str">
        <f t="shared" si="4"/>
        <v>PL1-195</v>
      </c>
      <c r="I105" s="98"/>
      <c r="J105" s="99" t="s">
        <v>53</v>
      </c>
      <c r="K105" s="99" t="s">
        <v>419</v>
      </c>
      <c r="L105" s="99" t="s">
        <v>1204</v>
      </c>
      <c r="M105" s="99" t="s">
        <v>5</v>
      </c>
      <c r="N105" s="99" t="s">
        <v>1210</v>
      </c>
      <c r="O105" s="99">
        <v>60</v>
      </c>
      <c r="P105" s="99" t="s">
        <v>995</v>
      </c>
      <c r="Q105" s="99"/>
      <c r="R105" s="99"/>
      <c r="S105" s="98"/>
      <c r="T105" s="93"/>
      <c r="U105" s="93"/>
      <c r="V105" s="93"/>
      <c r="W105" s="93"/>
      <c r="X105" s="93">
        <f>IF($B105="Yes",COUNTIF(Reference!P$52:P$67,$K105),"")</f>
        <v>0</v>
      </c>
      <c r="Y105" s="93">
        <f>IF($B105="Yes",COUNTIF(Reference!Q$52:Q$67,$K105),"")</f>
        <v>0</v>
      </c>
      <c r="Z105" s="93">
        <f>IF($B105="Yes",COUNTIF(Reference!R$52:R$67,$K105),"")</f>
        <v>1</v>
      </c>
      <c r="AA105" s="93">
        <f>IF($B105="Yes",COUNTIF(Reference!S$52:S$67,$K105),"")</f>
        <v>0</v>
      </c>
      <c r="AB105" s="93">
        <f>IF($B105="Yes",COUNTIF(Reference!T$52:T$67,$K105),"")</f>
        <v>1</v>
      </c>
      <c r="AC105" s="93">
        <f t="shared" si="5"/>
        <v>0</v>
      </c>
    </row>
    <row r="106" spans="1:29" x14ac:dyDescent="0.25">
      <c r="A106" s="92">
        <v>196</v>
      </c>
      <c r="B106" s="95" t="str">
        <f t="shared" si="3"/>
        <v>Yes</v>
      </c>
      <c r="H106" s="92" t="str">
        <f t="shared" si="4"/>
        <v>PL1-196</v>
      </c>
      <c r="I106" s="98"/>
      <c r="J106" s="99" t="s">
        <v>207</v>
      </c>
      <c r="K106" s="99" t="s">
        <v>4</v>
      </c>
      <c r="L106" s="99" t="s">
        <v>13</v>
      </c>
      <c r="M106" s="99" t="s">
        <v>5</v>
      </c>
      <c r="N106" s="99" t="s">
        <v>151</v>
      </c>
      <c r="O106" s="99">
        <v>60</v>
      </c>
      <c r="P106" s="99" t="s">
        <v>208</v>
      </c>
      <c r="Q106" s="99"/>
      <c r="R106" s="99"/>
      <c r="S106" s="98"/>
      <c r="T106" s="93"/>
      <c r="U106" s="93"/>
      <c r="V106" s="93"/>
      <c r="W106" s="93"/>
      <c r="X106" s="93">
        <f>IF($B106="Yes",COUNTIF(Reference!P$52:P$67,$K106),"")</f>
        <v>0</v>
      </c>
      <c r="Y106" s="93">
        <f>IF($B106="Yes",COUNTIF(Reference!Q$52:Q$67,$K106),"")</f>
        <v>1</v>
      </c>
      <c r="Z106" s="93">
        <f>IF($B106="Yes",COUNTIF(Reference!R$52:R$67,$K106),"")</f>
        <v>0</v>
      </c>
      <c r="AA106" s="93">
        <f>IF($B106="Yes",COUNTIF(Reference!S$52:S$67,$K106),"")</f>
        <v>0</v>
      </c>
      <c r="AB106" s="93">
        <f>IF($B106="Yes",COUNTIF(Reference!T$52:T$67,$K106),"")</f>
        <v>0</v>
      </c>
      <c r="AC106" s="93">
        <f t="shared" si="5"/>
        <v>0</v>
      </c>
    </row>
    <row r="107" spans="1:29" x14ac:dyDescent="0.25">
      <c r="A107" s="92">
        <v>197</v>
      </c>
      <c r="B107" s="95" t="str">
        <f t="shared" si="3"/>
        <v>Yes</v>
      </c>
      <c r="H107" s="92" t="str">
        <f t="shared" si="4"/>
        <v>PL1-197</v>
      </c>
      <c r="I107" s="98"/>
      <c r="J107" s="99" t="s">
        <v>209</v>
      </c>
      <c r="K107" s="99" t="s">
        <v>459</v>
      </c>
      <c r="L107" s="99" t="s">
        <v>1204</v>
      </c>
      <c r="M107" s="99" t="s">
        <v>5</v>
      </c>
      <c r="N107" s="99" t="s">
        <v>167</v>
      </c>
      <c r="O107" s="99">
        <v>60</v>
      </c>
      <c r="P107" s="99" t="s">
        <v>995</v>
      </c>
      <c r="Q107" s="99"/>
      <c r="R107" s="99"/>
      <c r="S107" s="98"/>
      <c r="T107" s="93"/>
      <c r="U107" s="93"/>
      <c r="V107" s="93"/>
      <c r="W107" s="93"/>
      <c r="X107" s="93">
        <f>IF($B107="Yes",COUNTIF(Reference!P$52:P$67,$K107),"")</f>
        <v>1</v>
      </c>
      <c r="Y107" s="93">
        <f>IF($B107="Yes",COUNTIF(Reference!Q$52:Q$67,$K107),"")</f>
        <v>1</v>
      </c>
      <c r="Z107" s="93">
        <f>IF($B107="Yes",COUNTIF(Reference!R$52:R$67,$K107),"")</f>
        <v>1</v>
      </c>
      <c r="AA107" s="93">
        <f>IF($B107="Yes",COUNTIF(Reference!S$52:S$67,$K107),"")</f>
        <v>1</v>
      </c>
      <c r="AB107" s="93">
        <f>IF($B107="Yes",COUNTIF(Reference!T$52:T$67,$K107),"")</f>
        <v>1</v>
      </c>
      <c r="AC107" s="93">
        <f t="shared" si="5"/>
        <v>0</v>
      </c>
    </row>
    <row r="108" spans="1:29" x14ac:dyDescent="0.25">
      <c r="A108" s="92">
        <v>198</v>
      </c>
      <c r="B108" s="95" t="str">
        <f t="shared" si="3"/>
        <v>Yes</v>
      </c>
      <c r="H108" s="92" t="str">
        <f t="shared" si="4"/>
        <v>PL1-198</v>
      </c>
      <c r="I108" s="98"/>
      <c r="J108" s="99" t="s">
        <v>989</v>
      </c>
      <c r="K108" s="99" t="s">
        <v>7</v>
      </c>
      <c r="L108" s="99" t="s">
        <v>13</v>
      </c>
      <c r="M108" s="99" t="s">
        <v>807</v>
      </c>
      <c r="N108" s="99" t="s">
        <v>1202</v>
      </c>
      <c r="O108" s="99">
        <v>60</v>
      </c>
      <c r="P108" s="99" t="s">
        <v>995</v>
      </c>
      <c r="Q108" s="99"/>
      <c r="R108" s="99"/>
      <c r="S108" s="98"/>
      <c r="T108" s="93"/>
      <c r="U108" s="93"/>
      <c r="V108" s="93"/>
      <c r="W108" s="93"/>
      <c r="X108" s="93">
        <f>IF($B108="Yes",COUNTIF(Reference!P$52:P$67,$K108),"")</f>
        <v>0</v>
      </c>
      <c r="Y108" s="93">
        <f>IF($B108="Yes",COUNTIF(Reference!Q$52:Q$67,$K108),"")</f>
        <v>0</v>
      </c>
      <c r="Z108" s="93">
        <f>IF($B108="Yes",COUNTIF(Reference!R$52:R$67,$K108),"")</f>
        <v>0</v>
      </c>
      <c r="AA108" s="93">
        <f>IF($B108="Yes",COUNTIF(Reference!S$52:S$67,$K108),"")</f>
        <v>0</v>
      </c>
      <c r="AB108" s="93">
        <f>IF($B108="Yes",COUNTIF(Reference!T$52:T$67,$K108),"")</f>
        <v>1</v>
      </c>
      <c r="AC108" s="93">
        <f t="shared" si="5"/>
        <v>0</v>
      </c>
    </row>
    <row r="109" spans="1:29" x14ac:dyDescent="0.25">
      <c r="A109" s="92">
        <v>199</v>
      </c>
      <c r="B109" s="95" t="str">
        <f t="shared" si="3"/>
        <v>Yes</v>
      </c>
      <c r="H109" s="92" t="str">
        <f t="shared" si="4"/>
        <v>PL1-199</v>
      </c>
      <c r="I109" s="98"/>
      <c r="J109" s="99" t="s">
        <v>210</v>
      </c>
      <c r="K109" s="99" t="s">
        <v>436</v>
      </c>
      <c r="L109" s="99" t="s">
        <v>13</v>
      </c>
      <c r="M109" s="99" t="s">
        <v>807</v>
      </c>
      <c r="N109" s="99" t="s">
        <v>120</v>
      </c>
      <c r="O109" s="99">
        <v>60</v>
      </c>
      <c r="P109" s="99" t="s">
        <v>995</v>
      </c>
      <c r="Q109" s="99"/>
      <c r="R109" s="99"/>
      <c r="S109" s="98"/>
      <c r="T109" s="93"/>
      <c r="U109" s="93"/>
      <c r="V109" s="93"/>
      <c r="W109" s="93"/>
      <c r="X109" s="93">
        <f>IF($B109="Yes",COUNTIF(Reference!P$52:P$67,$K109),"")</f>
        <v>1</v>
      </c>
      <c r="Y109" s="93">
        <f>IF($B109="Yes",COUNTIF(Reference!Q$52:Q$67,$K109),"")</f>
        <v>0</v>
      </c>
      <c r="Z109" s="93">
        <f>IF($B109="Yes",COUNTIF(Reference!R$52:R$67,$K109),"")</f>
        <v>0</v>
      </c>
      <c r="AA109" s="93">
        <f>IF($B109="Yes",COUNTIF(Reference!S$52:S$67,$K109),"")</f>
        <v>0</v>
      </c>
      <c r="AB109" s="93">
        <f>IF($B109="Yes",COUNTIF(Reference!T$52:T$67,$K109),"")</f>
        <v>1</v>
      </c>
      <c r="AC109" s="93">
        <f t="shared" si="5"/>
        <v>0</v>
      </c>
    </row>
    <row r="110" spans="1:29" x14ac:dyDescent="0.25">
      <c r="A110" s="92">
        <v>200</v>
      </c>
      <c r="B110" s="95" t="str">
        <f t="shared" si="3"/>
        <v>Yes</v>
      </c>
      <c r="H110" s="92" t="str">
        <f t="shared" si="4"/>
        <v>PL1-200</v>
      </c>
      <c r="I110" s="98"/>
      <c r="J110" s="99" t="s">
        <v>211</v>
      </c>
      <c r="K110" s="99" t="s">
        <v>7</v>
      </c>
      <c r="L110" s="99" t="s">
        <v>13</v>
      </c>
      <c r="M110" s="99" t="s">
        <v>5</v>
      </c>
      <c r="N110" s="99" t="s">
        <v>1200</v>
      </c>
      <c r="O110" s="99">
        <v>60</v>
      </c>
      <c r="P110" s="99" t="s">
        <v>995</v>
      </c>
      <c r="Q110" s="99"/>
      <c r="R110" s="99"/>
      <c r="S110" s="98"/>
      <c r="T110" s="93"/>
      <c r="U110" s="93"/>
      <c r="V110" s="93"/>
      <c r="W110" s="93"/>
      <c r="X110" s="93">
        <f>IF($B110="Yes",COUNTIF(Reference!P$52:P$67,$K110),"")</f>
        <v>0</v>
      </c>
      <c r="Y110" s="93">
        <f>IF($B110="Yes",COUNTIF(Reference!Q$52:Q$67,$K110),"")</f>
        <v>0</v>
      </c>
      <c r="Z110" s="93">
        <f>IF($B110="Yes",COUNTIF(Reference!R$52:R$67,$K110),"")</f>
        <v>0</v>
      </c>
      <c r="AA110" s="93">
        <f>IF($B110="Yes",COUNTIF(Reference!S$52:S$67,$K110),"")</f>
        <v>0</v>
      </c>
      <c r="AB110" s="93">
        <f>IF($B110="Yes",COUNTIF(Reference!T$52:T$67,$K110),"")</f>
        <v>1</v>
      </c>
      <c r="AC110" s="93">
        <f t="shared" si="5"/>
        <v>0</v>
      </c>
    </row>
    <row r="111" spans="1:29" x14ac:dyDescent="0.25">
      <c r="A111" s="92">
        <v>201</v>
      </c>
      <c r="B111" s="95" t="str">
        <f t="shared" si="3"/>
        <v>Yes</v>
      </c>
      <c r="H111" s="92" t="str">
        <f t="shared" si="4"/>
        <v>PL1-201</v>
      </c>
      <c r="I111" s="98"/>
      <c r="J111" s="99" t="s">
        <v>212</v>
      </c>
      <c r="K111" s="99" t="s">
        <v>7</v>
      </c>
      <c r="L111" s="99" t="s">
        <v>13</v>
      </c>
      <c r="M111" s="99" t="s">
        <v>5</v>
      </c>
      <c r="N111" s="99" t="s">
        <v>132</v>
      </c>
      <c r="O111" s="99">
        <v>60</v>
      </c>
      <c r="P111" s="99" t="s">
        <v>995</v>
      </c>
      <c r="Q111" s="99"/>
      <c r="R111" s="99"/>
      <c r="S111" s="98"/>
      <c r="T111" s="93"/>
      <c r="U111" s="93"/>
      <c r="V111" s="93"/>
      <c r="W111" s="93"/>
      <c r="X111" s="93">
        <f>IF($B111="Yes",COUNTIF(Reference!P$52:P$67,$K111),"")</f>
        <v>0</v>
      </c>
      <c r="Y111" s="93">
        <f>IF($B111="Yes",COUNTIF(Reference!Q$52:Q$67,$K111),"")</f>
        <v>0</v>
      </c>
      <c r="Z111" s="93">
        <f>IF($B111="Yes",COUNTIF(Reference!R$52:R$67,$K111),"")</f>
        <v>0</v>
      </c>
      <c r="AA111" s="93">
        <f>IF($B111="Yes",COUNTIF(Reference!S$52:S$67,$K111),"")</f>
        <v>0</v>
      </c>
      <c r="AB111" s="93">
        <f>IF($B111="Yes",COUNTIF(Reference!T$52:T$67,$K111),"")</f>
        <v>1</v>
      </c>
      <c r="AC111" s="93">
        <f t="shared" si="5"/>
        <v>0</v>
      </c>
    </row>
    <row r="112" spans="1:29" x14ac:dyDescent="0.25">
      <c r="A112" s="92">
        <v>202</v>
      </c>
      <c r="B112" s="95" t="str">
        <f t="shared" si="3"/>
        <v>Yes</v>
      </c>
      <c r="H112" s="92" t="str">
        <f t="shared" si="4"/>
        <v>PL1-202</v>
      </c>
      <c r="I112" s="98"/>
      <c r="J112" s="99" t="s">
        <v>213</v>
      </c>
      <c r="K112" s="99" t="s">
        <v>7</v>
      </c>
      <c r="L112" s="99" t="s">
        <v>13</v>
      </c>
      <c r="M112" s="99" t="s">
        <v>809</v>
      </c>
      <c r="N112" s="99" t="s">
        <v>1197</v>
      </c>
      <c r="O112" s="99">
        <v>60</v>
      </c>
      <c r="P112" s="99" t="s">
        <v>995</v>
      </c>
      <c r="Q112" s="99"/>
      <c r="R112" s="99"/>
      <c r="S112" s="98"/>
      <c r="T112" s="93"/>
      <c r="U112" s="93"/>
      <c r="V112" s="93"/>
      <c r="W112" s="93"/>
      <c r="X112" s="93">
        <f>IF($B112="Yes",COUNTIF(Reference!P$52:P$67,$K112),"")</f>
        <v>0</v>
      </c>
      <c r="Y112" s="93">
        <f>IF($B112="Yes",COUNTIF(Reference!Q$52:Q$67,$K112),"")</f>
        <v>0</v>
      </c>
      <c r="Z112" s="93">
        <f>IF($B112="Yes",COUNTIF(Reference!R$52:R$67,$K112),"")</f>
        <v>0</v>
      </c>
      <c r="AA112" s="93">
        <f>IF($B112="Yes",COUNTIF(Reference!S$52:S$67,$K112),"")</f>
        <v>0</v>
      </c>
      <c r="AB112" s="93">
        <f>IF($B112="Yes",COUNTIF(Reference!T$52:T$67,$K112),"")</f>
        <v>1</v>
      </c>
      <c r="AC112" s="93">
        <f t="shared" si="5"/>
        <v>0</v>
      </c>
    </row>
    <row r="113" spans="1:29" x14ac:dyDescent="0.25">
      <c r="A113" s="92">
        <v>203</v>
      </c>
      <c r="B113" s="95" t="str">
        <f t="shared" si="3"/>
        <v>Yes</v>
      </c>
      <c r="H113" s="92" t="str">
        <f t="shared" si="4"/>
        <v>PL1-203</v>
      </c>
      <c r="I113" s="98"/>
      <c r="J113" s="99" t="s">
        <v>990</v>
      </c>
      <c r="K113" s="99" t="s">
        <v>453</v>
      </c>
      <c r="L113" s="99" t="s">
        <v>13</v>
      </c>
      <c r="M113" s="99" t="s">
        <v>807</v>
      </c>
      <c r="N113" s="99" t="s">
        <v>132</v>
      </c>
      <c r="O113" s="99">
        <v>60</v>
      </c>
      <c r="P113" s="99" t="s">
        <v>995</v>
      </c>
      <c r="Q113" s="99"/>
      <c r="R113" s="99"/>
      <c r="S113" s="98"/>
      <c r="T113" s="93"/>
      <c r="U113" s="93"/>
      <c r="V113" s="93"/>
      <c r="W113" s="93"/>
      <c r="X113" s="93">
        <f>IF($B113="Yes",COUNTIF(Reference!P$52:P$67,$K113),"")</f>
        <v>1</v>
      </c>
      <c r="Y113" s="93">
        <f>IF($B113="Yes",COUNTIF(Reference!Q$52:Q$67,$K113),"")</f>
        <v>1</v>
      </c>
      <c r="Z113" s="93">
        <f>IF($B113="Yes",COUNTIF(Reference!R$52:R$67,$K113),"")</f>
        <v>1</v>
      </c>
      <c r="AA113" s="93">
        <f>IF($B113="Yes",COUNTIF(Reference!S$52:S$67,$K113),"")</f>
        <v>0</v>
      </c>
      <c r="AB113" s="93">
        <f>IF($B113="Yes",COUNTIF(Reference!T$52:T$67,$K113),"")</f>
        <v>1</v>
      </c>
      <c r="AC113" s="93">
        <f t="shared" si="5"/>
        <v>0</v>
      </c>
    </row>
    <row r="114" spans="1:29" x14ac:dyDescent="0.25">
      <c r="A114" s="92">
        <v>204</v>
      </c>
      <c r="B114" s="95" t="str">
        <f t="shared" si="3"/>
        <v>Yes</v>
      </c>
      <c r="H114" s="92" t="str">
        <f t="shared" si="4"/>
        <v>PL1-204</v>
      </c>
      <c r="I114" s="98"/>
      <c r="J114" s="99" t="s">
        <v>214</v>
      </c>
      <c r="K114" s="99" t="s">
        <v>7</v>
      </c>
      <c r="L114" s="99" t="s">
        <v>13</v>
      </c>
      <c r="M114" s="99" t="s">
        <v>809</v>
      </c>
      <c r="N114" s="99" t="s">
        <v>134</v>
      </c>
      <c r="O114" s="99">
        <v>60</v>
      </c>
      <c r="P114" s="99" t="s">
        <v>215</v>
      </c>
      <c r="Q114" s="99"/>
      <c r="R114" s="99"/>
      <c r="S114" s="98"/>
      <c r="T114" s="93"/>
      <c r="U114" s="93"/>
      <c r="V114" s="93"/>
      <c r="W114" s="93"/>
      <c r="X114" s="93">
        <f>IF($B114="Yes",COUNTIF(Reference!P$52:P$67,$K114),"")</f>
        <v>0</v>
      </c>
      <c r="Y114" s="93">
        <f>IF($B114="Yes",COUNTIF(Reference!Q$52:Q$67,$K114),"")</f>
        <v>0</v>
      </c>
      <c r="Z114" s="93">
        <f>IF($B114="Yes",COUNTIF(Reference!R$52:R$67,$K114),"")</f>
        <v>0</v>
      </c>
      <c r="AA114" s="93">
        <f>IF($B114="Yes",COUNTIF(Reference!S$52:S$67,$K114),"")</f>
        <v>0</v>
      </c>
      <c r="AB114" s="93">
        <f>IF($B114="Yes",COUNTIF(Reference!T$52:T$67,$K114),"")</f>
        <v>1</v>
      </c>
      <c r="AC114" s="93">
        <f t="shared" si="5"/>
        <v>0</v>
      </c>
    </row>
    <row r="115" spans="1:29" x14ac:dyDescent="0.25">
      <c r="A115" s="92">
        <v>205</v>
      </c>
      <c r="B115" s="95" t="str">
        <f t="shared" si="3"/>
        <v>Yes</v>
      </c>
      <c r="H115" s="92" t="str">
        <f t="shared" si="4"/>
        <v>PL1-205</v>
      </c>
      <c r="I115" s="98"/>
      <c r="J115" s="99" t="s">
        <v>890</v>
      </c>
      <c r="K115" s="99" t="s">
        <v>7</v>
      </c>
      <c r="L115" s="99" t="s">
        <v>899</v>
      </c>
      <c r="M115" s="99" t="s">
        <v>5</v>
      </c>
      <c r="N115" s="99" t="s">
        <v>128</v>
      </c>
      <c r="O115" s="99">
        <v>100</v>
      </c>
      <c r="P115" s="99" t="s">
        <v>995</v>
      </c>
      <c r="Q115" s="99"/>
      <c r="R115" s="99"/>
      <c r="S115" s="98"/>
      <c r="T115" s="93"/>
      <c r="U115" s="93"/>
      <c r="V115" s="93"/>
      <c r="W115" s="93"/>
      <c r="X115" s="93">
        <f>IF($B115="Yes",COUNTIF(Reference!P$52:P$67,$K115),"")</f>
        <v>0</v>
      </c>
      <c r="Y115" s="93">
        <f>IF($B115="Yes",COUNTIF(Reference!Q$52:Q$67,$K115),"")</f>
        <v>0</v>
      </c>
      <c r="Z115" s="93">
        <f>IF($B115="Yes",COUNTIF(Reference!R$52:R$67,$K115),"")</f>
        <v>0</v>
      </c>
      <c r="AA115" s="93">
        <f>IF($B115="Yes",COUNTIF(Reference!S$52:S$67,$K115),"")</f>
        <v>0</v>
      </c>
      <c r="AB115" s="93">
        <f>IF($B115="Yes",COUNTIF(Reference!T$52:T$67,$K115),"")</f>
        <v>1</v>
      </c>
      <c r="AC115" s="93">
        <f t="shared" si="5"/>
        <v>0</v>
      </c>
    </row>
    <row r="116" spans="1:29" x14ac:dyDescent="0.25">
      <c r="A116" s="92">
        <v>206</v>
      </c>
      <c r="B116" s="95" t="str">
        <f t="shared" si="3"/>
        <v>Yes</v>
      </c>
      <c r="H116" s="92" t="str">
        <f t="shared" si="4"/>
        <v>PL1-206</v>
      </c>
      <c r="I116" s="98"/>
      <c r="J116" s="99" t="s">
        <v>216</v>
      </c>
      <c r="K116" s="99" t="s">
        <v>459</v>
      </c>
      <c r="L116" s="99" t="s">
        <v>13</v>
      </c>
      <c r="M116" s="99" t="s">
        <v>807</v>
      </c>
      <c r="N116" s="99" t="s">
        <v>125</v>
      </c>
      <c r="O116" s="99">
        <v>60</v>
      </c>
      <c r="P116" s="99" t="s">
        <v>217</v>
      </c>
      <c r="Q116" s="99"/>
      <c r="R116" s="99"/>
      <c r="S116" s="98"/>
      <c r="T116" s="93"/>
      <c r="U116" s="93"/>
      <c r="V116" s="93"/>
      <c r="W116" s="93"/>
      <c r="X116" s="93">
        <f>IF($B116="Yes",COUNTIF(Reference!P$52:P$67,$K116),"")</f>
        <v>1</v>
      </c>
      <c r="Y116" s="93">
        <f>IF($B116="Yes",COUNTIF(Reference!Q$52:Q$67,$K116),"")</f>
        <v>1</v>
      </c>
      <c r="Z116" s="93">
        <f>IF($B116="Yes",COUNTIF(Reference!R$52:R$67,$K116),"")</f>
        <v>1</v>
      </c>
      <c r="AA116" s="93">
        <f>IF($B116="Yes",COUNTIF(Reference!S$52:S$67,$K116),"")</f>
        <v>1</v>
      </c>
      <c r="AB116" s="93">
        <f>IF($B116="Yes",COUNTIF(Reference!T$52:T$67,$K116),"")</f>
        <v>1</v>
      </c>
      <c r="AC116" s="93">
        <f t="shared" si="5"/>
        <v>0</v>
      </c>
    </row>
    <row r="117" spans="1:29" x14ac:dyDescent="0.25">
      <c r="A117" s="92">
        <v>207</v>
      </c>
      <c r="B117" s="95" t="str">
        <f t="shared" si="3"/>
        <v>Yes</v>
      </c>
      <c r="H117" s="92" t="str">
        <f t="shared" si="4"/>
        <v>PL1-207</v>
      </c>
      <c r="I117" s="98"/>
      <c r="J117" s="99" t="s">
        <v>218</v>
      </c>
      <c r="K117" s="99" t="s">
        <v>436</v>
      </c>
      <c r="L117" s="99" t="s">
        <v>13</v>
      </c>
      <c r="M117" s="99" t="s">
        <v>807</v>
      </c>
      <c r="N117" s="99" t="s">
        <v>992</v>
      </c>
      <c r="O117" s="99">
        <v>60</v>
      </c>
      <c r="P117" s="99" t="s">
        <v>995</v>
      </c>
      <c r="Q117" s="99"/>
      <c r="R117" s="99"/>
      <c r="S117" s="98"/>
      <c r="T117" s="93"/>
      <c r="U117" s="93"/>
      <c r="V117" s="93"/>
      <c r="W117" s="93"/>
      <c r="X117" s="93">
        <f>IF($B117="Yes",COUNTIF(Reference!P$52:P$67,$K117),"")</f>
        <v>1</v>
      </c>
      <c r="Y117" s="93">
        <f>IF($B117="Yes",COUNTIF(Reference!Q$52:Q$67,$K117),"")</f>
        <v>0</v>
      </c>
      <c r="Z117" s="93">
        <f>IF($B117="Yes",COUNTIF(Reference!R$52:R$67,$K117),"")</f>
        <v>0</v>
      </c>
      <c r="AA117" s="93">
        <f>IF($B117="Yes",COUNTIF(Reference!S$52:S$67,$K117),"")</f>
        <v>0</v>
      </c>
      <c r="AB117" s="93">
        <f>IF($B117="Yes",COUNTIF(Reference!T$52:T$67,$K117),"")</f>
        <v>1</v>
      </c>
      <c r="AC117" s="93">
        <f t="shared" si="5"/>
        <v>0</v>
      </c>
    </row>
    <row r="118" spans="1:29" x14ac:dyDescent="0.25">
      <c r="A118" s="92">
        <v>208</v>
      </c>
      <c r="B118" s="95" t="str">
        <f t="shared" si="3"/>
        <v>Yes</v>
      </c>
      <c r="H118" s="92" t="str">
        <f t="shared" si="4"/>
        <v>PL1-208</v>
      </c>
      <c r="I118" s="98"/>
      <c r="J118" s="99" t="s">
        <v>219</v>
      </c>
      <c r="K118" s="99" t="s">
        <v>444</v>
      </c>
      <c r="L118" s="99" t="s">
        <v>30</v>
      </c>
      <c r="M118" s="99" t="s">
        <v>807</v>
      </c>
      <c r="N118" s="99" t="s">
        <v>114</v>
      </c>
      <c r="O118" s="99">
        <v>100</v>
      </c>
      <c r="P118" s="99" t="s">
        <v>995</v>
      </c>
      <c r="Q118" s="99"/>
      <c r="R118" s="99"/>
      <c r="S118" s="98"/>
      <c r="T118" s="93"/>
      <c r="U118" s="93"/>
      <c r="V118" s="93"/>
      <c r="W118" s="93"/>
      <c r="X118" s="93">
        <f>IF($B118="Yes",COUNTIF(Reference!P$52:P$67,$K118),"")</f>
        <v>1</v>
      </c>
      <c r="Y118" s="93">
        <f>IF($B118="Yes",COUNTIF(Reference!Q$52:Q$67,$K118),"")</f>
        <v>0</v>
      </c>
      <c r="Z118" s="93">
        <f>IF($B118="Yes",COUNTIF(Reference!R$52:R$67,$K118),"")</f>
        <v>0</v>
      </c>
      <c r="AA118" s="93">
        <f>IF($B118="Yes",COUNTIF(Reference!S$52:S$67,$K118),"")</f>
        <v>1</v>
      </c>
      <c r="AB118" s="93">
        <f>IF($B118="Yes",COUNTIF(Reference!T$52:T$67,$K118),"")</f>
        <v>1</v>
      </c>
      <c r="AC118" s="93">
        <f t="shared" si="5"/>
        <v>0</v>
      </c>
    </row>
    <row r="119" spans="1:29" x14ac:dyDescent="0.25">
      <c r="A119" s="92">
        <v>209</v>
      </c>
      <c r="B119" s="95" t="str">
        <f t="shared" si="3"/>
        <v>Yes</v>
      </c>
      <c r="H119" s="92" t="str">
        <f t="shared" si="4"/>
        <v>PL1-209</v>
      </c>
      <c r="I119" s="98"/>
      <c r="J119" s="99" t="s">
        <v>220</v>
      </c>
      <c r="K119" s="99" t="s">
        <v>426</v>
      </c>
      <c r="L119" s="99" t="s">
        <v>899</v>
      </c>
      <c r="M119" s="99" t="s">
        <v>5</v>
      </c>
      <c r="N119" s="99" t="s">
        <v>167</v>
      </c>
      <c r="O119" s="99">
        <v>100</v>
      </c>
      <c r="P119" s="99" t="s">
        <v>995</v>
      </c>
      <c r="Q119" s="99"/>
      <c r="R119" s="99"/>
      <c r="S119" s="98"/>
      <c r="T119" s="93"/>
      <c r="U119" s="93"/>
      <c r="V119" s="93"/>
      <c r="W119" s="93"/>
      <c r="X119" s="93">
        <f>IF($B119="Yes",COUNTIF(Reference!P$52:P$67,$K119),"")</f>
        <v>1</v>
      </c>
      <c r="Y119" s="93">
        <f>IF($B119="Yes",COUNTIF(Reference!Q$52:Q$67,$K119),"")</f>
        <v>0</v>
      </c>
      <c r="Z119" s="93">
        <f>IF($B119="Yes",COUNTIF(Reference!R$52:R$67,$K119),"")</f>
        <v>1</v>
      </c>
      <c r="AA119" s="93">
        <f>IF($B119="Yes",COUNTIF(Reference!S$52:S$67,$K119),"")</f>
        <v>1</v>
      </c>
      <c r="AB119" s="93">
        <f>IF($B119="Yes",COUNTIF(Reference!T$52:T$67,$K119),"")</f>
        <v>0</v>
      </c>
      <c r="AC119" s="93">
        <f t="shared" si="5"/>
        <v>0</v>
      </c>
    </row>
    <row r="120" spans="1:29" x14ac:dyDescent="0.25">
      <c r="A120" s="92">
        <v>210</v>
      </c>
      <c r="B120" s="95" t="str">
        <f t="shared" si="3"/>
        <v>Yes</v>
      </c>
      <c r="H120" s="92" t="str">
        <f t="shared" si="4"/>
        <v>PL1-210</v>
      </c>
      <c r="I120" s="98"/>
      <c r="J120" s="99" t="s">
        <v>221</v>
      </c>
      <c r="K120" s="99" t="s">
        <v>444</v>
      </c>
      <c r="L120" s="99" t="s">
        <v>13</v>
      </c>
      <c r="M120" s="99" t="s">
        <v>809</v>
      </c>
      <c r="N120" s="99" t="s">
        <v>1207</v>
      </c>
      <c r="O120" s="99">
        <v>60</v>
      </c>
      <c r="P120" s="99" t="s">
        <v>995</v>
      </c>
      <c r="Q120" s="99"/>
      <c r="R120" s="99"/>
      <c r="S120" s="98"/>
      <c r="T120" s="93"/>
      <c r="U120" s="93"/>
      <c r="V120" s="93"/>
      <c r="W120" s="93"/>
      <c r="X120" s="93">
        <f>IF($B120="Yes",COUNTIF(Reference!P$52:P$67,$K120),"")</f>
        <v>1</v>
      </c>
      <c r="Y120" s="93">
        <f>IF($B120="Yes",COUNTIF(Reference!Q$52:Q$67,$K120),"")</f>
        <v>0</v>
      </c>
      <c r="Z120" s="93">
        <f>IF($B120="Yes",COUNTIF(Reference!R$52:R$67,$K120),"")</f>
        <v>0</v>
      </c>
      <c r="AA120" s="93">
        <f>IF($B120="Yes",COUNTIF(Reference!S$52:S$67,$K120),"")</f>
        <v>1</v>
      </c>
      <c r="AB120" s="93">
        <f>IF($B120="Yes",COUNTIF(Reference!T$52:T$67,$K120),"")</f>
        <v>1</v>
      </c>
      <c r="AC120" s="93">
        <f t="shared" si="5"/>
        <v>0</v>
      </c>
    </row>
    <row r="121" spans="1:29" x14ac:dyDescent="0.25">
      <c r="A121" s="92">
        <v>211</v>
      </c>
      <c r="B121" s="95" t="str">
        <f t="shared" si="3"/>
        <v>Yes</v>
      </c>
      <c r="H121" s="92" t="str">
        <f t="shared" si="4"/>
        <v>PL1-211</v>
      </c>
      <c r="I121" s="98"/>
      <c r="J121" s="99" t="s">
        <v>222</v>
      </c>
      <c r="K121" s="99" t="s">
        <v>5</v>
      </c>
      <c r="L121" s="99" t="s">
        <v>13</v>
      </c>
      <c r="M121" s="99" t="s">
        <v>807</v>
      </c>
      <c r="N121" s="99" t="s">
        <v>125</v>
      </c>
      <c r="O121" s="99">
        <v>60</v>
      </c>
      <c r="P121" s="99" t="s">
        <v>995</v>
      </c>
      <c r="Q121" s="99"/>
      <c r="R121" s="99"/>
      <c r="S121" s="98"/>
      <c r="T121" s="93"/>
      <c r="U121" s="93"/>
      <c r="V121" s="93"/>
      <c r="W121" s="93"/>
      <c r="X121" s="93">
        <f>IF($B121="Yes",COUNTIF(Reference!P$52:P$67,$K121),"")</f>
        <v>0</v>
      </c>
      <c r="Y121" s="93">
        <f>IF($B121="Yes",COUNTIF(Reference!Q$52:Q$67,$K121),"")</f>
        <v>0</v>
      </c>
      <c r="Z121" s="93">
        <f>IF($B121="Yes",COUNTIF(Reference!R$52:R$67,$K121),"")</f>
        <v>1</v>
      </c>
      <c r="AA121" s="93">
        <f>IF($B121="Yes",COUNTIF(Reference!S$52:S$67,$K121),"")</f>
        <v>0</v>
      </c>
      <c r="AB121" s="93">
        <f>IF($B121="Yes",COUNTIF(Reference!T$52:T$67,$K121),"")</f>
        <v>0</v>
      </c>
      <c r="AC121" s="93">
        <f t="shared" si="5"/>
        <v>0</v>
      </c>
    </row>
    <row r="122" spans="1:29" x14ac:dyDescent="0.25">
      <c r="A122" s="92">
        <v>212</v>
      </c>
      <c r="B122" s="95" t="str">
        <f t="shared" si="3"/>
        <v>Yes</v>
      </c>
      <c r="H122" s="92" t="str">
        <f t="shared" si="4"/>
        <v>PL1-212</v>
      </c>
      <c r="I122" s="98"/>
      <c r="J122" s="99" t="s">
        <v>223</v>
      </c>
      <c r="K122" s="99" t="s">
        <v>4</v>
      </c>
      <c r="L122" s="99" t="s">
        <v>13</v>
      </c>
      <c r="M122" s="99" t="s">
        <v>809</v>
      </c>
      <c r="N122" s="99" t="s">
        <v>224</v>
      </c>
      <c r="O122" s="99">
        <v>60</v>
      </c>
      <c r="P122" s="99" t="s">
        <v>995</v>
      </c>
      <c r="Q122" s="99"/>
      <c r="R122" s="99"/>
      <c r="S122" s="98"/>
      <c r="T122" s="93"/>
      <c r="U122" s="93"/>
      <c r="V122" s="93"/>
      <c r="W122" s="93"/>
      <c r="X122" s="93">
        <f>IF($B122="Yes",COUNTIF(Reference!P$52:P$67,$K122),"")</f>
        <v>0</v>
      </c>
      <c r="Y122" s="93">
        <f>IF($B122="Yes",COUNTIF(Reference!Q$52:Q$67,$K122),"")</f>
        <v>1</v>
      </c>
      <c r="Z122" s="93">
        <f>IF($B122="Yes",COUNTIF(Reference!R$52:R$67,$K122),"")</f>
        <v>0</v>
      </c>
      <c r="AA122" s="93">
        <f>IF($B122="Yes",COUNTIF(Reference!S$52:S$67,$K122),"")</f>
        <v>0</v>
      </c>
      <c r="AB122" s="93">
        <f>IF($B122="Yes",COUNTIF(Reference!T$52:T$67,$K122),"")</f>
        <v>0</v>
      </c>
      <c r="AC122" s="93">
        <f t="shared" si="5"/>
        <v>0</v>
      </c>
    </row>
    <row r="123" spans="1:29" x14ac:dyDescent="0.25">
      <c r="A123" s="92">
        <v>213</v>
      </c>
      <c r="B123" s="95" t="str">
        <f t="shared" si="3"/>
        <v>Yes</v>
      </c>
      <c r="H123" s="92" t="str">
        <f t="shared" si="4"/>
        <v>PL1-213</v>
      </c>
      <c r="I123" s="98"/>
      <c r="J123" s="99" t="s">
        <v>225</v>
      </c>
      <c r="K123" s="99" t="s">
        <v>3</v>
      </c>
      <c r="L123" s="99" t="s">
        <v>13</v>
      </c>
      <c r="M123" s="99" t="s">
        <v>809</v>
      </c>
      <c r="N123" s="99" t="s">
        <v>224</v>
      </c>
      <c r="O123" s="99">
        <v>60</v>
      </c>
      <c r="P123" s="99" t="s">
        <v>995</v>
      </c>
      <c r="Q123" s="99"/>
      <c r="R123" s="99"/>
      <c r="S123" s="98"/>
      <c r="T123" s="93"/>
      <c r="U123" s="93"/>
      <c r="V123" s="93"/>
      <c r="W123" s="93"/>
      <c r="X123" s="93">
        <f>IF($B123="Yes",COUNTIF(Reference!P$52:P$67,$K123),"")</f>
        <v>1</v>
      </c>
      <c r="Y123" s="93">
        <f>IF($B123="Yes",COUNTIF(Reference!Q$52:Q$67,$K123),"")</f>
        <v>0</v>
      </c>
      <c r="Z123" s="93">
        <f>IF($B123="Yes",COUNTIF(Reference!R$52:R$67,$K123),"")</f>
        <v>0</v>
      </c>
      <c r="AA123" s="93">
        <f>IF($B123="Yes",COUNTIF(Reference!S$52:S$67,$K123),"")</f>
        <v>0</v>
      </c>
      <c r="AB123" s="93">
        <f>IF($B123="Yes",COUNTIF(Reference!T$52:T$67,$K123),"")</f>
        <v>0</v>
      </c>
      <c r="AC123" s="93">
        <f t="shared" si="5"/>
        <v>0</v>
      </c>
    </row>
    <row r="124" spans="1:29" x14ac:dyDescent="0.25">
      <c r="A124" s="92">
        <v>214</v>
      </c>
      <c r="B124" s="95" t="str">
        <f t="shared" si="3"/>
        <v>Yes</v>
      </c>
      <c r="H124" s="92" t="str">
        <f t="shared" si="4"/>
        <v>PL1-214</v>
      </c>
      <c r="I124" s="98"/>
      <c r="J124" s="99" t="s">
        <v>226</v>
      </c>
      <c r="K124" s="99" t="s">
        <v>459</v>
      </c>
      <c r="L124" s="99" t="s">
        <v>13</v>
      </c>
      <c r="M124" s="99" t="s">
        <v>809</v>
      </c>
      <c r="N124" s="99" t="s">
        <v>224</v>
      </c>
      <c r="O124" s="99">
        <v>60</v>
      </c>
      <c r="P124" s="99" t="s">
        <v>995</v>
      </c>
      <c r="Q124" s="99"/>
      <c r="R124" s="99"/>
      <c r="S124" s="98"/>
      <c r="T124" s="93"/>
      <c r="U124" s="93"/>
      <c r="V124" s="93"/>
      <c r="W124" s="93"/>
      <c r="X124" s="93">
        <f>IF($B124="Yes",COUNTIF(Reference!P$52:P$67,$K124),"")</f>
        <v>1</v>
      </c>
      <c r="Y124" s="93">
        <f>IF($B124="Yes",COUNTIF(Reference!Q$52:Q$67,$K124),"")</f>
        <v>1</v>
      </c>
      <c r="Z124" s="93">
        <f>IF($B124="Yes",COUNTIF(Reference!R$52:R$67,$K124),"")</f>
        <v>1</v>
      </c>
      <c r="AA124" s="93">
        <f>IF($B124="Yes",COUNTIF(Reference!S$52:S$67,$K124),"")</f>
        <v>1</v>
      </c>
      <c r="AB124" s="93">
        <f>IF($B124="Yes",COUNTIF(Reference!T$52:T$67,$K124),"")</f>
        <v>1</v>
      </c>
      <c r="AC124" s="93">
        <f t="shared" si="5"/>
        <v>0</v>
      </c>
    </row>
    <row r="125" spans="1:29" x14ac:dyDescent="0.25">
      <c r="A125" s="92">
        <v>215</v>
      </c>
      <c r="B125" s="95" t="str">
        <f t="shared" si="3"/>
        <v>Yes</v>
      </c>
      <c r="H125" s="92" t="str">
        <f t="shared" si="4"/>
        <v>PL1-215</v>
      </c>
      <c r="I125" s="98"/>
      <c r="J125" s="99" t="s">
        <v>227</v>
      </c>
      <c r="K125" s="99" t="s">
        <v>7</v>
      </c>
      <c r="L125" s="99" t="s">
        <v>13</v>
      </c>
      <c r="M125" s="99" t="s">
        <v>809</v>
      </c>
      <c r="N125" s="99" t="s">
        <v>224</v>
      </c>
      <c r="O125" s="99">
        <v>60</v>
      </c>
      <c r="P125" s="99" t="s">
        <v>995</v>
      </c>
      <c r="Q125" s="99"/>
      <c r="R125" s="99"/>
      <c r="S125" s="98"/>
      <c r="T125" s="93"/>
      <c r="U125" s="93"/>
      <c r="V125" s="93"/>
      <c r="W125" s="93"/>
      <c r="X125" s="93">
        <f>IF($B125="Yes",COUNTIF(Reference!P$52:P$67,$K125),"")</f>
        <v>0</v>
      </c>
      <c r="Y125" s="93">
        <f>IF($B125="Yes",COUNTIF(Reference!Q$52:Q$67,$K125),"")</f>
        <v>0</v>
      </c>
      <c r="Z125" s="93">
        <f>IF($B125="Yes",COUNTIF(Reference!R$52:R$67,$K125),"")</f>
        <v>0</v>
      </c>
      <c r="AA125" s="93">
        <f>IF($B125="Yes",COUNTIF(Reference!S$52:S$67,$K125),"")</f>
        <v>0</v>
      </c>
      <c r="AB125" s="93">
        <f>IF($B125="Yes",COUNTIF(Reference!T$52:T$67,$K125),"")</f>
        <v>1</v>
      </c>
      <c r="AC125" s="93">
        <f t="shared" si="5"/>
        <v>0</v>
      </c>
    </row>
    <row r="126" spans="1:29" x14ac:dyDescent="0.25">
      <c r="A126" s="92">
        <v>216</v>
      </c>
      <c r="B126" s="95" t="str">
        <f t="shared" si="3"/>
        <v>Yes</v>
      </c>
      <c r="H126" s="92" t="str">
        <f t="shared" si="4"/>
        <v>PL1-216</v>
      </c>
      <c r="I126" s="98"/>
      <c r="J126" s="99" t="s">
        <v>228</v>
      </c>
      <c r="K126" s="99" t="s">
        <v>459</v>
      </c>
      <c r="L126" s="99" t="s">
        <v>13</v>
      </c>
      <c r="M126" s="99" t="s">
        <v>809</v>
      </c>
      <c r="N126" s="99" t="s">
        <v>224</v>
      </c>
      <c r="O126" s="99">
        <v>60</v>
      </c>
      <c r="P126" s="99" t="s">
        <v>995</v>
      </c>
      <c r="Q126" s="99"/>
      <c r="R126" s="99"/>
      <c r="S126" s="98"/>
      <c r="T126" s="93"/>
      <c r="U126" s="93"/>
      <c r="V126" s="93"/>
      <c r="W126" s="93"/>
      <c r="X126" s="93">
        <f>IF($B126="Yes",COUNTIF(Reference!P$52:P$67,$K126),"")</f>
        <v>1</v>
      </c>
      <c r="Y126" s="93">
        <f>IF($B126="Yes",COUNTIF(Reference!Q$52:Q$67,$K126),"")</f>
        <v>1</v>
      </c>
      <c r="Z126" s="93">
        <f>IF($B126="Yes",COUNTIF(Reference!R$52:R$67,$K126),"")</f>
        <v>1</v>
      </c>
      <c r="AA126" s="93">
        <f>IF($B126="Yes",COUNTIF(Reference!S$52:S$67,$K126),"")</f>
        <v>1</v>
      </c>
      <c r="AB126" s="93">
        <f>IF($B126="Yes",COUNTIF(Reference!T$52:T$67,$K126),"")</f>
        <v>1</v>
      </c>
      <c r="AC126" s="93">
        <f t="shared" si="5"/>
        <v>0</v>
      </c>
    </row>
    <row r="127" spans="1:29" x14ac:dyDescent="0.25">
      <c r="A127" s="92">
        <v>217</v>
      </c>
      <c r="B127" s="95" t="str">
        <f t="shared" si="3"/>
        <v>Yes</v>
      </c>
      <c r="H127" s="92" t="str">
        <f t="shared" si="4"/>
        <v>PL1-217</v>
      </c>
      <c r="I127" s="98"/>
      <c r="J127" s="99" t="s">
        <v>229</v>
      </c>
      <c r="K127" s="99" t="s">
        <v>6</v>
      </c>
      <c r="L127" s="99" t="s">
        <v>13</v>
      </c>
      <c r="M127" s="99" t="s">
        <v>809</v>
      </c>
      <c r="N127" s="99" t="s">
        <v>224</v>
      </c>
      <c r="O127" s="99">
        <v>60</v>
      </c>
      <c r="P127" s="99" t="s">
        <v>995</v>
      </c>
      <c r="Q127" s="99"/>
      <c r="R127" s="99"/>
      <c r="S127" s="98"/>
      <c r="T127" s="93"/>
      <c r="U127" s="93"/>
      <c r="V127" s="93"/>
      <c r="W127" s="93"/>
      <c r="X127" s="93">
        <f>IF($B127="Yes",COUNTIF(Reference!P$52:P$67,$K127),"")</f>
        <v>0</v>
      </c>
      <c r="Y127" s="93">
        <f>IF($B127="Yes",COUNTIF(Reference!Q$52:Q$67,$K127),"")</f>
        <v>0</v>
      </c>
      <c r="Z127" s="93">
        <f>IF($B127="Yes",COUNTIF(Reference!R$52:R$67,$K127),"")</f>
        <v>0</v>
      </c>
      <c r="AA127" s="93">
        <f>IF($B127="Yes",COUNTIF(Reference!S$52:S$67,$K127),"")</f>
        <v>1</v>
      </c>
      <c r="AB127" s="93">
        <f>IF($B127="Yes",COUNTIF(Reference!T$52:T$67,$K127),"")</f>
        <v>0</v>
      </c>
      <c r="AC127" s="93">
        <f t="shared" si="5"/>
        <v>0</v>
      </c>
    </row>
    <row r="128" spans="1:29" x14ac:dyDescent="0.25">
      <c r="A128" s="92">
        <v>218</v>
      </c>
      <c r="B128" s="95" t="str">
        <f t="shared" si="3"/>
        <v>Yes</v>
      </c>
      <c r="H128" s="92" t="str">
        <f t="shared" si="4"/>
        <v>PL1-218</v>
      </c>
      <c r="I128" s="98"/>
      <c r="J128" s="99" t="s">
        <v>230</v>
      </c>
      <c r="K128" s="99" t="s">
        <v>5</v>
      </c>
      <c r="L128" s="99" t="s">
        <v>13</v>
      </c>
      <c r="M128" s="99" t="s">
        <v>809</v>
      </c>
      <c r="N128" s="99" t="s">
        <v>224</v>
      </c>
      <c r="O128" s="99">
        <v>60</v>
      </c>
      <c r="P128" s="99" t="s">
        <v>995</v>
      </c>
      <c r="Q128" s="99"/>
      <c r="R128" s="99"/>
      <c r="S128" s="98"/>
      <c r="T128" s="93"/>
      <c r="U128" s="93"/>
      <c r="V128" s="93"/>
      <c r="W128" s="93"/>
      <c r="X128" s="93">
        <f>IF($B128="Yes",COUNTIF(Reference!P$52:P$67,$K128),"")</f>
        <v>0</v>
      </c>
      <c r="Y128" s="93">
        <f>IF($B128="Yes",COUNTIF(Reference!Q$52:Q$67,$K128),"")</f>
        <v>0</v>
      </c>
      <c r="Z128" s="93">
        <f>IF($B128="Yes",COUNTIF(Reference!R$52:R$67,$K128),"")</f>
        <v>1</v>
      </c>
      <c r="AA128" s="93">
        <f>IF($B128="Yes",COUNTIF(Reference!S$52:S$67,$K128),"")</f>
        <v>0</v>
      </c>
      <c r="AB128" s="93">
        <f>IF($B128="Yes",COUNTIF(Reference!T$52:T$67,$K128),"")</f>
        <v>0</v>
      </c>
      <c r="AC128" s="93">
        <f t="shared" si="5"/>
        <v>0</v>
      </c>
    </row>
    <row r="129" spans="1:29" x14ac:dyDescent="0.25">
      <c r="A129" s="92">
        <v>219</v>
      </c>
      <c r="B129" s="95" t="str">
        <f t="shared" si="3"/>
        <v>Yes</v>
      </c>
      <c r="H129" s="92" t="str">
        <f t="shared" si="4"/>
        <v>PL1-219</v>
      </c>
      <c r="I129" s="98"/>
      <c r="J129" s="99" t="s">
        <v>231</v>
      </c>
      <c r="K129" s="99" t="s">
        <v>417</v>
      </c>
      <c r="L129" s="99" t="s">
        <v>13</v>
      </c>
      <c r="M129" s="99" t="s">
        <v>807</v>
      </c>
      <c r="N129" s="99" t="s">
        <v>897</v>
      </c>
      <c r="O129" s="99">
        <v>60</v>
      </c>
      <c r="P129" s="99" t="s">
        <v>995</v>
      </c>
      <c r="Q129" s="99"/>
      <c r="R129" s="99"/>
      <c r="S129" s="98"/>
      <c r="T129" s="93"/>
      <c r="U129" s="93"/>
      <c r="V129" s="93"/>
      <c r="W129" s="93"/>
      <c r="X129" s="93">
        <f>IF($B129="Yes",COUNTIF(Reference!P$52:P$67,$K129),"")</f>
        <v>1</v>
      </c>
      <c r="Y129" s="93">
        <f>IF($B129="Yes",COUNTIF(Reference!Q$52:Q$67,$K129),"")</f>
        <v>0</v>
      </c>
      <c r="Z129" s="93">
        <f>IF($B129="Yes",COUNTIF(Reference!R$52:R$67,$K129),"")</f>
        <v>1</v>
      </c>
      <c r="AA129" s="93">
        <f>IF($B129="Yes",COUNTIF(Reference!S$52:S$67,$K129),"")</f>
        <v>0</v>
      </c>
      <c r="AB129" s="93">
        <f>IF($B129="Yes",COUNTIF(Reference!T$52:T$67,$K129),"")</f>
        <v>0</v>
      </c>
      <c r="AC129" s="93">
        <f t="shared" si="5"/>
        <v>0</v>
      </c>
    </row>
    <row r="130" spans="1:29" x14ac:dyDescent="0.25">
      <c r="A130" s="92">
        <v>220</v>
      </c>
      <c r="B130" s="95" t="str">
        <f t="shared" si="3"/>
        <v>Yes</v>
      </c>
      <c r="H130" s="92" t="str">
        <f t="shared" si="4"/>
        <v>PL1-220</v>
      </c>
      <c r="I130" s="98"/>
      <c r="J130" s="99" t="s">
        <v>232</v>
      </c>
      <c r="K130" s="99" t="s">
        <v>417</v>
      </c>
      <c r="L130" s="99" t="s">
        <v>13</v>
      </c>
      <c r="M130" s="99" t="s">
        <v>807</v>
      </c>
      <c r="N130" s="99" t="s">
        <v>120</v>
      </c>
      <c r="O130" s="99">
        <v>60</v>
      </c>
      <c r="P130" s="99" t="s">
        <v>995</v>
      </c>
      <c r="Q130" s="99"/>
      <c r="R130" s="99"/>
      <c r="S130" s="98"/>
      <c r="T130" s="93"/>
      <c r="U130" s="93"/>
      <c r="V130" s="93"/>
      <c r="W130" s="93"/>
      <c r="X130" s="93">
        <f>IF($B130="Yes",COUNTIF(Reference!P$52:P$67,$K130),"")</f>
        <v>1</v>
      </c>
      <c r="Y130" s="93">
        <f>IF($B130="Yes",COUNTIF(Reference!Q$52:Q$67,$K130),"")</f>
        <v>0</v>
      </c>
      <c r="Z130" s="93">
        <f>IF($B130="Yes",COUNTIF(Reference!R$52:R$67,$K130),"")</f>
        <v>1</v>
      </c>
      <c r="AA130" s="93">
        <f>IF($B130="Yes",COUNTIF(Reference!S$52:S$67,$K130),"")</f>
        <v>0</v>
      </c>
      <c r="AB130" s="93">
        <f>IF($B130="Yes",COUNTIF(Reference!T$52:T$67,$K130),"")</f>
        <v>0</v>
      </c>
      <c r="AC130" s="93">
        <f t="shared" si="5"/>
        <v>0</v>
      </c>
    </row>
    <row r="131" spans="1:29" x14ac:dyDescent="0.25">
      <c r="A131" s="92">
        <v>221</v>
      </c>
      <c r="B131" s="95" t="str">
        <f t="shared" si="3"/>
        <v>Yes</v>
      </c>
      <c r="H131" s="92" t="str">
        <f t="shared" si="4"/>
        <v>PL1-221</v>
      </c>
      <c r="I131" s="98"/>
      <c r="J131" s="99" t="s">
        <v>233</v>
      </c>
      <c r="K131" s="99" t="s">
        <v>459</v>
      </c>
      <c r="L131" s="99" t="s">
        <v>13</v>
      </c>
      <c r="M131" s="99" t="s">
        <v>808</v>
      </c>
      <c r="N131" s="99" t="s">
        <v>154</v>
      </c>
      <c r="O131" s="99">
        <v>60</v>
      </c>
      <c r="P131" s="99" t="s">
        <v>995</v>
      </c>
      <c r="Q131" s="99"/>
      <c r="R131" s="99"/>
      <c r="S131" s="98"/>
      <c r="T131" s="93"/>
      <c r="U131" s="93"/>
      <c r="V131" s="93"/>
      <c r="W131" s="93"/>
      <c r="X131" s="93">
        <f>IF($B131="Yes",COUNTIF(Reference!P$52:P$67,$K131),"")</f>
        <v>1</v>
      </c>
      <c r="Y131" s="93">
        <f>IF($B131="Yes",COUNTIF(Reference!Q$52:Q$67,$K131),"")</f>
        <v>1</v>
      </c>
      <c r="Z131" s="93">
        <f>IF($B131="Yes",COUNTIF(Reference!R$52:R$67,$K131),"")</f>
        <v>1</v>
      </c>
      <c r="AA131" s="93">
        <f>IF($B131="Yes",COUNTIF(Reference!S$52:S$67,$K131),"")</f>
        <v>1</v>
      </c>
      <c r="AB131" s="93">
        <f>IF($B131="Yes",COUNTIF(Reference!T$52:T$67,$K131),"")</f>
        <v>1</v>
      </c>
      <c r="AC131" s="93">
        <f t="shared" si="5"/>
        <v>0</v>
      </c>
    </row>
    <row r="132" spans="1:29" x14ac:dyDescent="0.25">
      <c r="A132" s="92">
        <v>222</v>
      </c>
      <c r="B132" s="95" t="str">
        <f t="shared" si="3"/>
        <v>Yes</v>
      </c>
      <c r="H132" s="92" t="str">
        <f t="shared" si="4"/>
        <v>PL1-222</v>
      </c>
      <c r="I132" s="98"/>
      <c r="J132" s="99" t="s">
        <v>234</v>
      </c>
      <c r="K132" s="99" t="s">
        <v>424</v>
      </c>
      <c r="L132" s="99" t="s">
        <v>1204</v>
      </c>
      <c r="M132" s="99" t="s">
        <v>5</v>
      </c>
      <c r="N132" s="99" t="s">
        <v>1205</v>
      </c>
      <c r="O132" s="99">
        <v>80</v>
      </c>
      <c r="P132" s="99" t="s">
        <v>995</v>
      </c>
      <c r="Q132" s="99"/>
      <c r="R132" s="99"/>
      <c r="S132" s="98"/>
      <c r="T132" s="93"/>
      <c r="U132" s="93"/>
      <c r="V132" s="93"/>
      <c r="W132" s="93"/>
      <c r="X132" s="93">
        <f>IF($B132="Yes",COUNTIF(Reference!P$52:P$67,$K132),"")</f>
        <v>0</v>
      </c>
      <c r="Y132" s="93">
        <f>IF($B132="Yes",COUNTIF(Reference!Q$52:Q$67,$K132),"")</f>
        <v>0</v>
      </c>
      <c r="Z132" s="93">
        <f>IF($B132="Yes",COUNTIF(Reference!R$52:R$67,$K132),"")</f>
        <v>1</v>
      </c>
      <c r="AA132" s="93">
        <f>IF($B132="Yes",COUNTIF(Reference!S$52:S$67,$K132),"")</f>
        <v>1</v>
      </c>
      <c r="AB132" s="93">
        <f>IF($B132="Yes",COUNTIF(Reference!T$52:T$67,$K132),"")</f>
        <v>1</v>
      </c>
      <c r="AC132" s="93">
        <f t="shared" si="5"/>
        <v>0</v>
      </c>
    </row>
    <row r="133" spans="1:29" x14ac:dyDescent="0.25">
      <c r="A133" s="92">
        <v>223</v>
      </c>
      <c r="B133" s="95" t="str">
        <f t="shared" si="3"/>
        <v>Yes</v>
      </c>
      <c r="H133" s="92" t="str">
        <f t="shared" si="4"/>
        <v>PL1-223</v>
      </c>
      <c r="I133" s="98"/>
      <c r="J133" s="99" t="s">
        <v>235</v>
      </c>
      <c r="K133" s="99" t="s">
        <v>459</v>
      </c>
      <c r="L133" s="99" t="s">
        <v>13</v>
      </c>
      <c r="M133" s="99" t="s">
        <v>807</v>
      </c>
      <c r="N133" s="99" t="s">
        <v>114</v>
      </c>
      <c r="O133" s="99">
        <v>60</v>
      </c>
      <c r="P133" s="99" t="s">
        <v>995</v>
      </c>
      <c r="Q133" s="99"/>
      <c r="R133" s="99"/>
      <c r="S133" s="98"/>
      <c r="T133" s="93"/>
      <c r="U133" s="93"/>
      <c r="V133" s="93"/>
      <c r="W133" s="93"/>
      <c r="X133" s="93">
        <f>IF($B133="Yes",COUNTIF(Reference!P$52:P$67,$K133),"")</f>
        <v>1</v>
      </c>
      <c r="Y133" s="93">
        <f>IF($B133="Yes",COUNTIF(Reference!Q$52:Q$67,$K133),"")</f>
        <v>1</v>
      </c>
      <c r="Z133" s="93">
        <f>IF($B133="Yes",COUNTIF(Reference!R$52:R$67,$K133),"")</f>
        <v>1</v>
      </c>
      <c r="AA133" s="93">
        <f>IF($B133="Yes",COUNTIF(Reference!S$52:S$67,$K133),"")</f>
        <v>1</v>
      </c>
      <c r="AB133" s="93">
        <f>IF($B133="Yes",COUNTIF(Reference!T$52:T$67,$K133),"")</f>
        <v>1</v>
      </c>
      <c r="AC133" s="93">
        <f t="shared" si="5"/>
        <v>0</v>
      </c>
    </row>
    <row r="134" spans="1:29" x14ac:dyDescent="0.25">
      <c r="A134" s="92">
        <v>224</v>
      </c>
      <c r="B134" s="95" t="str">
        <f t="shared" si="3"/>
        <v>Yes</v>
      </c>
      <c r="H134" s="92" t="str">
        <f t="shared" si="4"/>
        <v>PL1-224</v>
      </c>
      <c r="I134" s="98"/>
      <c r="J134" s="99" t="s">
        <v>236</v>
      </c>
      <c r="K134" s="99" t="s">
        <v>4</v>
      </c>
      <c r="L134" s="99" t="s">
        <v>13</v>
      </c>
      <c r="M134" s="99" t="s">
        <v>5</v>
      </c>
      <c r="N134" s="99" t="s">
        <v>154</v>
      </c>
      <c r="O134" s="99">
        <v>60</v>
      </c>
      <c r="P134" s="99" t="s">
        <v>995</v>
      </c>
      <c r="Q134" s="99"/>
      <c r="R134" s="99"/>
      <c r="S134" s="98"/>
      <c r="T134" s="93"/>
      <c r="U134" s="93"/>
      <c r="V134" s="93"/>
      <c r="W134" s="93"/>
      <c r="X134" s="93">
        <f>IF($B134="Yes",COUNTIF(Reference!P$52:P$67,$K134),"")</f>
        <v>0</v>
      </c>
      <c r="Y134" s="93">
        <f>IF($B134="Yes",COUNTIF(Reference!Q$52:Q$67,$K134),"")</f>
        <v>1</v>
      </c>
      <c r="Z134" s="93">
        <f>IF($B134="Yes",COUNTIF(Reference!R$52:R$67,$K134),"")</f>
        <v>0</v>
      </c>
      <c r="AA134" s="93">
        <f>IF($B134="Yes",COUNTIF(Reference!S$52:S$67,$K134),"")</f>
        <v>0</v>
      </c>
      <c r="AB134" s="93">
        <f>IF($B134="Yes",COUNTIF(Reference!T$52:T$67,$K134),"")</f>
        <v>0</v>
      </c>
      <c r="AC134" s="93">
        <f t="shared" si="5"/>
        <v>0</v>
      </c>
    </row>
    <row r="135" spans="1:29" x14ac:dyDescent="0.25">
      <c r="A135" s="92">
        <v>225</v>
      </c>
      <c r="B135" s="95" t="str">
        <f t="shared" si="3"/>
        <v>Yes</v>
      </c>
      <c r="H135" s="92" t="str">
        <f t="shared" si="4"/>
        <v>PL1-225</v>
      </c>
      <c r="I135" s="98"/>
      <c r="J135" s="99" t="s">
        <v>237</v>
      </c>
      <c r="K135" s="99" t="s">
        <v>4</v>
      </c>
      <c r="L135" s="99" t="s">
        <v>13</v>
      </c>
      <c r="M135" s="99" t="s">
        <v>5</v>
      </c>
      <c r="N135" s="99" t="s">
        <v>145</v>
      </c>
      <c r="O135" s="99">
        <v>60</v>
      </c>
      <c r="P135" s="99" t="s">
        <v>995</v>
      </c>
      <c r="Q135" s="99"/>
      <c r="R135" s="99"/>
      <c r="S135" s="98"/>
      <c r="T135" s="93"/>
      <c r="U135" s="93"/>
      <c r="V135" s="93"/>
      <c r="W135" s="93"/>
      <c r="X135" s="93">
        <f>IF($B135="Yes",COUNTIF(Reference!P$52:P$67,$K135),"")</f>
        <v>0</v>
      </c>
      <c r="Y135" s="93">
        <f>IF($B135="Yes",COUNTIF(Reference!Q$52:Q$67,$K135),"")</f>
        <v>1</v>
      </c>
      <c r="Z135" s="93">
        <f>IF($B135="Yes",COUNTIF(Reference!R$52:R$67,$K135),"")</f>
        <v>0</v>
      </c>
      <c r="AA135" s="93">
        <f>IF($B135="Yes",COUNTIF(Reference!S$52:S$67,$K135),"")</f>
        <v>0</v>
      </c>
      <c r="AB135" s="93">
        <f>IF($B135="Yes",COUNTIF(Reference!T$52:T$67,$K135),"")</f>
        <v>0</v>
      </c>
      <c r="AC135" s="93">
        <f t="shared" si="5"/>
        <v>0</v>
      </c>
    </row>
    <row r="136" spans="1:29" x14ac:dyDescent="0.25">
      <c r="A136" s="92">
        <v>226</v>
      </c>
      <c r="B136" s="95" t="str">
        <f t="shared" si="3"/>
        <v>Yes</v>
      </c>
      <c r="H136" s="92" t="str">
        <f t="shared" si="4"/>
        <v>PL1-226</v>
      </c>
      <c r="I136" s="98"/>
      <c r="J136" s="99" t="s">
        <v>238</v>
      </c>
      <c r="K136" s="99" t="s">
        <v>459</v>
      </c>
      <c r="L136" s="99" t="s">
        <v>13</v>
      </c>
      <c r="M136" s="99" t="s">
        <v>807</v>
      </c>
      <c r="N136" s="99" t="s">
        <v>145</v>
      </c>
      <c r="O136" s="99">
        <v>60</v>
      </c>
      <c r="P136" s="99" t="s">
        <v>995</v>
      </c>
      <c r="Q136" s="99"/>
      <c r="R136" s="99"/>
      <c r="S136" s="98"/>
      <c r="T136" s="93"/>
      <c r="U136" s="93"/>
      <c r="V136" s="93"/>
      <c r="W136" s="93"/>
      <c r="X136" s="93">
        <f>IF($B136="Yes",COUNTIF(Reference!P$52:P$67,$K136),"")</f>
        <v>1</v>
      </c>
      <c r="Y136" s="93">
        <f>IF($B136="Yes",COUNTIF(Reference!Q$52:Q$67,$K136),"")</f>
        <v>1</v>
      </c>
      <c r="Z136" s="93">
        <f>IF($B136="Yes",COUNTIF(Reference!R$52:R$67,$K136),"")</f>
        <v>1</v>
      </c>
      <c r="AA136" s="93">
        <f>IF($B136="Yes",COUNTIF(Reference!S$52:S$67,$K136),"")</f>
        <v>1</v>
      </c>
      <c r="AB136" s="93">
        <f>IF($B136="Yes",COUNTIF(Reference!T$52:T$67,$K136),"")</f>
        <v>1</v>
      </c>
      <c r="AC136" s="93">
        <f t="shared" si="5"/>
        <v>0</v>
      </c>
    </row>
    <row r="137" spans="1:29" x14ac:dyDescent="0.25">
      <c r="A137" s="92">
        <v>227</v>
      </c>
      <c r="B137" s="95" t="str">
        <f t="shared" si="3"/>
        <v>Yes</v>
      </c>
      <c r="H137" s="92" t="str">
        <f t="shared" si="4"/>
        <v>PL1-227</v>
      </c>
      <c r="I137" s="98"/>
      <c r="J137" s="99" t="s">
        <v>891</v>
      </c>
      <c r="K137" s="99" t="s">
        <v>445</v>
      </c>
      <c r="L137" s="99" t="s">
        <v>13</v>
      </c>
      <c r="M137" s="99" t="s">
        <v>807</v>
      </c>
      <c r="N137" s="99" t="s">
        <v>175</v>
      </c>
      <c r="O137" s="99">
        <v>60</v>
      </c>
      <c r="P137" s="99" t="s">
        <v>995</v>
      </c>
      <c r="Q137" s="99"/>
      <c r="R137" s="99"/>
      <c r="S137" s="98"/>
      <c r="T137" s="93"/>
      <c r="U137" s="93"/>
      <c r="V137" s="93"/>
      <c r="W137" s="93"/>
      <c r="X137" s="93">
        <f>IF($B137="Yes",COUNTIF(Reference!P$52:P$67,$K137),"")</f>
        <v>0</v>
      </c>
      <c r="Y137" s="93">
        <f>IF($B137="Yes",COUNTIF(Reference!Q$52:Q$67,$K137),"")</f>
        <v>1</v>
      </c>
      <c r="Z137" s="93">
        <f>IF($B137="Yes",COUNTIF(Reference!R$52:R$67,$K137),"")</f>
        <v>0</v>
      </c>
      <c r="AA137" s="93">
        <f>IF($B137="Yes",COUNTIF(Reference!S$52:S$67,$K137),"")</f>
        <v>1</v>
      </c>
      <c r="AB137" s="93">
        <f>IF($B137="Yes",COUNTIF(Reference!T$52:T$67,$K137),"")</f>
        <v>1</v>
      </c>
      <c r="AC137" s="93">
        <f t="shared" si="5"/>
        <v>0</v>
      </c>
    </row>
    <row r="138" spans="1:29" x14ac:dyDescent="0.25">
      <c r="A138" s="92">
        <v>228</v>
      </c>
      <c r="B138" s="95" t="str">
        <f t="shared" si="3"/>
        <v>Yes</v>
      </c>
      <c r="H138" s="92" t="str">
        <f t="shared" si="4"/>
        <v>PL1-228</v>
      </c>
      <c r="I138" s="98"/>
      <c r="J138" s="99" t="s">
        <v>239</v>
      </c>
      <c r="K138" s="99" t="s">
        <v>4</v>
      </c>
      <c r="L138" s="99" t="s">
        <v>30</v>
      </c>
      <c r="M138" s="99" t="s">
        <v>809</v>
      </c>
      <c r="N138" s="99" t="s">
        <v>1197</v>
      </c>
      <c r="O138" s="99">
        <v>100</v>
      </c>
      <c r="P138" s="99" t="s">
        <v>240</v>
      </c>
      <c r="Q138" s="99"/>
      <c r="R138" s="99"/>
      <c r="S138" s="98"/>
      <c r="T138" s="93"/>
      <c r="U138" s="93"/>
      <c r="V138" s="93"/>
      <c r="W138" s="93"/>
      <c r="X138" s="93">
        <f>IF($B138="Yes",COUNTIF(Reference!P$52:P$67,$K138),"")</f>
        <v>0</v>
      </c>
      <c r="Y138" s="93">
        <f>IF($B138="Yes",COUNTIF(Reference!Q$52:Q$67,$K138),"")</f>
        <v>1</v>
      </c>
      <c r="Z138" s="93">
        <f>IF($B138="Yes",COUNTIF(Reference!R$52:R$67,$K138),"")</f>
        <v>0</v>
      </c>
      <c r="AA138" s="93">
        <f>IF($B138="Yes",COUNTIF(Reference!S$52:S$67,$K138),"")</f>
        <v>0</v>
      </c>
      <c r="AB138" s="93">
        <f>IF($B138="Yes",COUNTIF(Reference!T$52:T$67,$K138),"")</f>
        <v>0</v>
      </c>
      <c r="AC138" s="93">
        <f t="shared" si="5"/>
        <v>0</v>
      </c>
    </row>
    <row r="139" spans="1:29" x14ac:dyDescent="0.25">
      <c r="A139" s="92">
        <v>229</v>
      </c>
      <c r="B139" s="95" t="str">
        <f t="shared" ref="B139:B202" si="6">IF(COUNTBLANK(J139:M139)=0,"Yes","No")</f>
        <v>Yes</v>
      </c>
      <c r="H139" s="92" t="str">
        <f t="shared" ref="H139:H202" si="7">IF(J139="","",$A$1&amp;"-"&amp;A139)</f>
        <v>PL1-229</v>
      </c>
      <c r="I139" s="98"/>
      <c r="J139" s="99" t="s">
        <v>62</v>
      </c>
      <c r="K139" s="99" t="s">
        <v>441</v>
      </c>
      <c r="L139" s="99" t="s">
        <v>1204</v>
      </c>
      <c r="M139" s="99" t="s">
        <v>5</v>
      </c>
      <c r="N139" s="99" t="s">
        <v>128</v>
      </c>
      <c r="O139" s="99">
        <v>60</v>
      </c>
      <c r="P139" s="99" t="s">
        <v>995</v>
      </c>
      <c r="Q139" s="99"/>
      <c r="R139" s="99"/>
      <c r="S139" s="98"/>
      <c r="T139" s="93"/>
      <c r="U139" s="93"/>
      <c r="V139" s="93"/>
      <c r="W139" s="93"/>
      <c r="X139" s="93">
        <f>IF($B139="Yes",COUNTIF(Reference!P$52:P$67,$K139),"")</f>
        <v>0</v>
      </c>
      <c r="Y139" s="93">
        <f>IF($B139="Yes",COUNTIF(Reference!Q$52:Q$67,$K139),"")</f>
        <v>1</v>
      </c>
      <c r="Z139" s="93">
        <f>IF($B139="Yes",COUNTIF(Reference!R$52:R$67,$K139),"")</f>
        <v>0</v>
      </c>
      <c r="AA139" s="93">
        <f>IF($B139="Yes",COUNTIF(Reference!S$52:S$67,$K139),"")</f>
        <v>1</v>
      </c>
      <c r="AB139" s="93">
        <f>IF($B139="Yes",COUNTIF(Reference!T$52:T$67,$K139),"")</f>
        <v>0</v>
      </c>
      <c r="AC139" s="93">
        <f t="shared" ref="AC139:AC202" si="8">IF($B139="Yes",COUNTIF(K139,"N"),"")</f>
        <v>0</v>
      </c>
    </row>
    <row r="140" spans="1:29" x14ac:dyDescent="0.25">
      <c r="A140" s="92">
        <v>230</v>
      </c>
      <c r="B140" s="95" t="str">
        <f t="shared" si="6"/>
        <v>Yes</v>
      </c>
      <c r="H140" s="92" t="str">
        <f t="shared" si="7"/>
        <v>PL1-230</v>
      </c>
      <c r="I140" s="98"/>
      <c r="J140" s="99" t="s">
        <v>241</v>
      </c>
      <c r="K140" s="99" t="s">
        <v>441</v>
      </c>
      <c r="L140" s="99" t="s">
        <v>30</v>
      </c>
      <c r="M140" s="99" t="s">
        <v>807</v>
      </c>
      <c r="N140" s="99" t="s">
        <v>108</v>
      </c>
      <c r="O140" s="99">
        <v>100</v>
      </c>
      <c r="P140" s="99" t="s">
        <v>995</v>
      </c>
      <c r="Q140" s="99"/>
      <c r="R140" s="99"/>
      <c r="S140" s="98"/>
      <c r="T140" s="93"/>
      <c r="U140" s="93"/>
      <c r="V140" s="93"/>
      <c r="W140" s="93"/>
      <c r="X140" s="93">
        <f>IF($B140="Yes",COUNTIF(Reference!P$52:P$67,$K140),"")</f>
        <v>0</v>
      </c>
      <c r="Y140" s="93">
        <f>IF($B140="Yes",COUNTIF(Reference!Q$52:Q$67,$K140),"")</f>
        <v>1</v>
      </c>
      <c r="Z140" s="93">
        <f>IF($B140="Yes",COUNTIF(Reference!R$52:R$67,$K140),"")</f>
        <v>0</v>
      </c>
      <c r="AA140" s="93">
        <f>IF($B140="Yes",COUNTIF(Reference!S$52:S$67,$K140),"")</f>
        <v>1</v>
      </c>
      <c r="AB140" s="93">
        <f>IF($B140="Yes",COUNTIF(Reference!T$52:T$67,$K140),"")</f>
        <v>0</v>
      </c>
      <c r="AC140" s="93">
        <f t="shared" si="8"/>
        <v>0</v>
      </c>
    </row>
    <row r="141" spans="1:29" x14ac:dyDescent="0.25">
      <c r="A141" s="92">
        <v>231</v>
      </c>
      <c r="B141" s="95" t="str">
        <f t="shared" si="6"/>
        <v>Yes</v>
      </c>
      <c r="H141" s="92" t="str">
        <f t="shared" si="7"/>
        <v>PL1-231</v>
      </c>
      <c r="I141" s="98"/>
      <c r="J141" s="99" t="s">
        <v>242</v>
      </c>
      <c r="K141" s="99" t="s">
        <v>444</v>
      </c>
      <c r="L141" s="99" t="s">
        <v>13</v>
      </c>
      <c r="M141" s="99" t="s">
        <v>809</v>
      </c>
      <c r="N141" s="99" t="s">
        <v>114</v>
      </c>
      <c r="O141" s="99">
        <v>60</v>
      </c>
      <c r="P141" s="99" t="s">
        <v>995</v>
      </c>
      <c r="Q141" s="99"/>
      <c r="R141" s="99"/>
      <c r="S141" s="98"/>
      <c r="T141" s="93"/>
      <c r="U141" s="93"/>
      <c r="V141" s="93"/>
      <c r="W141" s="93"/>
      <c r="X141" s="93">
        <f>IF($B141="Yes",COUNTIF(Reference!P$52:P$67,$K141),"")</f>
        <v>1</v>
      </c>
      <c r="Y141" s="93">
        <f>IF($B141="Yes",COUNTIF(Reference!Q$52:Q$67,$K141),"")</f>
        <v>0</v>
      </c>
      <c r="Z141" s="93">
        <f>IF($B141="Yes",COUNTIF(Reference!R$52:R$67,$K141),"")</f>
        <v>0</v>
      </c>
      <c r="AA141" s="93">
        <f>IF($B141="Yes",COUNTIF(Reference!S$52:S$67,$K141),"")</f>
        <v>1</v>
      </c>
      <c r="AB141" s="93">
        <f>IF($B141="Yes",COUNTIF(Reference!T$52:T$67,$K141),"")</f>
        <v>1</v>
      </c>
      <c r="AC141" s="93">
        <f t="shared" si="8"/>
        <v>0</v>
      </c>
    </row>
    <row r="142" spans="1:29" x14ac:dyDescent="0.25">
      <c r="A142" s="92">
        <v>232</v>
      </c>
      <c r="B142" s="95" t="str">
        <f t="shared" si="6"/>
        <v>Yes</v>
      </c>
      <c r="H142" s="92" t="str">
        <f t="shared" si="7"/>
        <v>PL1-232</v>
      </c>
      <c r="I142" s="98"/>
      <c r="J142" s="99" t="s">
        <v>243</v>
      </c>
      <c r="K142" s="99" t="s">
        <v>434</v>
      </c>
      <c r="L142" s="99" t="s">
        <v>13</v>
      </c>
      <c r="M142" s="99" t="s">
        <v>809</v>
      </c>
      <c r="N142" s="99" t="s">
        <v>114</v>
      </c>
      <c r="O142" s="99">
        <v>60</v>
      </c>
      <c r="P142" s="99" t="s">
        <v>995</v>
      </c>
      <c r="Q142" s="99"/>
      <c r="R142" s="99"/>
      <c r="S142" s="98"/>
      <c r="T142" s="93"/>
      <c r="U142" s="93"/>
      <c r="V142" s="93"/>
      <c r="W142" s="93"/>
      <c r="X142" s="93">
        <f>IF($B142="Yes",COUNTIF(Reference!P$52:P$67,$K142),"")</f>
        <v>1</v>
      </c>
      <c r="Y142" s="93">
        <f>IF($B142="Yes",COUNTIF(Reference!Q$52:Q$67,$K142),"")</f>
        <v>1</v>
      </c>
      <c r="Z142" s="93">
        <f>IF($B142="Yes",COUNTIF(Reference!R$52:R$67,$K142),"")</f>
        <v>0</v>
      </c>
      <c r="AA142" s="93">
        <f>IF($B142="Yes",COUNTIF(Reference!S$52:S$67,$K142),"")</f>
        <v>0</v>
      </c>
      <c r="AB142" s="93">
        <f>IF($B142="Yes",COUNTIF(Reference!T$52:T$67,$K142),"")</f>
        <v>0</v>
      </c>
      <c r="AC142" s="93">
        <f t="shared" si="8"/>
        <v>0</v>
      </c>
    </row>
    <row r="143" spans="1:29" x14ac:dyDescent="0.25">
      <c r="A143" s="92">
        <v>233</v>
      </c>
      <c r="B143" s="95" t="str">
        <f t="shared" si="6"/>
        <v>Yes</v>
      </c>
      <c r="H143" s="92" t="str">
        <f t="shared" si="7"/>
        <v>PL1-233</v>
      </c>
      <c r="I143" s="98"/>
      <c r="J143" s="99" t="s">
        <v>244</v>
      </c>
      <c r="K143" s="99" t="s">
        <v>459</v>
      </c>
      <c r="L143" s="99" t="s">
        <v>30</v>
      </c>
      <c r="M143" s="99" t="s">
        <v>809</v>
      </c>
      <c r="N143" s="99" t="s">
        <v>116</v>
      </c>
      <c r="O143" s="99">
        <v>100</v>
      </c>
      <c r="P143" s="99" t="s">
        <v>245</v>
      </c>
      <c r="Q143" s="99"/>
      <c r="R143" s="99"/>
      <c r="S143" s="98"/>
      <c r="T143" s="93"/>
      <c r="U143" s="93"/>
      <c r="V143" s="93"/>
      <c r="W143" s="93"/>
      <c r="X143" s="93">
        <f>IF($B143="Yes",COUNTIF(Reference!P$52:P$67,$K143),"")</f>
        <v>1</v>
      </c>
      <c r="Y143" s="93">
        <f>IF($B143="Yes",COUNTIF(Reference!Q$52:Q$67,$K143),"")</f>
        <v>1</v>
      </c>
      <c r="Z143" s="93">
        <f>IF($B143="Yes",COUNTIF(Reference!R$52:R$67,$K143),"")</f>
        <v>1</v>
      </c>
      <c r="AA143" s="93">
        <f>IF($B143="Yes",COUNTIF(Reference!S$52:S$67,$K143),"")</f>
        <v>1</v>
      </c>
      <c r="AB143" s="93">
        <f>IF($B143="Yes",COUNTIF(Reference!T$52:T$67,$K143),"")</f>
        <v>1</v>
      </c>
      <c r="AC143" s="93">
        <f t="shared" si="8"/>
        <v>0</v>
      </c>
    </row>
    <row r="144" spans="1:29" x14ac:dyDescent="0.25">
      <c r="A144" s="92">
        <v>234</v>
      </c>
      <c r="B144" s="95" t="str">
        <f t="shared" si="6"/>
        <v>Yes</v>
      </c>
      <c r="H144" s="92" t="str">
        <f t="shared" si="7"/>
        <v>PL1-234</v>
      </c>
      <c r="I144" s="98"/>
      <c r="J144" s="99" t="s">
        <v>246</v>
      </c>
      <c r="K144" s="99" t="s">
        <v>3</v>
      </c>
      <c r="L144" s="99" t="s">
        <v>13</v>
      </c>
      <c r="M144" s="99" t="s">
        <v>807</v>
      </c>
      <c r="N144" s="99" t="s">
        <v>897</v>
      </c>
      <c r="O144" s="99">
        <v>60</v>
      </c>
      <c r="P144" s="99" t="s">
        <v>995</v>
      </c>
      <c r="Q144" s="99"/>
      <c r="R144" s="99"/>
      <c r="S144" s="98"/>
      <c r="T144" s="93"/>
      <c r="U144" s="93"/>
      <c r="V144" s="93"/>
      <c r="W144" s="93"/>
      <c r="X144" s="93">
        <f>IF($B144="Yes",COUNTIF(Reference!P$52:P$67,$K144),"")</f>
        <v>1</v>
      </c>
      <c r="Y144" s="93">
        <f>IF($B144="Yes",COUNTIF(Reference!Q$52:Q$67,$K144),"")</f>
        <v>0</v>
      </c>
      <c r="Z144" s="93">
        <f>IF($B144="Yes",COUNTIF(Reference!R$52:R$67,$K144),"")</f>
        <v>0</v>
      </c>
      <c r="AA144" s="93">
        <f>IF($B144="Yes",COUNTIF(Reference!S$52:S$67,$K144),"")</f>
        <v>0</v>
      </c>
      <c r="AB144" s="93">
        <f>IF($B144="Yes",COUNTIF(Reference!T$52:T$67,$K144),"")</f>
        <v>0</v>
      </c>
      <c r="AC144" s="93">
        <f t="shared" si="8"/>
        <v>0</v>
      </c>
    </row>
    <row r="145" spans="1:29" x14ac:dyDescent="0.25">
      <c r="A145" s="92">
        <v>235</v>
      </c>
      <c r="B145" s="95" t="str">
        <f t="shared" si="6"/>
        <v>Yes</v>
      </c>
      <c r="H145" s="92" t="str">
        <f t="shared" si="7"/>
        <v>PL1-235</v>
      </c>
      <c r="I145" s="98"/>
      <c r="J145" s="99" t="s">
        <v>810</v>
      </c>
      <c r="K145" s="99" t="s">
        <v>8</v>
      </c>
      <c r="L145" s="99" t="s">
        <v>13</v>
      </c>
      <c r="M145" s="99" t="s">
        <v>380</v>
      </c>
      <c r="N145" s="99" t="s">
        <v>125</v>
      </c>
      <c r="O145" s="99">
        <v>60</v>
      </c>
      <c r="P145" s="99" t="s">
        <v>110</v>
      </c>
      <c r="Q145" s="99"/>
      <c r="R145" s="99"/>
      <c r="S145" s="98"/>
      <c r="T145" s="93"/>
      <c r="U145" s="93"/>
      <c r="V145" s="93"/>
      <c r="W145" s="93"/>
      <c r="X145" s="93">
        <f>IF($B145="Yes",COUNTIF(Reference!P$52:P$67,$K145),"")</f>
        <v>0</v>
      </c>
      <c r="Y145" s="93">
        <f>IF($B145="Yes",COUNTIF(Reference!Q$52:Q$67,$K145),"")</f>
        <v>0</v>
      </c>
      <c r="Z145" s="93">
        <f>IF($B145="Yes",COUNTIF(Reference!R$52:R$67,$K145),"")</f>
        <v>0</v>
      </c>
      <c r="AA145" s="93">
        <f>IF($B145="Yes",COUNTIF(Reference!S$52:S$67,$K145),"")</f>
        <v>0</v>
      </c>
      <c r="AB145" s="93">
        <f>IF($B145="Yes",COUNTIF(Reference!T$52:T$67,$K145),"")</f>
        <v>0</v>
      </c>
      <c r="AC145" s="93">
        <f t="shared" si="8"/>
        <v>1</v>
      </c>
    </row>
    <row r="146" spans="1:29" x14ac:dyDescent="0.25">
      <c r="A146" s="92">
        <v>236</v>
      </c>
      <c r="B146" s="95" t="str">
        <f t="shared" si="6"/>
        <v>Yes</v>
      </c>
      <c r="H146" s="92" t="str">
        <f t="shared" si="7"/>
        <v>PL1-236</v>
      </c>
      <c r="I146" s="98"/>
      <c r="J146" s="99" t="s">
        <v>247</v>
      </c>
      <c r="K146" s="99" t="s">
        <v>8</v>
      </c>
      <c r="L146" s="99" t="s">
        <v>13</v>
      </c>
      <c r="M146" s="99" t="s">
        <v>807</v>
      </c>
      <c r="N146" s="99" t="s">
        <v>145</v>
      </c>
      <c r="O146" s="99">
        <v>60</v>
      </c>
      <c r="P146" s="99" t="s">
        <v>995</v>
      </c>
      <c r="Q146" s="99"/>
      <c r="R146" s="99"/>
      <c r="S146" s="98"/>
      <c r="T146" s="93"/>
      <c r="U146" s="93"/>
      <c r="V146" s="93"/>
      <c r="W146" s="93"/>
      <c r="X146" s="93">
        <f>IF($B146="Yes",COUNTIF(Reference!P$52:P$67,$K146),"")</f>
        <v>0</v>
      </c>
      <c r="Y146" s="93">
        <f>IF($B146="Yes",COUNTIF(Reference!Q$52:Q$67,$K146),"")</f>
        <v>0</v>
      </c>
      <c r="Z146" s="93">
        <f>IF($B146="Yes",COUNTIF(Reference!R$52:R$67,$K146),"")</f>
        <v>0</v>
      </c>
      <c r="AA146" s="93">
        <f>IF($B146="Yes",COUNTIF(Reference!S$52:S$67,$K146),"")</f>
        <v>0</v>
      </c>
      <c r="AB146" s="93">
        <f>IF($B146="Yes",COUNTIF(Reference!T$52:T$67,$K146),"")</f>
        <v>0</v>
      </c>
      <c r="AC146" s="93">
        <f t="shared" si="8"/>
        <v>1</v>
      </c>
    </row>
    <row r="147" spans="1:29" x14ac:dyDescent="0.25">
      <c r="A147" s="92">
        <v>237</v>
      </c>
      <c r="B147" s="95" t="str">
        <f t="shared" si="6"/>
        <v>Yes</v>
      </c>
      <c r="H147" s="92" t="str">
        <f t="shared" si="7"/>
        <v>PL1-237</v>
      </c>
      <c r="I147" s="98"/>
      <c r="J147" s="99" t="s">
        <v>248</v>
      </c>
      <c r="K147" s="99" t="s">
        <v>459</v>
      </c>
      <c r="L147" s="99" t="s">
        <v>30</v>
      </c>
      <c r="M147" s="99" t="s">
        <v>809</v>
      </c>
      <c r="N147" s="99" t="s">
        <v>1197</v>
      </c>
      <c r="O147" s="99">
        <v>100</v>
      </c>
      <c r="P147" s="99" t="s">
        <v>995</v>
      </c>
      <c r="Q147" s="99"/>
      <c r="R147" s="99"/>
      <c r="S147" s="98"/>
      <c r="T147" s="93"/>
      <c r="U147" s="93"/>
      <c r="V147" s="93"/>
      <c r="W147" s="93"/>
      <c r="X147" s="93">
        <f>IF($B147="Yes",COUNTIF(Reference!P$52:P$67,$K147),"")</f>
        <v>1</v>
      </c>
      <c r="Y147" s="93">
        <f>IF($B147="Yes",COUNTIF(Reference!Q$52:Q$67,$K147),"")</f>
        <v>1</v>
      </c>
      <c r="Z147" s="93">
        <f>IF($B147="Yes",COUNTIF(Reference!R$52:R$67,$K147),"")</f>
        <v>1</v>
      </c>
      <c r="AA147" s="93">
        <f>IF($B147="Yes",COUNTIF(Reference!S$52:S$67,$K147),"")</f>
        <v>1</v>
      </c>
      <c r="AB147" s="93">
        <f>IF($B147="Yes",COUNTIF(Reference!T$52:T$67,$K147),"")</f>
        <v>1</v>
      </c>
      <c r="AC147" s="93">
        <f t="shared" si="8"/>
        <v>0</v>
      </c>
    </row>
    <row r="148" spans="1:29" x14ac:dyDescent="0.25">
      <c r="A148" s="92">
        <v>238</v>
      </c>
      <c r="B148" s="95" t="str">
        <f t="shared" si="6"/>
        <v>Yes</v>
      </c>
      <c r="H148" s="92" t="str">
        <f t="shared" si="7"/>
        <v>PL1-238</v>
      </c>
      <c r="I148" s="98"/>
      <c r="J148" s="99" t="s">
        <v>249</v>
      </c>
      <c r="K148" s="99" t="s">
        <v>4</v>
      </c>
      <c r="L148" s="99" t="s">
        <v>13</v>
      </c>
      <c r="M148" s="99" t="s">
        <v>5</v>
      </c>
      <c r="N148" s="99" t="s">
        <v>1207</v>
      </c>
      <c r="O148" s="99">
        <v>60</v>
      </c>
      <c r="P148" s="99" t="s">
        <v>995</v>
      </c>
      <c r="Q148" s="99"/>
      <c r="R148" s="99"/>
      <c r="S148" s="98"/>
      <c r="T148" s="93"/>
      <c r="U148" s="93"/>
      <c r="V148" s="93"/>
      <c r="W148" s="93"/>
      <c r="X148" s="93">
        <f>IF($B148="Yes",COUNTIF(Reference!P$52:P$67,$K148),"")</f>
        <v>0</v>
      </c>
      <c r="Y148" s="93">
        <f>IF($B148="Yes",COUNTIF(Reference!Q$52:Q$67,$K148),"")</f>
        <v>1</v>
      </c>
      <c r="Z148" s="93">
        <f>IF($B148="Yes",COUNTIF(Reference!R$52:R$67,$K148),"")</f>
        <v>0</v>
      </c>
      <c r="AA148" s="93">
        <f>IF($B148="Yes",COUNTIF(Reference!S$52:S$67,$K148),"")</f>
        <v>0</v>
      </c>
      <c r="AB148" s="93">
        <f>IF($B148="Yes",COUNTIF(Reference!T$52:T$67,$K148),"")</f>
        <v>0</v>
      </c>
      <c r="AC148" s="93">
        <f t="shared" si="8"/>
        <v>0</v>
      </c>
    </row>
    <row r="149" spans="1:29" x14ac:dyDescent="0.25">
      <c r="A149" s="92">
        <v>239</v>
      </c>
      <c r="B149" s="95" t="str">
        <f t="shared" si="6"/>
        <v>Yes</v>
      </c>
      <c r="H149" s="92" t="str">
        <f t="shared" si="7"/>
        <v>PL1-239</v>
      </c>
      <c r="I149" s="98"/>
      <c r="J149" s="99" t="s">
        <v>250</v>
      </c>
      <c r="K149" s="99" t="s">
        <v>459</v>
      </c>
      <c r="L149" s="99" t="s">
        <v>13</v>
      </c>
      <c r="M149" s="99" t="s">
        <v>809</v>
      </c>
      <c r="N149" s="99" t="s">
        <v>1197</v>
      </c>
      <c r="O149" s="99">
        <v>60</v>
      </c>
      <c r="P149" s="99" t="s">
        <v>251</v>
      </c>
      <c r="Q149" s="99"/>
      <c r="R149" s="99"/>
      <c r="S149" s="98"/>
      <c r="T149" s="93"/>
      <c r="U149" s="93"/>
      <c r="V149" s="93"/>
      <c r="W149" s="93"/>
      <c r="X149" s="93">
        <f>IF($B149="Yes",COUNTIF(Reference!P$52:P$67,$K149),"")</f>
        <v>1</v>
      </c>
      <c r="Y149" s="93">
        <f>IF($B149="Yes",COUNTIF(Reference!Q$52:Q$67,$K149),"")</f>
        <v>1</v>
      </c>
      <c r="Z149" s="93">
        <f>IF($B149="Yes",COUNTIF(Reference!R$52:R$67,$K149),"")</f>
        <v>1</v>
      </c>
      <c r="AA149" s="93">
        <f>IF($B149="Yes",COUNTIF(Reference!S$52:S$67,$K149),"")</f>
        <v>1</v>
      </c>
      <c r="AB149" s="93">
        <f>IF($B149="Yes",COUNTIF(Reference!T$52:T$67,$K149),"")</f>
        <v>1</v>
      </c>
      <c r="AC149" s="93">
        <f t="shared" si="8"/>
        <v>0</v>
      </c>
    </row>
    <row r="150" spans="1:29" x14ac:dyDescent="0.25">
      <c r="A150" s="92">
        <v>240</v>
      </c>
      <c r="B150" s="95" t="str">
        <f t="shared" si="6"/>
        <v>Yes</v>
      </c>
      <c r="H150" s="92" t="str">
        <f t="shared" si="7"/>
        <v>PL1-240</v>
      </c>
      <c r="I150" s="98"/>
      <c r="J150" s="99" t="s">
        <v>252</v>
      </c>
      <c r="K150" s="99" t="s">
        <v>440</v>
      </c>
      <c r="L150" s="99" t="s">
        <v>13</v>
      </c>
      <c r="M150" s="99" t="s">
        <v>5</v>
      </c>
      <c r="N150" s="99" t="s">
        <v>109</v>
      </c>
      <c r="O150" s="99">
        <v>60</v>
      </c>
      <c r="P150" s="99" t="s">
        <v>995</v>
      </c>
      <c r="Q150" s="99"/>
      <c r="R150" s="99"/>
      <c r="S150" s="98"/>
      <c r="T150" s="93"/>
      <c r="U150" s="93"/>
      <c r="V150" s="93"/>
      <c r="W150" s="93"/>
      <c r="X150" s="93">
        <f>IF($B150="Yes",COUNTIF(Reference!P$52:P$67,$K150),"")</f>
        <v>1</v>
      </c>
      <c r="Y150" s="93">
        <f>IF($B150="Yes",COUNTIF(Reference!Q$52:Q$67,$K150),"")</f>
        <v>0</v>
      </c>
      <c r="Z150" s="93">
        <f>IF($B150="Yes",COUNTIF(Reference!R$52:R$67,$K150),"")</f>
        <v>0</v>
      </c>
      <c r="AA150" s="93">
        <f>IF($B150="Yes",COUNTIF(Reference!S$52:S$67,$K150),"")</f>
        <v>1</v>
      </c>
      <c r="AB150" s="93">
        <f>IF($B150="Yes",COUNTIF(Reference!T$52:T$67,$K150),"")</f>
        <v>0</v>
      </c>
      <c r="AC150" s="93">
        <f t="shared" si="8"/>
        <v>0</v>
      </c>
    </row>
    <row r="151" spans="1:29" x14ac:dyDescent="0.25">
      <c r="A151" s="92">
        <v>241</v>
      </c>
      <c r="B151" s="95" t="str">
        <f t="shared" si="6"/>
        <v>Yes</v>
      </c>
      <c r="H151" s="92" t="str">
        <f t="shared" si="7"/>
        <v>PL1-241</v>
      </c>
      <c r="I151" s="98"/>
      <c r="J151" s="99" t="s">
        <v>253</v>
      </c>
      <c r="K151" s="99" t="s">
        <v>424</v>
      </c>
      <c r="L151" s="99" t="s">
        <v>13</v>
      </c>
      <c r="M151" s="99" t="s">
        <v>809</v>
      </c>
      <c r="N151" s="99" t="s">
        <v>1197</v>
      </c>
      <c r="O151" s="99">
        <v>60</v>
      </c>
      <c r="P151" s="99" t="s">
        <v>995</v>
      </c>
      <c r="Q151" s="99"/>
      <c r="R151" s="99"/>
      <c r="S151" s="98"/>
      <c r="T151" s="93"/>
      <c r="U151" s="93"/>
      <c r="V151" s="93"/>
      <c r="W151" s="93"/>
      <c r="X151" s="93">
        <f>IF($B151="Yes",COUNTIF(Reference!P$52:P$67,$K151),"")</f>
        <v>0</v>
      </c>
      <c r="Y151" s="93">
        <f>IF($B151="Yes",COUNTIF(Reference!Q$52:Q$67,$K151),"")</f>
        <v>0</v>
      </c>
      <c r="Z151" s="93">
        <f>IF($B151="Yes",COUNTIF(Reference!R$52:R$67,$K151),"")</f>
        <v>1</v>
      </c>
      <c r="AA151" s="93">
        <f>IF($B151="Yes",COUNTIF(Reference!S$52:S$67,$K151),"")</f>
        <v>1</v>
      </c>
      <c r="AB151" s="93">
        <f>IF($B151="Yes",COUNTIF(Reference!T$52:T$67,$K151),"")</f>
        <v>1</v>
      </c>
      <c r="AC151" s="93">
        <f t="shared" si="8"/>
        <v>0</v>
      </c>
    </row>
    <row r="152" spans="1:29" x14ac:dyDescent="0.25">
      <c r="A152" s="92">
        <v>242</v>
      </c>
      <c r="B152" s="95" t="str">
        <f t="shared" si="6"/>
        <v>Yes</v>
      </c>
      <c r="H152" s="92" t="str">
        <f t="shared" si="7"/>
        <v>PL1-242</v>
      </c>
      <c r="I152" s="98"/>
      <c r="J152" s="99" t="s">
        <v>254</v>
      </c>
      <c r="K152" s="99" t="s">
        <v>418</v>
      </c>
      <c r="L152" s="99" t="s">
        <v>13</v>
      </c>
      <c r="M152" s="99" t="s">
        <v>807</v>
      </c>
      <c r="N152" s="99" t="s">
        <v>175</v>
      </c>
      <c r="O152" s="99">
        <v>60</v>
      </c>
      <c r="P152" s="99" t="s">
        <v>995</v>
      </c>
      <c r="Q152" s="99"/>
      <c r="R152" s="99"/>
      <c r="S152" s="98"/>
      <c r="T152" s="93"/>
      <c r="U152" s="93"/>
      <c r="V152" s="93"/>
      <c r="W152" s="93"/>
      <c r="X152" s="93">
        <f>IF($B152="Yes",COUNTIF(Reference!P$52:P$67,$K152),"")</f>
        <v>0</v>
      </c>
      <c r="Y152" s="93">
        <f>IF($B152="Yes",COUNTIF(Reference!Q$52:Q$67,$K152),"")</f>
        <v>1</v>
      </c>
      <c r="Z152" s="93">
        <f>IF($B152="Yes",COUNTIF(Reference!R$52:R$67,$K152),"")</f>
        <v>1</v>
      </c>
      <c r="AA152" s="93">
        <f>IF($B152="Yes",COUNTIF(Reference!S$52:S$67,$K152),"")</f>
        <v>0</v>
      </c>
      <c r="AB152" s="93">
        <f>IF($B152="Yes",COUNTIF(Reference!T$52:T$67,$K152),"")</f>
        <v>0</v>
      </c>
      <c r="AC152" s="93">
        <f t="shared" si="8"/>
        <v>0</v>
      </c>
    </row>
    <row r="153" spans="1:29" x14ac:dyDescent="0.25">
      <c r="A153" s="92">
        <v>243</v>
      </c>
      <c r="B153" s="95" t="str">
        <f t="shared" si="6"/>
        <v>Yes</v>
      </c>
      <c r="H153" s="92" t="str">
        <f t="shared" si="7"/>
        <v>PL1-243</v>
      </c>
      <c r="I153" s="98"/>
      <c r="J153" s="99" t="s">
        <v>255</v>
      </c>
      <c r="K153" s="99" t="s">
        <v>5</v>
      </c>
      <c r="L153" s="99" t="s">
        <v>13</v>
      </c>
      <c r="M153" s="99" t="s">
        <v>5</v>
      </c>
      <c r="N153" s="99" t="s">
        <v>132</v>
      </c>
      <c r="O153" s="99">
        <v>60</v>
      </c>
      <c r="P153" s="99" t="s">
        <v>995</v>
      </c>
      <c r="Q153" s="99"/>
      <c r="R153" s="99"/>
      <c r="S153" s="98"/>
      <c r="T153" s="93"/>
      <c r="U153" s="93"/>
      <c r="V153" s="93"/>
      <c r="W153" s="93"/>
      <c r="X153" s="93">
        <f>IF($B153="Yes",COUNTIF(Reference!P$52:P$67,$K153),"")</f>
        <v>0</v>
      </c>
      <c r="Y153" s="93">
        <f>IF($B153="Yes",COUNTIF(Reference!Q$52:Q$67,$K153),"")</f>
        <v>0</v>
      </c>
      <c r="Z153" s="93">
        <f>IF($B153="Yes",COUNTIF(Reference!R$52:R$67,$K153),"")</f>
        <v>1</v>
      </c>
      <c r="AA153" s="93">
        <f>IF($B153="Yes",COUNTIF(Reference!S$52:S$67,$K153),"")</f>
        <v>0</v>
      </c>
      <c r="AB153" s="93">
        <f>IF($B153="Yes",COUNTIF(Reference!T$52:T$67,$K153),"")</f>
        <v>0</v>
      </c>
      <c r="AC153" s="93">
        <f t="shared" si="8"/>
        <v>0</v>
      </c>
    </row>
    <row r="154" spans="1:29" x14ac:dyDescent="0.25">
      <c r="A154" s="92">
        <v>244</v>
      </c>
      <c r="B154" s="95" t="str">
        <f t="shared" si="6"/>
        <v>Yes</v>
      </c>
      <c r="H154" s="92" t="str">
        <f t="shared" si="7"/>
        <v>PL1-244</v>
      </c>
      <c r="I154" s="98"/>
      <c r="J154" s="99" t="s">
        <v>1212</v>
      </c>
      <c r="K154" s="99" t="s">
        <v>444</v>
      </c>
      <c r="L154" s="99" t="s">
        <v>1213</v>
      </c>
      <c r="M154" s="99" t="s">
        <v>380</v>
      </c>
      <c r="N154" s="99" t="s">
        <v>108</v>
      </c>
      <c r="O154" s="99">
        <v>100</v>
      </c>
      <c r="P154" s="99" t="s">
        <v>995</v>
      </c>
      <c r="Q154" s="99"/>
      <c r="R154" s="99"/>
      <c r="S154" s="98"/>
      <c r="T154" s="93"/>
      <c r="U154" s="93"/>
      <c r="V154" s="93"/>
      <c r="W154" s="93"/>
      <c r="X154" s="93">
        <f>IF($B154="Yes",COUNTIF(Reference!P$52:P$67,$K154),"")</f>
        <v>1</v>
      </c>
      <c r="Y154" s="93">
        <f>IF($B154="Yes",COUNTIF(Reference!Q$52:Q$67,$K154),"")</f>
        <v>0</v>
      </c>
      <c r="Z154" s="93">
        <f>IF($B154="Yes",COUNTIF(Reference!R$52:R$67,$K154),"")</f>
        <v>0</v>
      </c>
      <c r="AA154" s="93">
        <f>IF($B154="Yes",COUNTIF(Reference!S$52:S$67,$K154),"")</f>
        <v>1</v>
      </c>
      <c r="AB154" s="93">
        <f>IF($B154="Yes",COUNTIF(Reference!T$52:T$67,$K154),"")</f>
        <v>1</v>
      </c>
      <c r="AC154" s="93">
        <f t="shared" si="8"/>
        <v>0</v>
      </c>
    </row>
    <row r="155" spans="1:29" x14ac:dyDescent="0.25">
      <c r="A155" s="92">
        <v>245</v>
      </c>
      <c r="B155" s="95" t="str">
        <f t="shared" si="6"/>
        <v>Yes</v>
      </c>
      <c r="H155" s="92" t="str">
        <f t="shared" si="7"/>
        <v>PL1-245</v>
      </c>
      <c r="I155" s="98"/>
      <c r="J155" s="99" t="s">
        <v>256</v>
      </c>
      <c r="K155" s="99" t="s">
        <v>6</v>
      </c>
      <c r="L155" s="99" t="s">
        <v>13</v>
      </c>
      <c r="M155" s="99" t="s">
        <v>807</v>
      </c>
      <c r="N155" s="99" t="s">
        <v>108</v>
      </c>
      <c r="O155" s="99">
        <v>60</v>
      </c>
      <c r="P155" s="99" t="s">
        <v>995</v>
      </c>
      <c r="Q155" s="99"/>
      <c r="R155" s="99"/>
      <c r="S155" s="98"/>
      <c r="T155" s="93"/>
      <c r="U155" s="93"/>
      <c r="V155" s="93"/>
      <c r="W155" s="93"/>
      <c r="X155" s="93">
        <f>IF($B155="Yes",COUNTIF(Reference!P$52:P$67,$K155),"")</f>
        <v>0</v>
      </c>
      <c r="Y155" s="93">
        <f>IF($B155="Yes",COUNTIF(Reference!Q$52:Q$67,$K155),"")</f>
        <v>0</v>
      </c>
      <c r="Z155" s="93">
        <f>IF($B155="Yes",COUNTIF(Reference!R$52:R$67,$K155),"")</f>
        <v>0</v>
      </c>
      <c r="AA155" s="93">
        <f>IF($B155="Yes",COUNTIF(Reference!S$52:S$67,$K155),"")</f>
        <v>1</v>
      </c>
      <c r="AB155" s="93">
        <f>IF($B155="Yes",COUNTIF(Reference!T$52:T$67,$K155),"")</f>
        <v>0</v>
      </c>
      <c r="AC155" s="93">
        <f t="shared" si="8"/>
        <v>0</v>
      </c>
    </row>
    <row r="156" spans="1:29" x14ac:dyDescent="0.25">
      <c r="A156" s="92">
        <v>246</v>
      </c>
      <c r="B156" s="95" t="str">
        <f t="shared" si="6"/>
        <v>Yes</v>
      </c>
      <c r="H156" s="92" t="str">
        <f t="shared" si="7"/>
        <v>PL1-246</v>
      </c>
      <c r="I156" s="98"/>
      <c r="J156" s="99" t="s">
        <v>257</v>
      </c>
      <c r="K156" s="99" t="s">
        <v>456</v>
      </c>
      <c r="L156" s="99" t="s">
        <v>13</v>
      </c>
      <c r="M156" s="99" t="s">
        <v>808</v>
      </c>
      <c r="N156" s="99" t="s">
        <v>1207</v>
      </c>
      <c r="O156" s="99">
        <v>60</v>
      </c>
      <c r="P156" s="99" t="s">
        <v>995</v>
      </c>
      <c r="Q156" s="99"/>
      <c r="R156" s="99"/>
      <c r="S156" s="98"/>
      <c r="T156" s="93"/>
      <c r="U156" s="93"/>
      <c r="V156" s="93"/>
      <c r="W156" s="93"/>
      <c r="X156" s="93">
        <f>IF($B156="Yes",COUNTIF(Reference!P$52:P$67,$K156),"")</f>
        <v>1</v>
      </c>
      <c r="Y156" s="93">
        <f>IF($B156="Yes",COUNTIF(Reference!Q$52:Q$67,$K156),"")</f>
        <v>1</v>
      </c>
      <c r="Z156" s="93">
        <f>IF($B156="Yes",COUNTIF(Reference!R$52:R$67,$K156),"")</f>
        <v>1</v>
      </c>
      <c r="AA156" s="93">
        <f>IF($B156="Yes",COUNTIF(Reference!S$52:S$67,$K156),"")</f>
        <v>1</v>
      </c>
      <c r="AB156" s="93">
        <f>IF($B156="Yes",COUNTIF(Reference!T$52:T$67,$K156),"")</f>
        <v>0</v>
      </c>
      <c r="AC156" s="93">
        <f t="shared" si="8"/>
        <v>0</v>
      </c>
    </row>
    <row r="157" spans="1:29" x14ac:dyDescent="0.25">
      <c r="A157" s="92">
        <v>247</v>
      </c>
      <c r="B157" s="95" t="str">
        <f t="shared" si="6"/>
        <v>Yes</v>
      </c>
      <c r="H157" s="92" t="str">
        <f t="shared" si="7"/>
        <v>PL1-247</v>
      </c>
      <c r="I157" s="98"/>
      <c r="J157" s="99" t="s">
        <v>258</v>
      </c>
      <c r="K157" s="99" t="s">
        <v>427</v>
      </c>
      <c r="L157" s="99" t="s">
        <v>13</v>
      </c>
      <c r="M157" s="99" t="s">
        <v>808</v>
      </c>
      <c r="N157" s="99" t="s">
        <v>1197</v>
      </c>
      <c r="O157" s="99">
        <v>60</v>
      </c>
      <c r="P157" s="99" t="s">
        <v>995</v>
      </c>
      <c r="Q157" s="99"/>
      <c r="R157" s="99"/>
      <c r="S157" s="98"/>
      <c r="T157" s="93"/>
      <c r="U157" s="93"/>
      <c r="V157" s="93"/>
      <c r="W157" s="93"/>
      <c r="X157" s="93">
        <f>IF($B157="Yes",COUNTIF(Reference!P$52:P$67,$K157),"")</f>
        <v>0</v>
      </c>
      <c r="Y157" s="93">
        <f>IF($B157="Yes",COUNTIF(Reference!Q$52:Q$67,$K157),"")</f>
        <v>1</v>
      </c>
      <c r="Z157" s="93">
        <f>IF($B157="Yes",COUNTIF(Reference!R$52:R$67,$K157),"")</f>
        <v>1</v>
      </c>
      <c r="AA157" s="93">
        <f>IF($B157="Yes",COUNTIF(Reference!S$52:S$67,$K157),"")</f>
        <v>1</v>
      </c>
      <c r="AB157" s="93">
        <f>IF($B157="Yes",COUNTIF(Reference!T$52:T$67,$K157),"")</f>
        <v>0</v>
      </c>
      <c r="AC157" s="93">
        <f t="shared" si="8"/>
        <v>0</v>
      </c>
    </row>
    <row r="158" spans="1:29" x14ac:dyDescent="0.25">
      <c r="A158" s="92">
        <v>248</v>
      </c>
      <c r="B158" s="95" t="str">
        <f t="shared" si="6"/>
        <v>Yes</v>
      </c>
      <c r="H158" s="92" t="str">
        <f t="shared" si="7"/>
        <v>PL1-248</v>
      </c>
      <c r="I158" s="98"/>
      <c r="J158" s="99" t="s">
        <v>259</v>
      </c>
      <c r="K158" s="99" t="s">
        <v>3</v>
      </c>
      <c r="L158" s="99" t="s">
        <v>13</v>
      </c>
      <c r="M158" s="99" t="s">
        <v>807</v>
      </c>
      <c r="N158" s="99" t="s">
        <v>132</v>
      </c>
      <c r="O158" s="99">
        <v>60</v>
      </c>
      <c r="P158" s="99" t="s">
        <v>995</v>
      </c>
      <c r="Q158" s="99"/>
      <c r="R158" s="99"/>
      <c r="S158" s="98"/>
      <c r="T158" s="93"/>
      <c r="U158" s="93"/>
      <c r="V158" s="93"/>
      <c r="W158" s="93"/>
      <c r="X158" s="93">
        <f>IF($B158="Yes",COUNTIF(Reference!P$52:P$67,$K158),"")</f>
        <v>1</v>
      </c>
      <c r="Y158" s="93">
        <f>IF($B158="Yes",COUNTIF(Reference!Q$52:Q$67,$K158),"")</f>
        <v>0</v>
      </c>
      <c r="Z158" s="93">
        <f>IF($B158="Yes",COUNTIF(Reference!R$52:R$67,$K158),"")</f>
        <v>0</v>
      </c>
      <c r="AA158" s="93">
        <f>IF($B158="Yes",COUNTIF(Reference!S$52:S$67,$K158),"")</f>
        <v>0</v>
      </c>
      <c r="AB158" s="93">
        <f>IF($B158="Yes",COUNTIF(Reference!T$52:T$67,$K158),"")</f>
        <v>0</v>
      </c>
      <c r="AC158" s="93">
        <f t="shared" si="8"/>
        <v>0</v>
      </c>
    </row>
    <row r="159" spans="1:29" x14ac:dyDescent="0.25">
      <c r="A159" s="92">
        <v>249</v>
      </c>
      <c r="B159" s="95" t="str">
        <f t="shared" si="6"/>
        <v>Yes</v>
      </c>
      <c r="H159" s="92" t="str">
        <f t="shared" si="7"/>
        <v>PL1-249</v>
      </c>
      <c r="I159" s="98"/>
      <c r="J159" s="99" t="s">
        <v>260</v>
      </c>
      <c r="K159" s="99" t="s">
        <v>434</v>
      </c>
      <c r="L159" s="99" t="s">
        <v>30</v>
      </c>
      <c r="M159" s="99" t="s">
        <v>5</v>
      </c>
      <c r="N159" s="99" t="s">
        <v>175</v>
      </c>
      <c r="O159" s="99">
        <v>100</v>
      </c>
      <c r="P159" s="99" t="s">
        <v>995</v>
      </c>
      <c r="Q159" s="99"/>
      <c r="R159" s="99"/>
      <c r="S159" s="98"/>
      <c r="T159" s="93"/>
      <c r="U159" s="93"/>
      <c r="V159" s="93"/>
      <c r="W159" s="93"/>
      <c r="X159" s="93">
        <f>IF($B159="Yes",COUNTIF(Reference!P$52:P$67,$K159),"")</f>
        <v>1</v>
      </c>
      <c r="Y159" s="93">
        <f>IF($B159="Yes",COUNTIF(Reference!Q$52:Q$67,$K159),"")</f>
        <v>1</v>
      </c>
      <c r="Z159" s="93">
        <f>IF($B159="Yes",COUNTIF(Reference!R$52:R$67,$K159),"")</f>
        <v>0</v>
      </c>
      <c r="AA159" s="93">
        <f>IF($B159="Yes",COUNTIF(Reference!S$52:S$67,$K159),"")</f>
        <v>0</v>
      </c>
      <c r="AB159" s="93">
        <f>IF($B159="Yes",COUNTIF(Reference!T$52:T$67,$K159),"")</f>
        <v>0</v>
      </c>
      <c r="AC159" s="93">
        <f t="shared" si="8"/>
        <v>0</v>
      </c>
    </row>
    <row r="160" spans="1:29" x14ac:dyDescent="0.25">
      <c r="A160" s="92">
        <v>250</v>
      </c>
      <c r="B160" s="95" t="str">
        <f t="shared" si="6"/>
        <v>Yes</v>
      </c>
      <c r="H160" s="92" t="str">
        <f t="shared" si="7"/>
        <v>PL1-250</v>
      </c>
      <c r="I160" s="98"/>
      <c r="J160" s="99" t="s">
        <v>261</v>
      </c>
      <c r="K160" s="99" t="s">
        <v>459</v>
      </c>
      <c r="L160" s="99" t="s">
        <v>13</v>
      </c>
      <c r="M160" s="99" t="s">
        <v>809</v>
      </c>
      <c r="N160" s="99" t="s">
        <v>151</v>
      </c>
      <c r="O160" s="99">
        <v>80</v>
      </c>
      <c r="P160" s="99" t="s">
        <v>995</v>
      </c>
      <c r="Q160" s="99"/>
      <c r="R160" s="99"/>
      <c r="S160" s="98"/>
      <c r="T160" s="93"/>
      <c r="U160" s="93"/>
      <c r="V160" s="93"/>
      <c r="W160" s="93"/>
      <c r="X160" s="93">
        <f>IF($B160="Yes",COUNTIF(Reference!P$52:P$67,$K160),"")</f>
        <v>1</v>
      </c>
      <c r="Y160" s="93">
        <f>IF($B160="Yes",COUNTIF(Reference!Q$52:Q$67,$K160),"")</f>
        <v>1</v>
      </c>
      <c r="Z160" s="93">
        <f>IF($B160="Yes",COUNTIF(Reference!R$52:R$67,$K160),"")</f>
        <v>1</v>
      </c>
      <c r="AA160" s="93">
        <f>IF($B160="Yes",COUNTIF(Reference!S$52:S$67,$K160),"")</f>
        <v>1</v>
      </c>
      <c r="AB160" s="93">
        <f>IF($B160="Yes",COUNTIF(Reference!T$52:T$67,$K160),"")</f>
        <v>1</v>
      </c>
      <c r="AC160" s="93">
        <f t="shared" si="8"/>
        <v>0</v>
      </c>
    </row>
    <row r="161" spans="1:29" x14ac:dyDescent="0.25">
      <c r="A161" s="92">
        <v>251</v>
      </c>
      <c r="B161" s="95" t="str">
        <f t="shared" si="6"/>
        <v>Yes</v>
      </c>
      <c r="H161" s="92" t="str">
        <f t="shared" si="7"/>
        <v>PL1-251</v>
      </c>
      <c r="I161" s="98"/>
      <c r="J161" s="99" t="s">
        <v>262</v>
      </c>
      <c r="K161" s="99" t="s">
        <v>424</v>
      </c>
      <c r="L161" s="99" t="s">
        <v>30</v>
      </c>
      <c r="M161" s="99" t="s">
        <v>5</v>
      </c>
      <c r="N161" s="99" t="s">
        <v>184</v>
      </c>
      <c r="O161" s="99">
        <v>100</v>
      </c>
      <c r="P161" s="99" t="s">
        <v>995</v>
      </c>
      <c r="Q161" s="99"/>
      <c r="R161" s="99"/>
      <c r="S161" s="98"/>
      <c r="T161" s="93"/>
      <c r="U161" s="93"/>
      <c r="V161" s="93"/>
      <c r="W161" s="93"/>
      <c r="X161" s="93">
        <f>IF($B161="Yes",COUNTIF(Reference!P$52:P$67,$K161),"")</f>
        <v>0</v>
      </c>
      <c r="Y161" s="93">
        <f>IF($B161="Yes",COUNTIF(Reference!Q$52:Q$67,$K161),"")</f>
        <v>0</v>
      </c>
      <c r="Z161" s="93">
        <f>IF($B161="Yes",COUNTIF(Reference!R$52:R$67,$K161),"")</f>
        <v>1</v>
      </c>
      <c r="AA161" s="93">
        <f>IF($B161="Yes",COUNTIF(Reference!S$52:S$67,$K161),"")</f>
        <v>1</v>
      </c>
      <c r="AB161" s="93">
        <f>IF($B161="Yes",COUNTIF(Reference!T$52:T$67,$K161),"")</f>
        <v>1</v>
      </c>
      <c r="AC161" s="93">
        <f t="shared" si="8"/>
        <v>0</v>
      </c>
    </row>
    <row r="162" spans="1:29" x14ac:dyDescent="0.25">
      <c r="A162" s="92">
        <v>252</v>
      </c>
      <c r="B162" s="95" t="str">
        <f t="shared" si="6"/>
        <v>Yes</v>
      </c>
      <c r="H162" s="92" t="str">
        <f t="shared" si="7"/>
        <v>PL1-252</v>
      </c>
      <c r="I162" s="98"/>
      <c r="J162" s="99" t="s">
        <v>263</v>
      </c>
      <c r="K162" s="99" t="s">
        <v>419</v>
      </c>
      <c r="L162" s="99" t="s">
        <v>13</v>
      </c>
      <c r="M162" s="99" t="s">
        <v>5</v>
      </c>
      <c r="N162" s="99" t="s">
        <v>151</v>
      </c>
      <c r="O162" s="99">
        <v>60</v>
      </c>
      <c r="P162" s="99" t="s">
        <v>995</v>
      </c>
      <c r="Q162" s="99"/>
      <c r="R162" s="99"/>
      <c r="S162" s="98"/>
      <c r="T162" s="93"/>
      <c r="U162" s="93"/>
      <c r="V162" s="93"/>
      <c r="W162" s="93"/>
      <c r="X162" s="93">
        <f>IF($B162="Yes",COUNTIF(Reference!P$52:P$67,$K162),"")</f>
        <v>0</v>
      </c>
      <c r="Y162" s="93">
        <f>IF($B162="Yes",COUNTIF(Reference!Q$52:Q$67,$K162),"")</f>
        <v>0</v>
      </c>
      <c r="Z162" s="93">
        <f>IF($B162="Yes",COUNTIF(Reference!R$52:R$67,$K162),"")</f>
        <v>1</v>
      </c>
      <c r="AA162" s="93">
        <f>IF($B162="Yes",COUNTIF(Reference!S$52:S$67,$K162),"")</f>
        <v>0</v>
      </c>
      <c r="AB162" s="93">
        <f>IF($B162="Yes",COUNTIF(Reference!T$52:T$67,$K162),"")</f>
        <v>1</v>
      </c>
      <c r="AC162" s="93">
        <f t="shared" si="8"/>
        <v>0</v>
      </c>
    </row>
    <row r="163" spans="1:29" x14ac:dyDescent="0.25">
      <c r="A163" s="92">
        <v>253</v>
      </c>
      <c r="B163" s="95" t="str">
        <f t="shared" si="6"/>
        <v>Yes</v>
      </c>
      <c r="H163" s="92" t="str">
        <f t="shared" si="7"/>
        <v>PL1-253</v>
      </c>
      <c r="I163" s="98"/>
      <c r="J163" s="99" t="s">
        <v>264</v>
      </c>
      <c r="K163" s="99" t="s">
        <v>6</v>
      </c>
      <c r="L163" s="99" t="s">
        <v>13</v>
      </c>
      <c r="M163" s="99" t="s">
        <v>809</v>
      </c>
      <c r="N163" s="99" t="s">
        <v>151</v>
      </c>
      <c r="O163" s="99">
        <v>60</v>
      </c>
      <c r="P163" s="99" t="s">
        <v>995</v>
      </c>
      <c r="Q163" s="99"/>
      <c r="R163" s="99"/>
      <c r="S163" s="98"/>
      <c r="T163" s="93"/>
      <c r="U163" s="93"/>
      <c r="V163" s="93"/>
      <c r="W163" s="93"/>
      <c r="X163" s="93">
        <f>IF($B163="Yes",COUNTIF(Reference!P$52:P$67,$K163),"")</f>
        <v>0</v>
      </c>
      <c r="Y163" s="93">
        <f>IF($B163="Yes",COUNTIF(Reference!Q$52:Q$67,$K163),"")</f>
        <v>0</v>
      </c>
      <c r="Z163" s="93">
        <f>IF($B163="Yes",COUNTIF(Reference!R$52:R$67,$K163),"")</f>
        <v>0</v>
      </c>
      <c r="AA163" s="93">
        <f>IF($B163="Yes",COUNTIF(Reference!S$52:S$67,$K163),"")</f>
        <v>1</v>
      </c>
      <c r="AB163" s="93">
        <f>IF($B163="Yes",COUNTIF(Reference!T$52:T$67,$K163),"")</f>
        <v>0</v>
      </c>
      <c r="AC163" s="93">
        <f t="shared" si="8"/>
        <v>0</v>
      </c>
    </row>
    <row r="164" spans="1:29" x14ac:dyDescent="0.25">
      <c r="A164" s="92">
        <v>254</v>
      </c>
      <c r="B164" s="95" t="str">
        <f t="shared" si="6"/>
        <v>Yes</v>
      </c>
      <c r="H164" s="92" t="str">
        <f t="shared" si="7"/>
        <v>PL1-254</v>
      </c>
      <c r="I164" s="98"/>
      <c r="J164" s="99" t="s">
        <v>265</v>
      </c>
      <c r="K164" s="99" t="s">
        <v>418</v>
      </c>
      <c r="L164" s="99" t="s">
        <v>13</v>
      </c>
      <c r="M164" s="99" t="s">
        <v>809</v>
      </c>
      <c r="N164" s="99" t="s">
        <v>151</v>
      </c>
      <c r="O164" s="99">
        <v>60</v>
      </c>
      <c r="P164" s="99" t="s">
        <v>995</v>
      </c>
      <c r="Q164" s="99"/>
      <c r="R164" s="99"/>
      <c r="S164" s="98"/>
      <c r="T164" s="93"/>
      <c r="U164" s="93"/>
      <c r="V164" s="93"/>
      <c r="W164" s="93"/>
      <c r="X164" s="93">
        <f>IF($B164="Yes",COUNTIF(Reference!P$52:P$67,$K164),"")</f>
        <v>0</v>
      </c>
      <c r="Y164" s="93">
        <f>IF($B164="Yes",COUNTIF(Reference!Q$52:Q$67,$K164),"")</f>
        <v>1</v>
      </c>
      <c r="Z164" s="93">
        <f>IF($B164="Yes",COUNTIF(Reference!R$52:R$67,$K164),"")</f>
        <v>1</v>
      </c>
      <c r="AA164" s="93">
        <f>IF($B164="Yes",COUNTIF(Reference!S$52:S$67,$K164),"")</f>
        <v>0</v>
      </c>
      <c r="AB164" s="93">
        <f>IF($B164="Yes",COUNTIF(Reference!T$52:T$67,$K164),"")</f>
        <v>0</v>
      </c>
      <c r="AC164" s="93">
        <f t="shared" si="8"/>
        <v>0</v>
      </c>
    </row>
    <row r="165" spans="1:29" x14ac:dyDescent="0.25">
      <c r="A165" s="92">
        <v>255</v>
      </c>
      <c r="B165" s="95" t="str">
        <f t="shared" si="6"/>
        <v>Yes</v>
      </c>
      <c r="H165" s="92" t="str">
        <f t="shared" si="7"/>
        <v>PL1-255</v>
      </c>
      <c r="I165" s="98"/>
      <c r="J165" s="99" t="s">
        <v>266</v>
      </c>
      <c r="K165" s="99" t="s">
        <v>459</v>
      </c>
      <c r="L165" s="99" t="s">
        <v>13</v>
      </c>
      <c r="M165" s="99" t="s">
        <v>5</v>
      </c>
      <c r="N165" s="99" t="s">
        <v>151</v>
      </c>
      <c r="O165" s="99">
        <v>60</v>
      </c>
      <c r="P165" s="99" t="s">
        <v>995</v>
      </c>
      <c r="Q165" s="99"/>
      <c r="R165" s="99"/>
      <c r="S165" s="98"/>
      <c r="T165" s="93"/>
      <c r="U165" s="93"/>
      <c r="V165" s="93"/>
      <c r="W165" s="93"/>
      <c r="X165" s="93">
        <f>IF($B165="Yes",COUNTIF(Reference!P$52:P$67,$K165),"")</f>
        <v>1</v>
      </c>
      <c r="Y165" s="93">
        <f>IF($B165="Yes",COUNTIF(Reference!Q$52:Q$67,$K165),"")</f>
        <v>1</v>
      </c>
      <c r="Z165" s="93">
        <f>IF($B165="Yes",COUNTIF(Reference!R$52:R$67,$K165),"")</f>
        <v>1</v>
      </c>
      <c r="AA165" s="93">
        <f>IF($B165="Yes",COUNTIF(Reference!S$52:S$67,$K165),"")</f>
        <v>1</v>
      </c>
      <c r="AB165" s="93">
        <f>IF($B165="Yes",COUNTIF(Reference!T$52:T$67,$K165),"")</f>
        <v>1</v>
      </c>
      <c r="AC165" s="93">
        <f t="shared" si="8"/>
        <v>0</v>
      </c>
    </row>
    <row r="166" spans="1:29" x14ac:dyDescent="0.25">
      <c r="A166" s="92">
        <v>256</v>
      </c>
      <c r="B166" s="95" t="str">
        <f t="shared" si="6"/>
        <v>Yes</v>
      </c>
      <c r="H166" s="92" t="str">
        <f t="shared" si="7"/>
        <v>PL1-256</v>
      </c>
      <c r="I166" s="98"/>
      <c r="J166" s="99" t="s">
        <v>267</v>
      </c>
      <c r="K166" s="99" t="s">
        <v>459</v>
      </c>
      <c r="L166" s="99" t="s">
        <v>13</v>
      </c>
      <c r="M166" s="99" t="s">
        <v>5</v>
      </c>
      <c r="N166" s="99" t="s">
        <v>184</v>
      </c>
      <c r="O166" s="99">
        <v>100</v>
      </c>
      <c r="P166" s="99" t="s">
        <v>995</v>
      </c>
      <c r="Q166" s="99"/>
      <c r="R166" s="99"/>
      <c r="S166" s="98"/>
      <c r="T166" s="93"/>
      <c r="U166" s="93"/>
      <c r="V166" s="93"/>
      <c r="W166" s="93"/>
      <c r="X166" s="93">
        <f>IF($B166="Yes",COUNTIF(Reference!P$52:P$67,$K166),"")</f>
        <v>1</v>
      </c>
      <c r="Y166" s="93">
        <f>IF($B166="Yes",COUNTIF(Reference!Q$52:Q$67,$K166),"")</f>
        <v>1</v>
      </c>
      <c r="Z166" s="93">
        <f>IF($B166="Yes",COUNTIF(Reference!R$52:R$67,$K166),"")</f>
        <v>1</v>
      </c>
      <c r="AA166" s="93">
        <f>IF($B166="Yes",COUNTIF(Reference!S$52:S$67,$K166),"")</f>
        <v>1</v>
      </c>
      <c r="AB166" s="93">
        <f>IF($B166="Yes",COUNTIF(Reference!T$52:T$67,$K166),"")</f>
        <v>1</v>
      </c>
      <c r="AC166" s="93">
        <f t="shared" si="8"/>
        <v>0</v>
      </c>
    </row>
    <row r="167" spans="1:29" x14ac:dyDescent="0.25">
      <c r="A167" s="92">
        <v>257</v>
      </c>
      <c r="B167" s="95" t="str">
        <f t="shared" si="6"/>
        <v>Yes</v>
      </c>
      <c r="H167" s="92" t="str">
        <f t="shared" si="7"/>
        <v>PL1-257</v>
      </c>
      <c r="I167" s="98"/>
      <c r="J167" s="99" t="s">
        <v>268</v>
      </c>
      <c r="K167" s="99" t="s">
        <v>418</v>
      </c>
      <c r="L167" s="99" t="s">
        <v>13</v>
      </c>
      <c r="M167" s="99" t="s">
        <v>809</v>
      </c>
      <c r="N167" s="99" t="s">
        <v>151</v>
      </c>
      <c r="O167" s="99">
        <v>60</v>
      </c>
      <c r="P167" s="99" t="s">
        <v>995</v>
      </c>
      <c r="Q167" s="99"/>
      <c r="R167" s="99"/>
      <c r="S167" s="98"/>
      <c r="T167" s="93"/>
      <c r="U167" s="93"/>
      <c r="V167" s="93"/>
      <c r="W167" s="93"/>
      <c r="X167" s="93">
        <f>IF($B167="Yes",COUNTIF(Reference!P$52:P$67,$K167),"")</f>
        <v>0</v>
      </c>
      <c r="Y167" s="93">
        <f>IF($B167="Yes",COUNTIF(Reference!Q$52:Q$67,$K167),"")</f>
        <v>1</v>
      </c>
      <c r="Z167" s="93">
        <f>IF($B167="Yes",COUNTIF(Reference!R$52:R$67,$K167),"")</f>
        <v>1</v>
      </c>
      <c r="AA167" s="93">
        <f>IF($B167="Yes",COUNTIF(Reference!S$52:S$67,$K167),"")</f>
        <v>0</v>
      </c>
      <c r="AB167" s="93">
        <f>IF($B167="Yes",COUNTIF(Reference!T$52:T$67,$K167),"")</f>
        <v>0</v>
      </c>
      <c r="AC167" s="93">
        <f t="shared" si="8"/>
        <v>0</v>
      </c>
    </row>
    <row r="168" spans="1:29" x14ac:dyDescent="0.25">
      <c r="A168" s="92">
        <v>258</v>
      </c>
      <c r="B168" s="95" t="str">
        <f t="shared" si="6"/>
        <v>Yes</v>
      </c>
      <c r="H168" s="92" t="str">
        <f t="shared" si="7"/>
        <v>PL1-258</v>
      </c>
      <c r="I168" s="98"/>
      <c r="J168" s="99" t="s">
        <v>269</v>
      </c>
      <c r="K168" s="99" t="s">
        <v>5</v>
      </c>
      <c r="L168" s="99" t="s">
        <v>13</v>
      </c>
      <c r="M168" s="99" t="s">
        <v>809</v>
      </c>
      <c r="N168" s="99" t="s">
        <v>184</v>
      </c>
      <c r="O168" s="99">
        <v>60</v>
      </c>
      <c r="P168" s="99" t="s">
        <v>995</v>
      </c>
      <c r="Q168" s="99"/>
      <c r="R168" s="99"/>
      <c r="S168" s="98"/>
      <c r="T168" s="93"/>
      <c r="U168" s="93"/>
      <c r="V168" s="93"/>
      <c r="W168" s="93"/>
      <c r="X168" s="93">
        <f>IF($B168="Yes",COUNTIF(Reference!P$52:P$67,$K168),"")</f>
        <v>0</v>
      </c>
      <c r="Y168" s="93">
        <f>IF($B168="Yes",COUNTIF(Reference!Q$52:Q$67,$K168),"")</f>
        <v>0</v>
      </c>
      <c r="Z168" s="93">
        <f>IF($B168="Yes",COUNTIF(Reference!R$52:R$67,$K168),"")</f>
        <v>1</v>
      </c>
      <c r="AA168" s="93">
        <f>IF($B168="Yes",COUNTIF(Reference!S$52:S$67,$K168),"")</f>
        <v>0</v>
      </c>
      <c r="AB168" s="93">
        <f>IF($B168="Yes",COUNTIF(Reference!T$52:T$67,$K168),"")</f>
        <v>0</v>
      </c>
      <c r="AC168" s="93">
        <f t="shared" si="8"/>
        <v>0</v>
      </c>
    </row>
    <row r="169" spans="1:29" x14ac:dyDescent="0.25">
      <c r="A169" s="92">
        <v>259</v>
      </c>
      <c r="B169" s="95" t="str">
        <f t="shared" si="6"/>
        <v>Yes</v>
      </c>
      <c r="H169" s="92" t="str">
        <f t="shared" si="7"/>
        <v>PL1-259</v>
      </c>
      <c r="I169" s="98"/>
      <c r="J169" s="99" t="s">
        <v>270</v>
      </c>
      <c r="K169" s="99" t="s">
        <v>4</v>
      </c>
      <c r="L169" s="99" t="s">
        <v>13</v>
      </c>
      <c r="M169" s="99" t="s">
        <v>5</v>
      </c>
      <c r="N169" s="99" t="s">
        <v>1200</v>
      </c>
      <c r="O169" s="99">
        <v>60</v>
      </c>
      <c r="P169" s="99" t="s">
        <v>995</v>
      </c>
      <c r="Q169" s="99"/>
      <c r="R169" s="99"/>
      <c r="S169" s="98"/>
      <c r="T169" s="93"/>
      <c r="U169" s="93"/>
      <c r="V169" s="93"/>
      <c r="W169" s="93"/>
      <c r="X169" s="93">
        <f>IF($B169="Yes",COUNTIF(Reference!P$52:P$67,$K169),"")</f>
        <v>0</v>
      </c>
      <c r="Y169" s="93">
        <f>IF($B169="Yes",COUNTIF(Reference!Q$52:Q$67,$K169),"")</f>
        <v>1</v>
      </c>
      <c r="Z169" s="93">
        <f>IF($B169="Yes",COUNTIF(Reference!R$52:R$67,$K169),"")</f>
        <v>0</v>
      </c>
      <c r="AA169" s="93">
        <f>IF($B169="Yes",COUNTIF(Reference!S$52:S$67,$K169),"")</f>
        <v>0</v>
      </c>
      <c r="AB169" s="93">
        <f>IF($B169="Yes",COUNTIF(Reference!T$52:T$67,$K169),"")</f>
        <v>0</v>
      </c>
      <c r="AC169" s="93">
        <f t="shared" si="8"/>
        <v>0</v>
      </c>
    </row>
    <row r="170" spans="1:29" x14ac:dyDescent="0.25">
      <c r="A170" s="92">
        <v>260</v>
      </c>
      <c r="B170" s="95" t="str">
        <f t="shared" si="6"/>
        <v>Yes</v>
      </c>
      <c r="H170" s="92" t="str">
        <f t="shared" si="7"/>
        <v>PL1-260</v>
      </c>
      <c r="I170" s="98"/>
      <c r="J170" s="99" t="s">
        <v>271</v>
      </c>
      <c r="K170" s="99" t="s">
        <v>418</v>
      </c>
      <c r="L170" s="99" t="s">
        <v>13</v>
      </c>
      <c r="M170" s="99" t="s">
        <v>807</v>
      </c>
      <c r="N170" s="99" t="s">
        <v>132</v>
      </c>
      <c r="O170" s="99">
        <v>60</v>
      </c>
      <c r="P170" s="99" t="s">
        <v>995</v>
      </c>
      <c r="Q170" s="99"/>
      <c r="R170" s="99"/>
      <c r="S170" s="98"/>
      <c r="T170" s="93"/>
      <c r="U170" s="93"/>
      <c r="V170" s="93"/>
      <c r="W170" s="93"/>
      <c r="X170" s="93">
        <f>IF($B170="Yes",COUNTIF(Reference!P$52:P$67,$K170),"")</f>
        <v>0</v>
      </c>
      <c r="Y170" s="93">
        <f>IF($B170="Yes",COUNTIF(Reference!Q$52:Q$67,$K170),"")</f>
        <v>1</v>
      </c>
      <c r="Z170" s="93">
        <f>IF($B170="Yes",COUNTIF(Reference!R$52:R$67,$K170),"")</f>
        <v>1</v>
      </c>
      <c r="AA170" s="93">
        <f>IF($B170="Yes",COUNTIF(Reference!S$52:S$67,$K170),"")</f>
        <v>0</v>
      </c>
      <c r="AB170" s="93">
        <f>IF($B170="Yes",COUNTIF(Reference!T$52:T$67,$K170),"")</f>
        <v>0</v>
      </c>
      <c r="AC170" s="93">
        <f t="shared" si="8"/>
        <v>0</v>
      </c>
    </row>
    <row r="171" spans="1:29" x14ac:dyDescent="0.25">
      <c r="A171" s="92">
        <v>261</v>
      </c>
      <c r="B171" s="95" t="str">
        <f t="shared" si="6"/>
        <v>Yes</v>
      </c>
      <c r="H171" s="92" t="str">
        <f t="shared" si="7"/>
        <v>PL1-261</v>
      </c>
      <c r="I171" s="98"/>
      <c r="J171" s="99" t="s">
        <v>272</v>
      </c>
      <c r="K171" s="99" t="s">
        <v>7</v>
      </c>
      <c r="L171" s="99" t="s">
        <v>13</v>
      </c>
      <c r="M171" s="99" t="s">
        <v>808</v>
      </c>
      <c r="N171" s="99" t="s">
        <v>154</v>
      </c>
      <c r="O171" s="99">
        <v>60</v>
      </c>
      <c r="P171" s="99" t="s">
        <v>995</v>
      </c>
      <c r="Q171" s="99"/>
      <c r="R171" s="99"/>
      <c r="S171" s="98"/>
      <c r="T171" s="93"/>
      <c r="U171" s="93"/>
      <c r="V171" s="93"/>
      <c r="W171" s="93"/>
      <c r="X171" s="93">
        <f>IF($B171="Yes",COUNTIF(Reference!P$52:P$67,$K171),"")</f>
        <v>0</v>
      </c>
      <c r="Y171" s="93">
        <f>IF($B171="Yes",COUNTIF(Reference!Q$52:Q$67,$K171),"")</f>
        <v>0</v>
      </c>
      <c r="Z171" s="93">
        <f>IF($B171="Yes",COUNTIF(Reference!R$52:R$67,$K171),"")</f>
        <v>0</v>
      </c>
      <c r="AA171" s="93">
        <f>IF($B171="Yes",COUNTIF(Reference!S$52:S$67,$K171),"")</f>
        <v>0</v>
      </c>
      <c r="AB171" s="93">
        <f>IF($B171="Yes",COUNTIF(Reference!T$52:T$67,$K171),"")</f>
        <v>1</v>
      </c>
      <c r="AC171" s="93">
        <f t="shared" si="8"/>
        <v>0</v>
      </c>
    </row>
    <row r="172" spans="1:29" x14ac:dyDescent="0.25">
      <c r="A172" s="92">
        <v>262</v>
      </c>
      <c r="B172" s="95" t="str">
        <f t="shared" si="6"/>
        <v>Yes</v>
      </c>
      <c r="H172" s="92" t="str">
        <f t="shared" si="7"/>
        <v>PL1-262</v>
      </c>
      <c r="I172" s="98"/>
      <c r="J172" s="99" t="s">
        <v>273</v>
      </c>
      <c r="K172" s="99" t="s">
        <v>427</v>
      </c>
      <c r="L172" s="99" t="s">
        <v>899</v>
      </c>
      <c r="M172" s="99" t="s">
        <v>5</v>
      </c>
      <c r="N172" s="99" t="s">
        <v>1210</v>
      </c>
      <c r="O172" s="99">
        <v>100</v>
      </c>
      <c r="P172" s="99" t="s">
        <v>995</v>
      </c>
      <c r="Q172" s="99"/>
      <c r="R172" s="99"/>
      <c r="S172" s="98"/>
      <c r="T172" s="93"/>
      <c r="U172" s="93"/>
      <c r="V172" s="93"/>
      <c r="W172" s="93"/>
      <c r="X172" s="93">
        <f>IF($B172="Yes",COUNTIF(Reference!P$52:P$67,$K172),"")</f>
        <v>0</v>
      </c>
      <c r="Y172" s="93">
        <f>IF($B172="Yes",COUNTIF(Reference!Q$52:Q$67,$K172),"")</f>
        <v>1</v>
      </c>
      <c r="Z172" s="93">
        <f>IF($B172="Yes",COUNTIF(Reference!R$52:R$67,$K172),"")</f>
        <v>1</v>
      </c>
      <c r="AA172" s="93">
        <f>IF($B172="Yes",COUNTIF(Reference!S$52:S$67,$K172),"")</f>
        <v>1</v>
      </c>
      <c r="AB172" s="93">
        <f>IF($B172="Yes",COUNTIF(Reference!T$52:T$67,$K172),"")</f>
        <v>0</v>
      </c>
      <c r="AC172" s="93">
        <f t="shared" si="8"/>
        <v>0</v>
      </c>
    </row>
    <row r="173" spans="1:29" x14ac:dyDescent="0.25">
      <c r="A173" s="92">
        <v>263</v>
      </c>
      <c r="B173" s="95" t="str">
        <f t="shared" si="6"/>
        <v>Yes</v>
      </c>
      <c r="H173" s="92" t="str">
        <f t="shared" si="7"/>
        <v>PL1-263</v>
      </c>
      <c r="I173" s="98"/>
      <c r="J173" s="99" t="s">
        <v>70</v>
      </c>
      <c r="K173" s="99" t="s">
        <v>445</v>
      </c>
      <c r="L173" s="99" t="s">
        <v>899</v>
      </c>
      <c r="M173" s="99" t="s">
        <v>5</v>
      </c>
      <c r="N173" s="99" t="s">
        <v>167</v>
      </c>
      <c r="O173" s="99">
        <v>100</v>
      </c>
      <c r="P173" s="99" t="s">
        <v>995</v>
      </c>
      <c r="Q173" s="99"/>
      <c r="R173" s="99"/>
      <c r="S173" s="98"/>
      <c r="T173" s="93"/>
      <c r="U173" s="93"/>
      <c r="V173" s="93"/>
      <c r="W173" s="93"/>
      <c r="X173" s="93">
        <f>IF($B173="Yes",COUNTIF(Reference!P$52:P$67,$K173),"")</f>
        <v>0</v>
      </c>
      <c r="Y173" s="93">
        <f>IF($B173="Yes",COUNTIF(Reference!Q$52:Q$67,$K173),"")</f>
        <v>1</v>
      </c>
      <c r="Z173" s="93">
        <f>IF($B173="Yes",COUNTIF(Reference!R$52:R$67,$K173),"")</f>
        <v>0</v>
      </c>
      <c r="AA173" s="93">
        <f>IF($B173="Yes",COUNTIF(Reference!S$52:S$67,$K173),"")</f>
        <v>1</v>
      </c>
      <c r="AB173" s="93">
        <f>IF($B173="Yes",COUNTIF(Reference!T$52:T$67,$K173),"")</f>
        <v>1</v>
      </c>
      <c r="AC173" s="93">
        <f t="shared" si="8"/>
        <v>0</v>
      </c>
    </row>
    <row r="174" spans="1:29" x14ac:dyDescent="0.25">
      <c r="A174" s="92">
        <v>264</v>
      </c>
      <c r="B174" s="95" t="str">
        <f t="shared" si="6"/>
        <v>Yes</v>
      </c>
      <c r="H174" s="92" t="str">
        <f t="shared" si="7"/>
        <v>PL1-264</v>
      </c>
      <c r="I174" s="98"/>
      <c r="J174" s="99" t="s">
        <v>274</v>
      </c>
      <c r="K174" s="99" t="s">
        <v>459</v>
      </c>
      <c r="L174" s="99" t="s">
        <v>13</v>
      </c>
      <c r="M174" s="99" t="s">
        <v>5</v>
      </c>
      <c r="N174" s="99" t="s">
        <v>108</v>
      </c>
      <c r="O174" s="99">
        <v>60</v>
      </c>
      <c r="P174" s="99" t="s">
        <v>995</v>
      </c>
      <c r="Q174" s="99"/>
      <c r="R174" s="99"/>
      <c r="S174" s="98"/>
      <c r="T174" s="93"/>
      <c r="U174" s="93"/>
      <c r="V174" s="93"/>
      <c r="W174" s="93"/>
      <c r="X174" s="93">
        <f>IF($B174="Yes",COUNTIF(Reference!P$52:P$67,$K174),"")</f>
        <v>1</v>
      </c>
      <c r="Y174" s="93">
        <f>IF($B174="Yes",COUNTIF(Reference!Q$52:Q$67,$K174),"")</f>
        <v>1</v>
      </c>
      <c r="Z174" s="93">
        <f>IF($B174="Yes",COUNTIF(Reference!R$52:R$67,$K174),"")</f>
        <v>1</v>
      </c>
      <c r="AA174" s="93">
        <f>IF($B174="Yes",COUNTIF(Reference!S$52:S$67,$K174),"")</f>
        <v>1</v>
      </c>
      <c r="AB174" s="93">
        <f>IF($B174="Yes",COUNTIF(Reference!T$52:T$67,$K174),"")</f>
        <v>1</v>
      </c>
      <c r="AC174" s="93">
        <f t="shared" si="8"/>
        <v>0</v>
      </c>
    </row>
    <row r="175" spans="1:29" x14ac:dyDescent="0.25">
      <c r="A175" s="92">
        <v>265</v>
      </c>
      <c r="B175" s="95" t="str">
        <f t="shared" si="6"/>
        <v>Yes</v>
      </c>
      <c r="H175" s="92" t="str">
        <f t="shared" si="7"/>
        <v>PL1-265</v>
      </c>
      <c r="I175" s="98"/>
      <c r="J175" s="99" t="s">
        <v>275</v>
      </c>
      <c r="K175" s="99" t="s">
        <v>418</v>
      </c>
      <c r="L175" s="99" t="s">
        <v>13</v>
      </c>
      <c r="M175" s="99" t="s">
        <v>808</v>
      </c>
      <c r="N175" s="99" t="s">
        <v>1209</v>
      </c>
      <c r="O175" s="99">
        <v>60</v>
      </c>
      <c r="P175" s="99" t="s">
        <v>995</v>
      </c>
      <c r="Q175" s="99"/>
      <c r="R175" s="99"/>
      <c r="S175" s="98"/>
      <c r="T175" s="93"/>
      <c r="U175" s="93"/>
      <c r="V175" s="93"/>
      <c r="W175" s="93"/>
      <c r="X175" s="93">
        <f>IF($B175="Yes",COUNTIF(Reference!P$52:P$67,$K175),"")</f>
        <v>0</v>
      </c>
      <c r="Y175" s="93">
        <f>IF($B175="Yes",COUNTIF(Reference!Q$52:Q$67,$K175),"")</f>
        <v>1</v>
      </c>
      <c r="Z175" s="93">
        <f>IF($B175="Yes",COUNTIF(Reference!R$52:R$67,$K175),"")</f>
        <v>1</v>
      </c>
      <c r="AA175" s="93">
        <f>IF($B175="Yes",COUNTIF(Reference!S$52:S$67,$K175),"")</f>
        <v>0</v>
      </c>
      <c r="AB175" s="93">
        <f>IF($B175="Yes",COUNTIF(Reference!T$52:T$67,$K175),"")</f>
        <v>0</v>
      </c>
      <c r="AC175" s="93">
        <f t="shared" si="8"/>
        <v>0</v>
      </c>
    </row>
    <row r="176" spans="1:29" x14ac:dyDescent="0.25">
      <c r="A176" s="92">
        <v>266</v>
      </c>
      <c r="B176" s="95" t="str">
        <f t="shared" si="6"/>
        <v>Yes</v>
      </c>
      <c r="H176" s="92" t="str">
        <f t="shared" si="7"/>
        <v>PL1-266</v>
      </c>
      <c r="I176" s="98"/>
      <c r="J176" s="99" t="s">
        <v>276</v>
      </c>
      <c r="K176" s="99" t="s">
        <v>427</v>
      </c>
      <c r="L176" s="99" t="s">
        <v>13</v>
      </c>
      <c r="M176" s="99" t="s">
        <v>809</v>
      </c>
      <c r="N176" s="99" t="s">
        <v>116</v>
      </c>
      <c r="O176" s="99">
        <v>100</v>
      </c>
      <c r="P176" s="99" t="s">
        <v>995</v>
      </c>
      <c r="Q176" s="99"/>
      <c r="R176" s="99"/>
      <c r="S176" s="98"/>
      <c r="T176" s="93"/>
      <c r="U176" s="93"/>
      <c r="V176" s="93"/>
      <c r="W176" s="93"/>
      <c r="X176" s="93">
        <f>IF($B176="Yes",COUNTIF(Reference!P$52:P$67,$K176),"")</f>
        <v>0</v>
      </c>
      <c r="Y176" s="93">
        <f>IF($B176="Yes",COUNTIF(Reference!Q$52:Q$67,$K176),"")</f>
        <v>1</v>
      </c>
      <c r="Z176" s="93">
        <f>IF($B176="Yes",COUNTIF(Reference!R$52:R$67,$K176),"")</f>
        <v>1</v>
      </c>
      <c r="AA176" s="93">
        <f>IF($B176="Yes",COUNTIF(Reference!S$52:S$67,$K176),"")</f>
        <v>1</v>
      </c>
      <c r="AB176" s="93">
        <f>IF($B176="Yes",COUNTIF(Reference!T$52:T$67,$K176),"")</f>
        <v>0</v>
      </c>
      <c r="AC176" s="93">
        <f t="shared" si="8"/>
        <v>0</v>
      </c>
    </row>
    <row r="177" spans="1:29" x14ac:dyDescent="0.25">
      <c r="A177" s="92">
        <v>267</v>
      </c>
      <c r="B177" s="95" t="str">
        <f t="shared" si="6"/>
        <v>Yes</v>
      </c>
      <c r="H177" s="92" t="str">
        <f t="shared" si="7"/>
        <v>PL1-267</v>
      </c>
      <c r="I177" s="98"/>
      <c r="J177" s="99" t="s">
        <v>277</v>
      </c>
      <c r="K177" s="99" t="s">
        <v>428</v>
      </c>
      <c r="L177" s="99" t="s">
        <v>13</v>
      </c>
      <c r="M177" s="99" t="s">
        <v>808</v>
      </c>
      <c r="N177" s="99" t="s">
        <v>145</v>
      </c>
      <c r="O177" s="99">
        <v>60</v>
      </c>
      <c r="P177" s="99" t="s">
        <v>995</v>
      </c>
      <c r="Q177" s="99"/>
      <c r="R177" s="99"/>
      <c r="S177" s="98"/>
      <c r="T177" s="93"/>
      <c r="U177" s="93"/>
      <c r="V177" s="93"/>
      <c r="W177" s="93"/>
      <c r="X177" s="93">
        <f>IF($B177="Yes",COUNTIF(Reference!P$52:P$67,$K177),"")</f>
        <v>0</v>
      </c>
      <c r="Y177" s="93">
        <f>IF($B177="Yes",COUNTIF(Reference!Q$52:Q$67,$K177),"")</f>
        <v>0</v>
      </c>
      <c r="Z177" s="93">
        <f>IF($B177="Yes",COUNTIF(Reference!R$52:R$67,$K177),"")</f>
        <v>0</v>
      </c>
      <c r="AA177" s="93">
        <f>IF($B177="Yes",COUNTIF(Reference!S$52:S$67,$K177),"")</f>
        <v>1</v>
      </c>
      <c r="AB177" s="93">
        <f>IF($B177="Yes",COUNTIF(Reference!T$52:T$67,$K177),"")</f>
        <v>1</v>
      </c>
      <c r="AC177" s="93">
        <f t="shared" si="8"/>
        <v>0</v>
      </c>
    </row>
    <row r="178" spans="1:29" x14ac:dyDescent="0.25">
      <c r="A178" s="92">
        <v>268</v>
      </c>
      <c r="B178" s="95" t="str">
        <f t="shared" si="6"/>
        <v>Yes</v>
      </c>
      <c r="H178" s="92" t="str">
        <f t="shared" si="7"/>
        <v>PL1-268</v>
      </c>
      <c r="I178" s="98"/>
      <c r="J178" s="99" t="s">
        <v>278</v>
      </c>
      <c r="K178" s="99" t="s">
        <v>445</v>
      </c>
      <c r="L178" s="99" t="s">
        <v>13</v>
      </c>
      <c r="M178" s="99" t="s">
        <v>807</v>
      </c>
      <c r="N178" s="99" t="s">
        <v>897</v>
      </c>
      <c r="O178" s="99">
        <v>60</v>
      </c>
      <c r="P178" s="99" t="s">
        <v>995</v>
      </c>
      <c r="Q178" s="99"/>
      <c r="R178" s="99"/>
      <c r="S178" s="98"/>
      <c r="T178" s="93"/>
      <c r="U178" s="93"/>
      <c r="V178" s="93"/>
      <c r="W178" s="93"/>
      <c r="X178" s="93">
        <f>IF($B178="Yes",COUNTIF(Reference!P$52:P$67,$K178),"")</f>
        <v>0</v>
      </c>
      <c r="Y178" s="93">
        <f>IF($B178="Yes",COUNTIF(Reference!Q$52:Q$67,$K178),"")</f>
        <v>1</v>
      </c>
      <c r="Z178" s="93">
        <f>IF($B178="Yes",COUNTIF(Reference!R$52:R$67,$K178),"")</f>
        <v>0</v>
      </c>
      <c r="AA178" s="93">
        <f>IF($B178="Yes",COUNTIF(Reference!S$52:S$67,$K178),"")</f>
        <v>1</v>
      </c>
      <c r="AB178" s="93">
        <f>IF($B178="Yes",COUNTIF(Reference!T$52:T$67,$K178),"")</f>
        <v>1</v>
      </c>
      <c r="AC178" s="93">
        <f t="shared" si="8"/>
        <v>0</v>
      </c>
    </row>
    <row r="179" spans="1:29" x14ac:dyDescent="0.25">
      <c r="A179" s="92">
        <v>269</v>
      </c>
      <c r="B179" s="95" t="str">
        <f t="shared" si="6"/>
        <v>Yes</v>
      </c>
      <c r="H179" s="92" t="str">
        <f t="shared" si="7"/>
        <v>PL1-269</v>
      </c>
      <c r="I179" s="98"/>
      <c r="J179" s="99" t="s">
        <v>279</v>
      </c>
      <c r="K179" s="99" t="s">
        <v>459</v>
      </c>
      <c r="L179" s="99" t="s">
        <v>13</v>
      </c>
      <c r="M179" s="99" t="s">
        <v>5</v>
      </c>
      <c r="N179" s="99" t="s">
        <v>1202</v>
      </c>
      <c r="O179" s="99">
        <v>100</v>
      </c>
      <c r="P179" s="99" t="s">
        <v>995</v>
      </c>
      <c r="Q179" s="99"/>
      <c r="R179" s="99"/>
      <c r="S179" s="98"/>
      <c r="T179" s="93"/>
      <c r="U179" s="93"/>
      <c r="V179" s="93"/>
      <c r="W179" s="93"/>
      <c r="X179" s="93">
        <f>IF($B179="Yes",COUNTIF(Reference!P$52:P$67,$K179),"")</f>
        <v>1</v>
      </c>
      <c r="Y179" s="93">
        <f>IF($B179="Yes",COUNTIF(Reference!Q$52:Q$67,$K179),"")</f>
        <v>1</v>
      </c>
      <c r="Z179" s="93">
        <f>IF($B179="Yes",COUNTIF(Reference!R$52:R$67,$K179),"")</f>
        <v>1</v>
      </c>
      <c r="AA179" s="93">
        <f>IF($B179="Yes",COUNTIF(Reference!S$52:S$67,$K179),"")</f>
        <v>1</v>
      </c>
      <c r="AB179" s="93">
        <f>IF($B179="Yes",COUNTIF(Reference!T$52:T$67,$K179),"")</f>
        <v>1</v>
      </c>
      <c r="AC179" s="93">
        <f t="shared" si="8"/>
        <v>0</v>
      </c>
    </row>
    <row r="180" spans="1:29" x14ac:dyDescent="0.25">
      <c r="A180" s="92">
        <v>270</v>
      </c>
      <c r="B180" s="95" t="str">
        <f t="shared" si="6"/>
        <v>Yes</v>
      </c>
      <c r="H180" s="92" t="str">
        <f t="shared" si="7"/>
        <v>PL1-270</v>
      </c>
      <c r="I180" s="98"/>
      <c r="J180" s="99" t="s">
        <v>280</v>
      </c>
      <c r="K180" s="99" t="s">
        <v>436</v>
      </c>
      <c r="L180" s="99" t="s">
        <v>13</v>
      </c>
      <c r="M180" s="99" t="s">
        <v>807</v>
      </c>
      <c r="N180" s="99" t="s">
        <v>134</v>
      </c>
      <c r="O180" s="99">
        <v>60</v>
      </c>
      <c r="P180" s="99" t="s">
        <v>995</v>
      </c>
      <c r="Q180" s="99"/>
      <c r="R180" s="99"/>
      <c r="S180" s="98"/>
      <c r="T180" s="93"/>
      <c r="U180" s="93"/>
      <c r="V180" s="93"/>
      <c r="W180" s="93"/>
      <c r="X180" s="93">
        <f>IF($B180="Yes",COUNTIF(Reference!P$52:P$67,$K180),"")</f>
        <v>1</v>
      </c>
      <c r="Y180" s="93">
        <f>IF($B180="Yes",COUNTIF(Reference!Q$52:Q$67,$K180),"")</f>
        <v>0</v>
      </c>
      <c r="Z180" s="93">
        <f>IF($B180="Yes",COUNTIF(Reference!R$52:R$67,$K180),"")</f>
        <v>0</v>
      </c>
      <c r="AA180" s="93">
        <f>IF($B180="Yes",COUNTIF(Reference!S$52:S$67,$K180),"")</f>
        <v>0</v>
      </c>
      <c r="AB180" s="93">
        <f>IF($B180="Yes",COUNTIF(Reference!T$52:T$67,$K180),"")</f>
        <v>1</v>
      </c>
      <c r="AC180" s="93">
        <f t="shared" si="8"/>
        <v>0</v>
      </c>
    </row>
    <row r="181" spans="1:29" x14ac:dyDescent="0.25">
      <c r="A181" s="92">
        <v>271</v>
      </c>
      <c r="B181" s="95" t="str">
        <f t="shared" si="6"/>
        <v>Yes</v>
      </c>
      <c r="H181" s="92" t="str">
        <f t="shared" si="7"/>
        <v>PL1-271</v>
      </c>
      <c r="I181" s="98"/>
      <c r="J181" s="99" t="s">
        <v>281</v>
      </c>
      <c r="K181" s="99" t="s">
        <v>419</v>
      </c>
      <c r="L181" s="99" t="s">
        <v>30</v>
      </c>
      <c r="M181" s="99" t="s">
        <v>5</v>
      </c>
      <c r="N181" s="99" t="s">
        <v>898</v>
      </c>
      <c r="O181" s="99">
        <v>100</v>
      </c>
      <c r="P181" s="99" t="s">
        <v>995</v>
      </c>
      <c r="Q181" s="99"/>
      <c r="R181" s="99"/>
      <c r="S181" s="98"/>
      <c r="T181" s="93"/>
      <c r="U181" s="93"/>
      <c r="V181" s="93"/>
      <c r="W181" s="93"/>
      <c r="X181" s="93">
        <f>IF($B181="Yes",COUNTIF(Reference!P$52:P$67,$K181),"")</f>
        <v>0</v>
      </c>
      <c r="Y181" s="93">
        <f>IF($B181="Yes",COUNTIF(Reference!Q$52:Q$67,$K181),"")</f>
        <v>0</v>
      </c>
      <c r="Z181" s="93">
        <f>IF($B181="Yes",COUNTIF(Reference!R$52:R$67,$K181),"")</f>
        <v>1</v>
      </c>
      <c r="AA181" s="93">
        <f>IF($B181="Yes",COUNTIF(Reference!S$52:S$67,$K181),"")</f>
        <v>0</v>
      </c>
      <c r="AB181" s="93">
        <f>IF($B181="Yes",COUNTIF(Reference!T$52:T$67,$K181),"")</f>
        <v>1</v>
      </c>
      <c r="AC181" s="93">
        <f t="shared" si="8"/>
        <v>0</v>
      </c>
    </row>
    <row r="182" spans="1:29" x14ac:dyDescent="0.25">
      <c r="A182" s="92">
        <v>272</v>
      </c>
      <c r="B182" s="95" t="str">
        <f t="shared" si="6"/>
        <v>Yes</v>
      </c>
      <c r="H182" s="92" t="str">
        <f t="shared" si="7"/>
        <v>PL1-272</v>
      </c>
      <c r="I182" s="98"/>
      <c r="J182" s="99" t="s">
        <v>75</v>
      </c>
      <c r="K182" s="99" t="s">
        <v>444</v>
      </c>
      <c r="L182" s="99" t="s">
        <v>899</v>
      </c>
      <c r="M182" s="99" t="s">
        <v>5</v>
      </c>
      <c r="N182" s="99" t="s">
        <v>1210</v>
      </c>
      <c r="O182" s="99">
        <v>100</v>
      </c>
      <c r="P182" s="99" t="s">
        <v>995</v>
      </c>
      <c r="Q182" s="99"/>
      <c r="R182" s="99"/>
      <c r="S182" s="98"/>
      <c r="T182" s="93"/>
      <c r="U182" s="93"/>
      <c r="V182" s="93"/>
      <c r="W182" s="93"/>
      <c r="X182" s="93">
        <f>IF($B182="Yes",COUNTIF(Reference!P$52:P$67,$K182),"")</f>
        <v>1</v>
      </c>
      <c r="Y182" s="93">
        <f>IF($B182="Yes",COUNTIF(Reference!Q$52:Q$67,$K182),"")</f>
        <v>0</v>
      </c>
      <c r="Z182" s="93">
        <f>IF($B182="Yes",COUNTIF(Reference!R$52:R$67,$K182),"")</f>
        <v>0</v>
      </c>
      <c r="AA182" s="93">
        <f>IF($B182="Yes",COUNTIF(Reference!S$52:S$67,$K182),"")</f>
        <v>1</v>
      </c>
      <c r="AB182" s="93">
        <f>IF($B182="Yes",COUNTIF(Reference!T$52:T$67,$K182),"")</f>
        <v>1</v>
      </c>
      <c r="AC182" s="93">
        <f t="shared" si="8"/>
        <v>0</v>
      </c>
    </row>
    <row r="183" spans="1:29" x14ac:dyDescent="0.25">
      <c r="A183" s="92">
        <v>273</v>
      </c>
      <c r="B183" s="95" t="str">
        <f t="shared" si="6"/>
        <v>Yes</v>
      </c>
      <c r="H183" s="92" t="str">
        <f t="shared" si="7"/>
        <v>PL1-273</v>
      </c>
      <c r="I183" s="98"/>
      <c r="J183" s="99" t="s">
        <v>282</v>
      </c>
      <c r="K183" s="99" t="s">
        <v>434</v>
      </c>
      <c r="L183" s="99" t="s">
        <v>13</v>
      </c>
      <c r="M183" s="99" t="s">
        <v>5</v>
      </c>
      <c r="N183" s="99" t="s">
        <v>1197</v>
      </c>
      <c r="O183" s="99">
        <v>60</v>
      </c>
      <c r="P183" s="99" t="s">
        <v>995</v>
      </c>
      <c r="Q183" s="99"/>
      <c r="R183" s="99"/>
      <c r="S183" s="98"/>
      <c r="T183" s="93"/>
      <c r="U183" s="93"/>
      <c r="V183" s="93"/>
      <c r="W183" s="93"/>
      <c r="X183" s="93">
        <f>IF($B183="Yes",COUNTIF(Reference!P$52:P$67,$K183),"")</f>
        <v>1</v>
      </c>
      <c r="Y183" s="93">
        <f>IF($B183="Yes",COUNTIF(Reference!Q$52:Q$67,$K183),"")</f>
        <v>1</v>
      </c>
      <c r="Z183" s="93">
        <f>IF($B183="Yes",COUNTIF(Reference!R$52:R$67,$K183),"")</f>
        <v>0</v>
      </c>
      <c r="AA183" s="93">
        <f>IF($B183="Yes",COUNTIF(Reference!S$52:S$67,$K183),"")</f>
        <v>0</v>
      </c>
      <c r="AB183" s="93">
        <f>IF($B183="Yes",COUNTIF(Reference!T$52:T$67,$K183),"")</f>
        <v>0</v>
      </c>
      <c r="AC183" s="93">
        <f t="shared" si="8"/>
        <v>0</v>
      </c>
    </row>
    <row r="184" spans="1:29" x14ac:dyDescent="0.25">
      <c r="A184" s="92">
        <v>274</v>
      </c>
      <c r="B184" s="95" t="str">
        <f t="shared" si="6"/>
        <v>Yes</v>
      </c>
      <c r="H184" s="92" t="str">
        <f t="shared" si="7"/>
        <v>PL1-274</v>
      </c>
      <c r="I184" s="98"/>
      <c r="J184" s="99" t="s">
        <v>77</v>
      </c>
      <c r="K184" s="99" t="s">
        <v>418</v>
      </c>
      <c r="L184" s="99" t="s">
        <v>1204</v>
      </c>
      <c r="M184" s="99" t="s">
        <v>5</v>
      </c>
      <c r="N184" s="99" t="s">
        <v>1205</v>
      </c>
      <c r="O184" s="99">
        <v>60</v>
      </c>
      <c r="P184" s="99" t="s">
        <v>995</v>
      </c>
      <c r="Q184" s="99"/>
      <c r="R184" s="99"/>
      <c r="S184" s="98"/>
      <c r="T184" s="93"/>
      <c r="U184" s="93"/>
      <c r="V184" s="93"/>
      <c r="W184" s="93"/>
      <c r="X184" s="93">
        <f>IF($B184="Yes",COUNTIF(Reference!P$52:P$67,$K184),"")</f>
        <v>0</v>
      </c>
      <c r="Y184" s="93">
        <f>IF($B184="Yes",COUNTIF(Reference!Q$52:Q$67,$K184),"")</f>
        <v>1</v>
      </c>
      <c r="Z184" s="93">
        <f>IF($B184="Yes",COUNTIF(Reference!R$52:R$67,$K184),"")</f>
        <v>1</v>
      </c>
      <c r="AA184" s="93">
        <f>IF($B184="Yes",COUNTIF(Reference!S$52:S$67,$K184),"")</f>
        <v>0</v>
      </c>
      <c r="AB184" s="93">
        <f>IF($B184="Yes",COUNTIF(Reference!T$52:T$67,$K184),"")</f>
        <v>0</v>
      </c>
      <c r="AC184" s="93">
        <f t="shared" si="8"/>
        <v>0</v>
      </c>
    </row>
    <row r="185" spans="1:29" x14ac:dyDescent="0.25">
      <c r="A185" s="92">
        <v>275</v>
      </c>
      <c r="B185" s="95" t="str">
        <f t="shared" si="6"/>
        <v>Yes</v>
      </c>
      <c r="H185" s="92" t="str">
        <f t="shared" si="7"/>
        <v>PL1-275</v>
      </c>
      <c r="I185" s="98"/>
      <c r="J185" s="99" t="s">
        <v>283</v>
      </c>
      <c r="K185" s="99" t="s">
        <v>5</v>
      </c>
      <c r="L185" s="99" t="s">
        <v>13</v>
      </c>
      <c r="M185" s="99" t="s">
        <v>809</v>
      </c>
      <c r="N185" s="99" t="s">
        <v>1197</v>
      </c>
      <c r="O185" s="99">
        <v>60</v>
      </c>
      <c r="P185" s="99" t="s">
        <v>995</v>
      </c>
      <c r="Q185" s="99"/>
      <c r="R185" s="99"/>
      <c r="S185" s="98"/>
      <c r="T185" s="93"/>
      <c r="U185" s="93"/>
      <c r="V185" s="93"/>
      <c r="W185" s="93"/>
      <c r="X185" s="93">
        <f>IF($B185="Yes",COUNTIF(Reference!P$52:P$67,$K185),"")</f>
        <v>0</v>
      </c>
      <c r="Y185" s="93">
        <f>IF($B185="Yes",COUNTIF(Reference!Q$52:Q$67,$K185),"")</f>
        <v>0</v>
      </c>
      <c r="Z185" s="93">
        <f>IF($B185="Yes",COUNTIF(Reference!R$52:R$67,$K185),"")</f>
        <v>1</v>
      </c>
      <c r="AA185" s="93">
        <f>IF($B185="Yes",COUNTIF(Reference!S$52:S$67,$K185),"")</f>
        <v>0</v>
      </c>
      <c r="AB185" s="93">
        <f>IF($B185="Yes",COUNTIF(Reference!T$52:T$67,$K185),"")</f>
        <v>0</v>
      </c>
      <c r="AC185" s="93">
        <f t="shared" si="8"/>
        <v>0</v>
      </c>
    </row>
    <row r="186" spans="1:29" x14ac:dyDescent="0.25">
      <c r="A186" s="92">
        <v>276</v>
      </c>
      <c r="B186" s="95" t="str">
        <f t="shared" si="6"/>
        <v>Yes</v>
      </c>
      <c r="H186" s="92" t="str">
        <f t="shared" si="7"/>
        <v>PL1-276</v>
      </c>
      <c r="I186" s="98"/>
      <c r="J186" s="99" t="s">
        <v>284</v>
      </c>
      <c r="K186" s="99" t="s">
        <v>441</v>
      </c>
      <c r="L186" s="99" t="s">
        <v>30</v>
      </c>
      <c r="M186" s="99" t="s">
        <v>380</v>
      </c>
      <c r="N186" s="99" t="s">
        <v>116</v>
      </c>
      <c r="O186" s="99">
        <v>100</v>
      </c>
      <c r="P186" s="99" t="s">
        <v>995</v>
      </c>
      <c r="Q186" s="99"/>
      <c r="R186" s="99"/>
      <c r="S186" s="98"/>
      <c r="T186" s="93"/>
      <c r="U186" s="93"/>
      <c r="V186" s="93"/>
      <c r="W186" s="93"/>
      <c r="X186" s="93">
        <f>IF($B186="Yes",COUNTIF(Reference!P$52:P$67,$K186),"")</f>
        <v>0</v>
      </c>
      <c r="Y186" s="93">
        <f>IF($B186="Yes",COUNTIF(Reference!Q$52:Q$67,$K186),"")</f>
        <v>1</v>
      </c>
      <c r="Z186" s="93">
        <f>IF($B186="Yes",COUNTIF(Reference!R$52:R$67,$K186),"")</f>
        <v>0</v>
      </c>
      <c r="AA186" s="93">
        <f>IF($B186="Yes",COUNTIF(Reference!S$52:S$67,$K186),"")</f>
        <v>1</v>
      </c>
      <c r="AB186" s="93">
        <f>IF($B186="Yes",COUNTIF(Reference!T$52:T$67,$K186),"")</f>
        <v>0</v>
      </c>
      <c r="AC186" s="93">
        <f t="shared" si="8"/>
        <v>0</v>
      </c>
    </row>
    <row r="187" spans="1:29" x14ac:dyDescent="0.25">
      <c r="A187" s="92">
        <v>277</v>
      </c>
      <c r="B187" s="95" t="str">
        <f t="shared" si="6"/>
        <v>Yes</v>
      </c>
      <c r="H187" s="92" t="str">
        <f t="shared" si="7"/>
        <v>PL1-277</v>
      </c>
      <c r="I187" s="98"/>
      <c r="J187" s="99" t="s">
        <v>285</v>
      </c>
      <c r="K187" s="99" t="s">
        <v>459</v>
      </c>
      <c r="L187" s="99" t="s">
        <v>13</v>
      </c>
      <c r="M187" s="99" t="s">
        <v>809</v>
      </c>
      <c r="N187" s="99" t="s">
        <v>143</v>
      </c>
      <c r="O187" s="99">
        <v>60</v>
      </c>
      <c r="P187" s="99" t="s">
        <v>995</v>
      </c>
      <c r="Q187" s="99"/>
      <c r="R187" s="99"/>
      <c r="S187" s="98"/>
      <c r="T187" s="93"/>
      <c r="U187" s="93"/>
      <c r="V187" s="93"/>
      <c r="W187" s="93"/>
      <c r="X187" s="93">
        <f>IF($B187="Yes",COUNTIF(Reference!P$52:P$67,$K187),"")</f>
        <v>1</v>
      </c>
      <c r="Y187" s="93">
        <f>IF($B187="Yes",COUNTIF(Reference!Q$52:Q$67,$K187),"")</f>
        <v>1</v>
      </c>
      <c r="Z187" s="93">
        <f>IF($B187="Yes",COUNTIF(Reference!R$52:R$67,$K187),"")</f>
        <v>1</v>
      </c>
      <c r="AA187" s="93">
        <f>IF($B187="Yes",COUNTIF(Reference!S$52:S$67,$K187),"")</f>
        <v>1</v>
      </c>
      <c r="AB187" s="93">
        <f>IF($B187="Yes",COUNTIF(Reference!T$52:T$67,$K187),"")</f>
        <v>1</v>
      </c>
      <c r="AC187" s="93">
        <f t="shared" si="8"/>
        <v>0</v>
      </c>
    </row>
    <row r="188" spans="1:29" x14ac:dyDescent="0.25">
      <c r="A188" s="92">
        <v>278</v>
      </c>
      <c r="B188" s="95" t="str">
        <f t="shared" si="6"/>
        <v>Yes</v>
      </c>
      <c r="H188" s="92" t="str">
        <f t="shared" si="7"/>
        <v>PL1-278</v>
      </c>
      <c r="I188" s="98"/>
      <c r="J188" s="99" t="s">
        <v>286</v>
      </c>
      <c r="K188" s="99" t="s">
        <v>6</v>
      </c>
      <c r="L188" s="99" t="s">
        <v>13</v>
      </c>
      <c r="M188" s="99" t="s">
        <v>809</v>
      </c>
      <c r="N188" s="99" t="s">
        <v>898</v>
      </c>
      <c r="O188" s="99">
        <v>60</v>
      </c>
      <c r="P188" s="99" t="s">
        <v>995</v>
      </c>
      <c r="Q188" s="99"/>
      <c r="R188" s="99"/>
      <c r="S188" s="98"/>
      <c r="T188" s="93"/>
      <c r="U188" s="93"/>
      <c r="V188" s="93"/>
      <c r="W188" s="93"/>
      <c r="X188" s="93">
        <f>IF($B188="Yes",COUNTIF(Reference!P$52:P$67,$K188),"")</f>
        <v>0</v>
      </c>
      <c r="Y188" s="93">
        <f>IF($B188="Yes",COUNTIF(Reference!Q$52:Q$67,$K188),"")</f>
        <v>0</v>
      </c>
      <c r="Z188" s="93">
        <f>IF($B188="Yes",COUNTIF(Reference!R$52:R$67,$K188),"")</f>
        <v>0</v>
      </c>
      <c r="AA188" s="93">
        <f>IF($B188="Yes",COUNTIF(Reference!S$52:S$67,$K188),"")</f>
        <v>1</v>
      </c>
      <c r="AB188" s="93">
        <f>IF($B188="Yes",COUNTIF(Reference!T$52:T$67,$K188),"")</f>
        <v>0</v>
      </c>
      <c r="AC188" s="93">
        <f t="shared" si="8"/>
        <v>0</v>
      </c>
    </row>
    <row r="189" spans="1:29" x14ac:dyDescent="0.25">
      <c r="A189" s="92">
        <v>279</v>
      </c>
      <c r="B189" s="95" t="str">
        <f t="shared" si="6"/>
        <v>Yes</v>
      </c>
      <c r="H189" s="92" t="str">
        <f t="shared" si="7"/>
        <v>PL1-279</v>
      </c>
      <c r="I189" s="98"/>
      <c r="J189" s="99" t="s">
        <v>287</v>
      </c>
      <c r="K189" s="99" t="s">
        <v>6</v>
      </c>
      <c r="L189" s="99" t="s">
        <v>13</v>
      </c>
      <c r="M189" s="99" t="s">
        <v>807</v>
      </c>
      <c r="N189" s="99" t="s">
        <v>143</v>
      </c>
      <c r="O189" s="99">
        <v>60</v>
      </c>
      <c r="P189" s="99" t="s">
        <v>995</v>
      </c>
      <c r="Q189" s="99"/>
      <c r="R189" s="99"/>
      <c r="S189" s="98"/>
      <c r="T189" s="93"/>
      <c r="U189" s="93"/>
      <c r="V189" s="93"/>
      <c r="W189" s="93"/>
      <c r="X189" s="93">
        <f>IF($B189="Yes",COUNTIF(Reference!P$52:P$67,$K189),"")</f>
        <v>0</v>
      </c>
      <c r="Y189" s="93">
        <f>IF($B189="Yes",COUNTIF(Reference!Q$52:Q$67,$K189),"")</f>
        <v>0</v>
      </c>
      <c r="Z189" s="93">
        <f>IF($B189="Yes",COUNTIF(Reference!R$52:R$67,$K189),"")</f>
        <v>0</v>
      </c>
      <c r="AA189" s="93">
        <f>IF($B189="Yes",COUNTIF(Reference!S$52:S$67,$K189),"")</f>
        <v>1</v>
      </c>
      <c r="AB189" s="93">
        <f>IF($B189="Yes",COUNTIF(Reference!T$52:T$67,$K189),"")</f>
        <v>0</v>
      </c>
      <c r="AC189" s="93">
        <f t="shared" si="8"/>
        <v>0</v>
      </c>
    </row>
    <row r="190" spans="1:29" x14ac:dyDescent="0.25">
      <c r="A190" s="92">
        <v>280</v>
      </c>
      <c r="B190" s="95" t="str">
        <f t="shared" si="6"/>
        <v>Yes</v>
      </c>
      <c r="H190" s="92" t="str">
        <f t="shared" si="7"/>
        <v>PL1-280</v>
      </c>
      <c r="I190" s="98"/>
      <c r="J190" s="99" t="s">
        <v>288</v>
      </c>
      <c r="K190" s="99" t="s">
        <v>424</v>
      </c>
      <c r="L190" s="99" t="s">
        <v>13</v>
      </c>
      <c r="M190" s="99" t="s">
        <v>807</v>
      </c>
      <c r="N190" s="99" t="s">
        <v>897</v>
      </c>
      <c r="O190" s="99">
        <v>60</v>
      </c>
      <c r="P190" s="99" t="s">
        <v>995</v>
      </c>
      <c r="Q190" s="99"/>
      <c r="R190" s="99"/>
      <c r="S190" s="98"/>
      <c r="T190" s="93"/>
      <c r="U190" s="93"/>
      <c r="V190" s="93"/>
      <c r="W190" s="93"/>
      <c r="X190" s="93">
        <f>IF($B190="Yes",COUNTIF(Reference!P$52:P$67,$K190),"")</f>
        <v>0</v>
      </c>
      <c r="Y190" s="93">
        <f>IF($B190="Yes",COUNTIF(Reference!Q$52:Q$67,$K190),"")</f>
        <v>0</v>
      </c>
      <c r="Z190" s="93">
        <f>IF($B190="Yes",COUNTIF(Reference!R$52:R$67,$K190),"")</f>
        <v>1</v>
      </c>
      <c r="AA190" s="93">
        <f>IF($B190="Yes",COUNTIF(Reference!S$52:S$67,$K190),"")</f>
        <v>1</v>
      </c>
      <c r="AB190" s="93">
        <f>IF($B190="Yes",COUNTIF(Reference!T$52:T$67,$K190),"")</f>
        <v>1</v>
      </c>
      <c r="AC190" s="93">
        <f t="shared" si="8"/>
        <v>0</v>
      </c>
    </row>
    <row r="191" spans="1:29" x14ac:dyDescent="0.25">
      <c r="A191" s="92">
        <v>281</v>
      </c>
      <c r="B191" s="95" t="str">
        <f t="shared" si="6"/>
        <v>Yes</v>
      </c>
      <c r="H191" s="92" t="str">
        <f t="shared" si="7"/>
        <v>PL1-281</v>
      </c>
      <c r="I191" s="98"/>
      <c r="J191" s="99" t="s">
        <v>289</v>
      </c>
      <c r="K191" s="99" t="s">
        <v>4</v>
      </c>
      <c r="L191" s="99" t="s">
        <v>13</v>
      </c>
      <c r="M191" s="99" t="s">
        <v>807</v>
      </c>
      <c r="N191" s="99" t="s">
        <v>1202</v>
      </c>
      <c r="O191" s="99">
        <v>60</v>
      </c>
      <c r="P191" s="99" t="s">
        <v>995</v>
      </c>
      <c r="Q191" s="99"/>
      <c r="R191" s="99"/>
      <c r="S191" s="98"/>
      <c r="T191" s="93"/>
      <c r="U191" s="93"/>
      <c r="V191" s="93"/>
      <c r="W191" s="93"/>
      <c r="X191" s="93">
        <f>IF($B191="Yes",COUNTIF(Reference!P$52:P$67,$K191),"")</f>
        <v>0</v>
      </c>
      <c r="Y191" s="93">
        <f>IF($B191="Yes",COUNTIF(Reference!Q$52:Q$67,$K191),"")</f>
        <v>1</v>
      </c>
      <c r="Z191" s="93">
        <f>IF($B191="Yes",COUNTIF(Reference!R$52:R$67,$K191),"")</f>
        <v>0</v>
      </c>
      <c r="AA191" s="93">
        <f>IF($B191="Yes",COUNTIF(Reference!S$52:S$67,$K191),"")</f>
        <v>0</v>
      </c>
      <c r="AB191" s="93">
        <f>IF($B191="Yes",COUNTIF(Reference!T$52:T$67,$K191),"")</f>
        <v>0</v>
      </c>
      <c r="AC191" s="93">
        <f t="shared" si="8"/>
        <v>0</v>
      </c>
    </row>
    <row r="192" spans="1:29" x14ac:dyDescent="0.25">
      <c r="A192" s="92">
        <v>282</v>
      </c>
      <c r="B192" s="95" t="str">
        <f t="shared" si="6"/>
        <v>Yes</v>
      </c>
      <c r="H192" s="92" t="str">
        <f t="shared" si="7"/>
        <v>PL1-282</v>
      </c>
      <c r="I192" s="98"/>
      <c r="J192" s="99" t="s">
        <v>290</v>
      </c>
      <c r="K192" s="99" t="s">
        <v>459</v>
      </c>
      <c r="L192" s="99" t="s">
        <v>30</v>
      </c>
      <c r="M192" s="99" t="s">
        <v>5</v>
      </c>
      <c r="N192" s="99" t="s">
        <v>116</v>
      </c>
      <c r="O192" s="99">
        <v>100</v>
      </c>
      <c r="P192" s="99" t="s">
        <v>291</v>
      </c>
      <c r="Q192" s="99"/>
      <c r="R192" s="99"/>
      <c r="S192" s="98"/>
      <c r="T192" s="93"/>
      <c r="U192" s="93"/>
      <c r="V192" s="93"/>
      <c r="W192" s="93"/>
      <c r="X192" s="93">
        <f>IF($B192="Yes",COUNTIF(Reference!P$52:P$67,$K192),"")</f>
        <v>1</v>
      </c>
      <c r="Y192" s="93">
        <f>IF($B192="Yes",COUNTIF(Reference!Q$52:Q$67,$K192),"")</f>
        <v>1</v>
      </c>
      <c r="Z192" s="93">
        <f>IF($B192="Yes",COUNTIF(Reference!R$52:R$67,$K192),"")</f>
        <v>1</v>
      </c>
      <c r="AA192" s="93">
        <f>IF($B192="Yes",COUNTIF(Reference!S$52:S$67,$K192),"")</f>
        <v>1</v>
      </c>
      <c r="AB192" s="93">
        <f>IF($B192="Yes",COUNTIF(Reference!T$52:T$67,$K192),"")</f>
        <v>1</v>
      </c>
      <c r="AC192" s="93">
        <f t="shared" si="8"/>
        <v>0</v>
      </c>
    </row>
    <row r="193" spans="1:29" x14ac:dyDescent="0.25">
      <c r="A193" s="92">
        <v>283</v>
      </c>
      <c r="B193" s="95" t="str">
        <f t="shared" si="6"/>
        <v>Yes</v>
      </c>
      <c r="H193" s="92" t="str">
        <f t="shared" si="7"/>
        <v>PL1-283</v>
      </c>
      <c r="I193" s="98"/>
      <c r="J193" s="99" t="s">
        <v>292</v>
      </c>
      <c r="K193" s="99" t="s">
        <v>431</v>
      </c>
      <c r="L193" s="99" t="s">
        <v>13</v>
      </c>
      <c r="M193" s="99" t="s">
        <v>807</v>
      </c>
      <c r="N193" s="99" t="s">
        <v>109</v>
      </c>
      <c r="O193" s="99">
        <v>60</v>
      </c>
      <c r="P193" s="99" t="s">
        <v>995</v>
      </c>
      <c r="Q193" s="99"/>
      <c r="R193" s="99"/>
      <c r="S193" s="98"/>
      <c r="T193" s="93"/>
      <c r="U193" s="93"/>
      <c r="V193" s="93"/>
      <c r="W193" s="93"/>
      <c r="X193" s="93">
        <f>IF($B193="Yes",COUNTIF(Reference!P$52:P$67,$K193),"")</f>
        <v>1</v>
      </c>
      <c r="Y193" s="93">
        <f>IF($B193="Yes",COUNTIF(Reference!Q$52:Q$67,$K193),"")</f>
        <v>0</v>
      </c>
      <c r="Z193" s="93">
        <f>IF($B193="Yes",COUNTIF(Reference!R$52:R$67,$K193),"")</f>
        <v>1</v>
      </c>
      <c r="AA193" s="93">
        <f>IF($B193="Yes",COUNTIF(Reference!S$52:S$67,$K193),"")</f>
        <v>1</v>
      </c>
      <c r="AB193" s="93">
        <f>IF($B193="Yes",COUNTIF(Reference!T$52:T$67,$K193),"")</f>
        <v>1</v>
      </c>
      <c r="AC193" s="93">
        <f t="shared" si="8"/>
        <v>0</v>
      </c>
    </row>
    <row r="194" spans="1:29" x14ac:dyDescent="0.25">
      <c r="A194" s="92">
        <v>284</v>
      </c>
      <c r="B194" s="95" t="str">
        <f t="shared" si="6"/>
        <v>Yes</v>
      </c>
      <c r="H194" s="92" t="str">
        <f t="shared" si="7"/>
        <v>PL1-284</v>
      </c>
      <c r="I194" s="98"/>
      <c r="J194" s="99" t="s">
        <v>293</v>
      </c>
      <c r="K194" s="99" t="s">
        <v>459</v>
      </c>
      <c r="L194" s="99" t="s">
        <v>13</v>
      </c>
      <c r="M194" s="99" t="s">
        <v>807</v>
      </c>
      <c r="N194" s="99" t="s">
        <v>1209</v>
      </c>
      <c r="O194" s="99">
        <v>60</v>
      </c>
      <c r="P194" s="99" t="s">
        <v>995</v>
      </c>
      <c r="Q194" s="99"/>
      <c r="R194" s="99"/>
      <c r="S194" s="98"/>
      <c r="T194" s="93"/>
      <c r="U194" s="93"/>
      <c r="V194" s="93"/>
      <c r="W194" s="93"/>
      <c r="X194" s="93">
        <f>IF($B194="Yes",COUNTIF(Reference!P$52:P$67,$K194),"")</f>
        <v>1</v>
      </c>
      <c r="Y194" s="93">
        <f>IF($B194="Yes",COUNTIF(Reference!Q$52:Q$67,$K194),"")</f>
        <v>1</v>
      </c>
      <c r="Z194" s="93">
        <f>IF($B194="Yes",COUNTIF(Reference!R$52:R$67,$K194),"")</f>
        <v>1</v>
      </c>
      <c r="AA194" s="93">
        <f>IF($B194="Yes",COUNTIF(Reference!S$52:S$67,$K194),"")</f>
        <v>1</v>
      </c>
      <c r="AB194" s="93">
        <f>IF($B194="Yes",COUNTIF(Reference!T$52:T$67,$K194),"")</f>
        <v>1</v>
      </c>
      <c r="AC194" s="93">
        <f t="shared" si="8"/>
        <v>0</v>
      </c>
    </row>
    <row r="195" spans="1:29" x14ac:dyDescent="0.25">
      <c r="A195" s="92">
        <v>285</v>
      </c>
      <c r="B195" s="95" t="str">
        <f t="shared" si="6"/>
        <v>Yes</v>
      </c>
      <c r="H195" s="92" t="str">
        <f t="shared" si="7"/>
        <v>PL1-285</v>
      </c>
      <c r="I195" s="98"/>
      <c r="J195" s="99" t="s">
        <v>294</v>
      </c>
      <c r="K195" s="99" t="s">
        <v>419</v>
      </c>
      <c r="L195" s="99" t="s">
        <v>13</v>
      </c>
      <c r="M195" s="99" t="s">
        <v>809</v>
      </c>
      <c r="N195" s="99" t="s">
        <v>116</v>
      </c>
      <c r="O195" s="99">
        <v>60</v>
      </c>
      <c r="P195" s="99" t="s">
        <v>1214</v>
      </c>
      <c r="Q195" s="99"/>
      <c r="R195" s="99"/>
      <c r="S195" s="98"/>
      <c r="T195" s="93"/>
      <c r="U195" s="93"/>
      <c r="V195" s="93"/>
      <c r="W195" s="93"/>
      <c r="X195" s="93">
        <f>IF($B195="Yes",COUNTIF(Reference!P$52:P$67,$K195),"")</f>
        <v>0</v>
      </c>
      <c r="Y195" s="93">
        <f>IF($B195="Yes",COUNTIF(Reference!Q$52:Q$67,$K195),"")</f>
        <v>0</v>
      </c>
      <c r="Z195" s="93">
        <f>IF($B195="Yes",COUNTIF(Reference!R$52:R$67,$K195),"")</f>
        <v>1</v>
      </c>
      <c r="AA195" s="93">
        <f>IF($B195="Yes",COUNTIF(Reference!S$52:S$67,$K195),"")</f>
        <v>0</v>
      </c>
      <c r="AB195" s="93">
        <f>IF($B195="Yes",COUNTIF(Reference!T$52:T$67,$K195),"")</f>
        <v>1</v>
      </c>
      <c r="AC195" s="93">
        <f t="shared" si="8"/>
        <v>0</v>
      </c>
    </row>
    <row r="196" spans="1:29" x14ac:dyDescent="0.25">
      <c r="A196" s="92">
        <v>286</v>
      </c>
      <c r="B196" s="95" t="str">
        <f t="shared" si="6"/>
        <v>Yes</v>
      </c>
      <c r="H196" s="92" t="str">
        <f t="shared" si="7"/>
        <v>PL1-286</v>
      </c>
      <c r="I196" s="98"/>
      <c r="J196" s="99" t="s">
        <v>295</v>
      </c>
      <c r="K196" s="99" t="s">
        <v>420</v>
      </c>
      <c r="L196" s="99" t="s">
        <v>13</v>
      </c>
      <c r="M196" s="99" t="s">
        <v>5</v>
      </c>
      <c r="N196" s="99" t="s">
        <v>116</v>
      </c>
      <c r="O196" s="99">
        <v>60</v>
      </c>
      <c r="P196" s="99" t="s">
        <v>138</v>
      </c>
      <c r="Q196" s="99"/>
      <c r="R196" s="99"/>
      <c r="S196" s="98"/>
      <c r="T196" s="93"/>
      <c r="U196" s="93"/>
      <c r="V196" s="93"/>
      <c r="W196" s="93"/>
      <c r="X196" s="93">
        <f>IF($B196="Yes",COUNTIF(Reference!P$52:P$67,$K196),"")</f>
        <v>0</v>
      </c>
      <c r="Y196" s="93">
        <f>IF($B196="Yes",COUNTIF(Reference!Q$52:Q$67,$K196),"")</f>
        <v>0</v>
      </c>
      <c r="Z196" s="93">
        <f>IF($B196="Yes",COUNTIF(Reference!R$52:R$67,$K196),"")</f>
        <v>1</v>
      </c>
      <c r="AA196" s="93">
        <f>IF($B196="Yes",COUNTIF(Reference!S$52:S$67,$K196),"")</f>
        <v>1</v>
      </c>
      <c r="AB196" s="93">
        <f>IF($B196="Yes",COUNTIF(Reference!T$52:T$67,$K196),"")</f>
        <v>0</v>
      </c>
      <c r="AC196" s="93">
        <f t="shared" si="8"/>
        <v>0</v>
      </c>
    </row>
    <row r="197" spans="1:29" x14ac:dyDescent="0.25">
      <c r="A197" s="92">
        <v>287</v>
      </c>
      <c r="B197" s="95" t="str">
        <f t="shared" si="6"/>
        <v>Yes</v>
      </c>
      <c r="H197" s="92" t="str">
        <f t="shared" si="7"/>
        <v>PL1-287</v>
      </c>
      <c r="I197" s="98"/>
      <c r="J197" s="99" t="s">
        <v>892</v>
      </c>
      <c r="K197" s="99" t="s">
        <v>4</v>
      </c>
      <c r="L197" s="99" t="s">
        <v>899</v>
      </c>
      <c r="M197" s="99" t="s">
        <v>5</v>
      </c>
      <c r="N197" s="99" t="s">
        <v>128</v>
      </c>
      <c r="O197" s="99">
        <v>100</v>
      </c>
      <c r="P197" s="99" t="s">
        <v>995</v>
      </c>
      <c r="Q197" s="99"/>
      <c r="R197" s="99"/>
      <c r="S197" s="98"/>
      <c r="T197" s="93"/>
      <c r="U197" s="93"/>
      <c r="V197" s="93"/>
      <c r="W197" s="93"/>
      <c r="X197" s="93">
        <f>IF($B197="Yes",COUNTIF(Reference!P$52:P$67,$K197),"")</f>
        <v>0</v>
      </c>
      <c r="Y197" s="93">
        <f>IF($B197="Yes",COUNTIF(Reference!Q$52:Q$67,$K197),"")</f>
        <v>1</v>
      </c>
      <c r="Z197" s="93">
        <f>IF($B197="Yes",COUNTIF(Reference!R$52:R$67,$K197),"")</f>
        <v>0</v>
      </c>
      <c r="AA197" s="93">
        <f>IF($B197="Yes",COUNTIF(Reference!S$52:S$67,$K197),"")</f>
        <v>0</v>
      </c>
      <c r="AB197" s="93">
        <f>IF($B197="Yes",COUNTIF(Reference!T$52:T$67,$K197),"")</f>
        <v>0</v>
      </c>
      <c r="AC197" s="93">
        <f t="shared" si="8"/>
        <v>0</v>
      </c>
    </row>
    <row r="198" spans="1:29" x14ac:dyDescent="0.25">
      <c r="A198" s="92">
        <v>288</v>
      </c>
      <c r="B198" s="95" t="str">
        <f t="shared" si="6"/>
        <v>Yes</v>
      </c>
      <c r="H198" s="92" t="str">
        <f t="shared" si="7"/>
        <v>PL1-288</v>
      </c>
      <c r="I198" s="98"/>
      <c r="J198" s="99" t="s">
        <v>79</v>
      </c>
      <c r="K198" s="99" t="s">
        <v>5</v>
      </c>
      <c r="L198" s="99" t="s">
        <v>1204</v>
      </c>
      <c r="M198" s="99" t="s">
        <v>807</v>
      </c>
      <c r="N198" s="99" t="s">
        <v>895</v>
      </c>
      <c r="O198" s="99">
        <v>60</v>
      </c>
      <c r="P198" s="99" t="s">
        <v>995</v>
      </c>
      <c r="Q198" s="99"/>
      <c r="R198" s="99"/>
      <c r="S198" s="98"/>
      <c r="T198" s="93"/>
      <c r="U198" s="93"/>
      <c r="V198" s="93"/>
      <c r="W198" s="93"/>
      <c r="X198" s="93">
        <f>IF($B198="Yes",COUNTIF(Reference!P$52:P$67,$K198),"")</f>
        <v>0</v>
      </c>
      <c r="Y198" s="93">
        <f>IF($B198="Yes",COUNTIF(Reference!Q$52:Q$67,$K198),"")</f>
        <v>0</v>
      </c>
      <c r="Z198" s="93">
        <f>IF($B198="Yes",COUNTIF(Reference!R$52:R$67,$K198),"")</f>
        <v>1</v>
      </c>
      <c r="AA198" s="93">
        <f>IF($B198="Yes",COUNTIF(Reference!S$52:S$67,$K198),"")</f>
        <v>0</v>
      </c>
      <c r="AB198" s="93">
        <f>IF($B198="Yes",COUNTIF(Reference!T$52:T$67,$K198),"")</f>
        <v>0</v>
      </c>
      <c r="AC198" s="93">
        <f t="shared" si="8"/>
        <v>0</v>
      </c>
    </row>
    <row r="199" spans="1:29" x14ac:dyDescent="0.25">
      <c r="A199" s="92">
        <v>289</v>
      </c>
      <c r="B199" s="95" t="str">
        <f t="shared" si="6"/>
        <v>Yes</v>
      </c>
      <c r="H199" s="92" t="str">
        <f t="shared" si="7"/>
        <v>PL1-289</v>
      </c>
      <c r="I199" s="98"/>
      <c r="J199" s="99" t="s">
        <v>296</v>
      </c>
      <c r="K199" s="99" t="s">
        <v>3</v>
      </c>
      <c r="L199" s="99" t="s">
        <v>13</v>
      </c>
      <c r="M199" s="99" t="s">
        <v>807</v>
      </c>
      <c r="N199" s="99" t="s">
        <v>1207</v>
      </c>
      <c r="O199" s="99">
        <v>60</v>
      </c>
      <c r="P199" s="99" t="s">
        <v>995</v>
      </c>
      <c r="Q199" s="99"/>
      <c r="R199" s="99"/>
      <c r="S199" s="98"/>
      <c r="T199" s="93"/>
      <c r="U199" s="93"/>
      <c r="V199" s="93"/>
      <c r="W199" s="93"/>
      <c r="X199" s="93">
        <f>IF($B199="Yes",COUNTIF(Reference!P$52:P$67,$K199),"")</f>
        <v>1</v>
      </c>
      <c r="Y199" s="93">
        <f>IF($B199="Yes",COUNTIF(Reference!Q$52:Q$67,$K199),"")</f>
        <v>0</v>
      </c>
      <c r="Z199" s="93">
        <f>IF($B199="Yes",COUNTIF(Reference!R$52:R$67,$K199),"")</f>
        <v>0</v>
      </c>
      <c r="AA199" s="93">
        <f>IF($B199="Yes",COUNTIF(Reference!S$52:S$67,$K199),"")</f>
        <v>0</v>
      </c>
      <c r="AB199" s="93">
        <f>IF($B199="Yes",COUNTIF(Reference!T$52:T$67,$K199),"")</f>
        <v>0</v>
      </c>
      <c r="AC199" s="93">
        <f t="shared" si="8"/>
        <v>0</v>
      </c>
    </row>
    <row r="200" spans="1:29" x14ac:dyDescent="0.25">
      <c r="A200" s="92">
        <v>290</v>
      </c>
      <c r="B200" s="95" t="str">
        <f t="shared" si="6"/>
        <v>Yes</v>
      </c>
      <c r="H200" s="92" t="str">
        <f t="shared" si="7"/>
        <v>PL1-290</v>
      </c>
      <c r="I200" s="98"/>
      <c r="J200" s="99" t="s">
        <v>297</v>
      </c>
      <c r="K200" s="99" t="s">
        <v>465</v>
      </c>
      <c r="L200" s="99" t="s">
        <v>899</v>
      </c>
      <c r="M200" s="99" t="s">
        <v>5</v>
      </c>
      <c r="N200" s="99" t="s">
        <v>167</v>
      </c>
      <c r="O200" s="99">
        <v>100</v>
      </c>
      <c r="P200" s="99" t="s">
        <v>995</v>
      </c>
      <c r="Q200" s="99"/>
      <c r="R200" s="99"/>
      <c r="S200" s="98"/>
      <c r="T200" s="93"/>
      <c r="U200" s="93"/>
      <c r="V200" s="93"/>
      <c r="W200" s="93"/>
      <c r="X200" s="93">
        <f>IF($B200="Yes",COUNTIF(Reference!P$52:P$67,$K200),"")</f>
        <v>1</v>
      </c>
      <c r="Y200" s="93">
        <f>IF($B200="Yes",COUNTIF(Reference!Q$52:Q$67,$K200),"")</f>
        <v>1</v>
      </c>
      <c r="Z200" s="93">
        <f>IF($B200="Yes",COUNTIF(Reference!R$52:R$67,$K200),"")</f>
        <v>0</v>
      </c>
      <c r="AA200" s="93">
        <f>IF($B200="Yes",COUNTIF(Reference!S$52:S$67,$K200),"")</f>
        <v>1</v>
      </c>
      <c r="AB200" s="93">
        <f>IF($B200="Yes",COUNTIF(Reference!T$52:T$67,$K200),"")</f>
        <v>0</v>
      </c>
      <c r="AC200" s="93">
        <f t="shared" si="8"/>
        <v>0</v>
      </c>
    </row>
    <row r="201" spans="1:29" x14ac:dyDescent="0.25">
      <c r="A201" s="92">
        <v>291</v>
      </c>
      <c r="B201" s="95" t="str">
        <f t="shared" si="6"/>
        <v>Yes</v>
      </c>
      <c r="H201" s="92" t="str">
        <f t="shared" si="7"/>
        <v>PL1-291</v>
      </c>
      <c r="I201" s="98"/>
      <c r="J201" s="99" t="s">
        <v>298</v>
      </c>
      <c r="K201" s="99" t="s">
        <v>427</v>
      </c>
      <c r="L201" s="99" t="s">
        <v>13</v>
      </c>
      <c r="M201" s="99" t="s">
        <v>807</v>
      </c>
      <c r="N201" s="99" t="s">
        <v>896</v>
      </c>
      <c r="O201" s="99">
        <v>60</v>
      </c>
      <c r="P201" s="99" t="s">
        <v>995</v>
      </c>
      <c r="Q201" s="99"/>
      <c r="R201" s="99"/>
      <c r="S201" s="98"/>
      <c r="T201" s="93"/>
      <c r="U201" s="93"/>
      <c r="V201" s="93"/>
      <c r="W201" s="93"/>
      <c r="X201" s="93">
        <f>IF($B201="Yes",COUNTIF(Reference!P$52:P$67,$K201),"")</f>
        <v>0</v>
      </c>
      <c r="Y201" s="93">
        <f>IF($B201="Yes",COUNTIF(Reference!Q$52:Q$67,$K201),"")</f>
        <v>1</v>
      </c>
      <c r="Z201" s="93">
        <f>IF($B201="Yes",COUNTIF(Reference!R$52:R$67,$K201),"")</f>
        <v>1</v>
      </c>
      <c r="AA201" s="93">
        <f>IF($B201="Yes",COUNTIF(Reference!S$52:S$67,$K201),"")</f>
        <v>1</v>
      </c>
      <c r="AB201" s="93">
        <f>IF($B201="Yes",COUNTIF(Reference!T$52:T$67,$K201),"")</f>
        <v>0</v>
      </c>
      <c r="AC201" s="93">
        <f t="shared" si="8"/>
        <v>0</v>
      </c>
    </row>
    <row r="202" spans="1:29" x14ac:dyDescent="0.25">
      <c r="A202" s="92">
        <v>292</v>
      </c>
      <c r="B202" s="95" t="str">
        <f t="shared" si="6"/>
        <v>Yes</v>
      </c>
      <c r="H202" s="92" t="str">
        <f t="shared" si="7"/>
        <v>PL1-292</v>
      </c>
      <c r="I202" s="98"/>
      <c r="J202" s="99" t="s">
        <v>299</v>
      </c>
      <c r="K202" s="99" t="s">
        <v>427</v>
      </c>
      <c r="L202" s="99" t="s">
        <v>30</v>
      </c>
      <c r="M202" s="99" t="s">
        <v>809</v>
      </c>
      <c r="N202" s="99" t="s">
        <v>1208</v>
      </c>
      <c r="O202" s="99">
        <v>100</v>
      </c>
      <c r="P202" s="99" t="s">
        <v>300</v>
      </c>
      <c r="Q202" s="99"/>
      <c r="R202" s="99"/>
      <c r="S202" s="98"/>
      <c r="T202" s="93"/>
      <c r="U202" s="93"/>
      <c r="V202" s="93"/>
      <c r="W202" s="93"/>
      <c r="X202" s="93">
        <f>IF($B202="Yes",COUNTIF(Reference!P$52:P$67,$K202),"")</f>
        <v>0</v>
      </c>
      <c r="Y202" s="93">
        <f>IF($B202="Yes",COUNTIF(Reference!Q$52:Q$67,$K202),"")</f>
        <v>1</v>
      </c>
      <c r="Z202" s="93">
        <f>IF($B202="Yes",COUNTIF(Reference!R$52:R$67,$K202),"")</f>
        <v>1</v>
      </c>
      <c r="AA202" s="93">
        <f>IF($B202="Yes",COUNTIF(Reference!S$52:S$67,$K202),"")</f>
        <v>1</v>
      </c>
      <c r="AB202" s="93">
        <f>IF($B202="Yes",COUNTIF(Reference!T$52:T$67,$K202),"")</f>
        <v>0</v>
      </c>
      <c r="AC202" s="93">
        <f t="shared" si="8"/>
        <v>0</v>
      </c>
    </row>
    <row r="203" spans="1:29" x14ac:dyDescent="0.25">
      <c r="A203" s="92">
        <v>293</v>
      </c>
      <c r="B203" s="95" t="str">
        <f t="shared" ref="B203:B266" si="9">IF(COUNTBLANK(J203:M203)=0,"Yes","No")</f>
        <v>Yes</v>
      </c>
      <c r="H203" s="92" t="str">
        <f t="shared" ref="H203:H266" si="10">IF(J203="","",$A$1&amp;"-"&amp;A203)</f>
        <v>PL1-293</v>
      </c>
      <c r="I203" s="98"/>
      <c r="J203" s="99" t="s">
        <v>80</v>
      </c>
      <c r="K203" s="99" t="s">
        <v>424</v>
      </c>
      <c r="L203" s="99" t="s">
        <v>899</v>
      </c>
      <c r="M203" s="99" t="s">
        <v>5</v>
      </c>
      <c r="N203" s="99" t="s">
        <v>1210</v>
      </c>
      <c r="O203" s="99">
        <v>100</v>
      </c>
      <c r="P203" s="99" t="s">
        <v>995</v>
      </c>
      <c r="Q203" s="99"/>
      <c r="R203" s="99"/>
      <c r="S203" s="98"/>
      <c r="T203" s="93"/>
      <c r="U203" s="93"/>
      <c r="V203" s="93"/>
      <c r="W203" s="93"/>
      <c r="X203" s="93">
        <f>IF($B203="Yes",COUNTIF(Reference!P$52:P$67,$K203),"")</f>
        <v>0</v>
      </c>
      <c r="Y203" s="93">
        <f>IF($B203="Yes",COUNTIF(Reference!Q$52:Q$67,$K203),"")</f>
        <v>0</v>
      </c>
      <c r="Z203" s="93">
        <f>IF($B203="Yes",COUNTIF(Reference!R$52:R$67,$K203),"")</f>
        <v>1</v>
      </c>
      <c r="AA203" s="93">
        <f>IF($B203="Yes",COUNTIF(Reference!S$52:S$67,$K203),"")</f>
        <v>1</v>
      </c>
      <c r="AB203" s="93">
        <f>IF($B203="Yes",COUNTIF(Reference!T$52:T$67,$K203),"")</f>
        <v>1</v>
      </c>
      <c r="AC203" s="93">
        <f t="shared" ref="AC203:AC266" si="11">IF($B203="Yes",COUNTIF(K203,"N"),"")</f>
        <v>0</v>
      </c>
    </row>
    <row r="204" spans="1:29" x14ac:dyDescent="0.25">
      <c r="A204" s="92">
        <v>294</v>
      </c>
      <c r="B204" s="95" t="str">
        <f t="shared" si="9"/>
        <v>Yes</v>
      </c>
      <c r="H204" s="92" t="str">
        <f t="shared" si="10"/>
        <v>PL1-294</v>
      </c>
      <c r="I204" s="98"/>
      <c r="J204" s="99" t="s">
        <v>81</v>
      </c>
      <c r="K204" s="99" t="s">
        <v>428</v>
      </c>
      <c r="L204" s="99" t="s">
        <v>1204</v>
      </c>
      <c r="M204" s="99" t="s">
        <v>809</v>
      </c>
      <c r="N204" s="99" t="s">
        <v>1205</v>
      </c>
      <c r="O204" s="99">
        <v>60</v>
      </c>
      <c r="P204" s="99" t="s">
        <v>995</v>
      </c>
      <c r="Q204" s="99"/>
      <c r="R204" s="99"/>
      <c r="S204" s="98"/>
      <c r="T204" s="93"/>
      <c r="U204" s="93"/>
      <c r="V204" s="93"/>
      <c r="W204" s="93"/>
      <c r="X204" s="93">
        <f>IF($B204="Yes",COUNTIF(Reference!P$52:P$67,$K204),"")</f>
        <v>0</v>
      </c>
      <c r="Y204" s="93">
        <f>IF($B204="Yes",COUNTIF(Reference!Q$52:Q$67,$K204),"")</f>
        <v>0</v>
      </c>
      <c r="Z204" s="93">
        <f>IF($B204="Yes",COUNTIF(Reference!R$52:R$67,$K204),"")</f>
        <v>0</v>
      </c>
      <c r="AA204" s="93">
        <f>IF($B204="Yes",COUNTIF(Reference!S$52:S$67,$K204),"")</f>
        <v>1</v>
      </c>
      <c r="AB204" s="93">
        <f>IF($B204="Yes",COUNTIF(Reference!T$52:T$67,$K204),"")</f>
        <v>1</v>
      </c>
      <c r="AC204" s="93">
        <f t="shared" si="11"/>
        <v>0</v>
      </c>
    </row>
    <row r="205" spans="1:29" x14ac:dyDescent="0.25">
      <c r="A205" s="92">
        <v>295</v>
      </c>
      <c r="B205" s="95" t="str">
        <f t="shared" si="9"/>
        <v>Yes</v>
      </c>
      <c r="H205" s="92" t="str">
        <f t="shared" si="10"/>
        <v>PL1-295</v>
      </c>
      <c r="I205" s="98"/>
      <c r="J205" s="99" t="s">
        <v>301</v>
      </c>
      <c r="K205" s="99" t="s">
        <v>440</v>
      </c>
      <c r="L205" s="99" t="s">
        <v>13</v>
      </c>
      <c r="M205" s="99" t="s">
        <v>5</v>
      </c>
      <c r="N205" s="99" t="s">
        <v>1203</v>
      </c>
      <c r="O205" s="99">
        <v>60</v>
      </c>
      <c r="P205" s="99" t="s">
        <v>995</v>
      </c>
      <c r="Q205" s="99"/>
      <c r="R205" s="99"/>
      <c r="S205" s="98"/>
      <c r="T205" s="93"/>
      <c r="U205" s="93"/>
      <c r="V205" s="93"/>
      <c r="W205" s="93"/>
      <c r="X205" s="93">
        <f>IF($B205="Yes",COUNTIF(Reference!P$52:P$67,$K205),"")</f>
        <v>1</v>
      </c>
      <c r="Y205" s="93">
        <f>IF($B205="Yes",COUNTIF(Reference!Q$52:Q$67,$K205),"")</f>
        <v>0</v>
      </c>
      <c r="Z205" s="93">
        <f>IF($B205="Yes",COUNTIF(Reference!R$52:R$67,$K205),"")</f>
        <v>0</v>
      </c>
      <c r="AA205" s="93">
        <f>IF($B205="Yes",COUNTIF(Reference!S$52:S$67,$K205),"")</f>
        <v>1</v>
      </c>
      <c r="AB205" s="93">
        <f>IF($B205="Yes",COUNTIF(Reference!T$52:T$67,$K205),"")</f>
        <v>0</v>
      </c>
      <c r="AC205" s="93">
        <f t="shared" si="11"/>
        <v>0</v>
      </c>
    </row>
    <row r="206" spans="1:29" x14ac:dyDescent="0.25">
      <c r="A206" s="92">
        <v>296</v>
      </c>
      <c r="B206" s="95" t="str">
        <f t="shared" si="9"/>
        <v>Yes</v>
      </c>
      <c r="H206" s="92" t="str">
        <f t="shared" si="10"/>
        <v>PL1-296</v>
      </c>
      <c r="I206" s="98"/>
      <c r="J206" s="99" t="s">
        <v>302</v>
      </c>
      <c r="K206" s="99" t="s">
        <v>7</v>
      </c>
      <c r="L206" s="99" t="s">
        <v>13</v>
      </c>
      <c r="M206" s="99" t="s">
        <v>5</v>
      </c>
      <c r="N206" s="99" t="s">
        <v>120</v>
      </c>
      <c r="O206" s="99">
        <v>60</v>
      </c>
      <c r="P206" s="99" t="s">
        <v>995</v>
      </c>
      <c r="Q206" s="99"/>
      <c r="R206" s="99"/>
      <c r="S206" s="98"/>
      <c r="T206" s="93"/>
      <c r="U206" s="93"/>
      <c r="V206" s="93"/>
      <c r="W206" s="93"/>
      <c r="X206" s="93">
        <f>IF($B206="Yes",COUNTIF(Reference!P$52:P$67,$K206),"")</f>
        <v>0</v>
      </c>
      <c r="Y206" s="93">
        <f>IF($B206="Yes",COUNTIF(Reference!Q$52:Q$67,$K206),"")</f>
        <v>0</v>
      </c>
      <c r="Z206" s="93">
        <f>IF($B206="Yes",COUNTIF(Reference!R$52:R$67,$K206),"")</f>
        <v>0</v>
      </c>
      <c r="AA206" s="93">
        <f>IF($B206="Yes",COUNTIF(Reference!S$52:S$67,$K206),"")</f>
        <v>0</v>
      </c>
      <c r="AB206" s="93">
        <f>IF($B206="Yes",COUNTIF(Reference!T$52:T$67,$K206),"")</f>
        <v>1</v>
      </c>
      <c r="AC206" s="93">
        <f t="shared" si="11"/>
        <v>0</v>
      </c>
    </row>
    <row r="207" spans="1:29" x14ac:dyDescent="0.25">
      <c r="A207" s="92">
        <v>297</v>
      </c>
      <c r="B207" s="95" t="str">
        <f t="shared" si="9"/>
        <v>Yes</v>
      </c>
      <c r="H207" s="92" t="str">
        <f t="shared" si="10"/>
        <v>PL1-297</v>
      </c>
      <c r="I207" s="98"/>
      <c r="J207" s="99" t="s">
        <v>303</v>
      </c>
      <c r="K207" s="99" t="s">
        <v>462</v>
      </c>
      <c r="L207" s="99" t="s">
        <v>30</v>
      </c>
      <c r="M207" s="99" t="s">
        <v>5</v>
      </c>
      <c r="N207" s="99" t="s">
        <v>1197</v>
      </c>
      <c r="O207" s="99">
        <v>100</v>
      </c>
      <c r="P207" s="99" t="s">
        <v>995</v>
      </c>
      <c r="Q207" s="99"/>
      <c r="R207" s="99"/>
      <c r="S207" s="98"/>
      <c r="T207" s="93"/>
      <c r="U207" s="93"/>
      <c r="V207" s="93"/>
      <c r="W207" s="93"/>
      <c r="X207" s="93">
        <f>IF($B207="Yes",COUNTIF(Reference!P$52:P$67,$K207),"")</f>
        <v>1</v>
      </c>
      <c r="Y207" s="93">
        <f>IF($B207="Yes",COUNTIF(Reference!Q$52:Q$67,$K207),"")</f>
        <v>1</v>
      </c>
      <c r="Z207" s="93">
        <f>IF($B207="Yes",COUNTIF(Reference!R$52:R$67,$K207),"")</f>
        <v>0</v>
      </c>
      <c r="AA207" s="93">
        <f>IF($B207="Yes",COUNTIF(Reference!S$52:S$67,$K207),"")</f>
        <v>0</v>
      </c>
      <c r="AB207" s="93">
        <f>IF($B207="Yes",COUNTIF(Reference!T$52:T$67,$K207),"")</f>
        <v>1</v>
      </c>
      <c r="AC207" s="93">
        <f t="shared" si="11"/>
        <v>0</v>
      </c>
    </row>
    <row r="208" spans="1:29" x14ac:dyDescent="0.25">
      <c r="A208" s="92">
        <v>298</v>
      </c>
      <c r="B208" s="95" t="str">
        <f t="shared" si="9"/>
        <v>Yes</v>
      </c>
      <c r="H208" s="92" t="str">
        <f t="shared" si="10"/>
        <v>PL1-298</v>
      </c>
      <c r="I208" s="98"/>
      <c r="J208" s="99" t="s">
        <v>304</v>
      </c>
      <c r="K208" s="99" t="s">
        <v>456</v>
      </c>
      <c r="L208" s="99" t="s">
        <v>13</v>
      </c>
      <c r="M208" s="99" t="s">
        <v>807</v>
      </c>
      <c r="N208" s="99" t="s">
        <v>898</v>
      </c>
      <c r="O208" s="99">
        <v>60</v>
      </c>
      <c r="P208" s="99" t="s">
        <v>995</v>
      </c>
      <c r="Q208" s="99"/>
      <c r="R208" s="99"/>
      <c r="S208" s="98"/>
      <c r="T208" s="93"/>
      <c r="U208" s="93"/>
      <c r="V208" s="93"/>
      <c r="W208" s="93"/>
      <c r="X208" s="93">
        <f>IF($B208="Yes",COUNTIF(Reference!P$52:P$67,$K208),"")</f>
        <v>1</v>
      </c>
      <c r="Y208" s="93">
        <f>IF($B208="Yes",COUNTIF(Reference!Q$52:Q$67,$K208),"")</f>
        <v>1</v>
      </c>
      <c r="Z208" s="93">
        <f>IF($B208="Yes",COUNTIF(Reference!R$52:R$67,$K208),"")</f>
        <v>1</v>
      </c>
      <c r="AA208" s="93">
        <f>IF($B208="Yes",COUNTIF(Reference!S$52:S$67,$K208),"")</f>
        <v>1</v>
      </c>
      <c r="AB208" s="93">
        <f>IF($B208="Yes",COUNTIF(Reference!T$52:T$67,$K208),"")</f>
        <v>0</v>
      </c>
      <c r="AC208" s="93">
        <f t="shared" si="11"/>
        <v>0</v>
      </c>
    </row>
    <row r="209" spans="1:29" x14ac:dyDescent="0.25">
      <c r="A209" s="92">
        <v>299</v>
      </c>
      <c r="B209" s="95" t="str">
        <f t="shared" si="9"/>
        <v>Yes</v>
      </c>
      <c r="H209" s="92" t="str">
        <f t="shared" si="10"/>
        <v>PL1-299</v>
      </c>
      <c r="I209" s="98"/>
      <c r="J209" s="99" t="s">
        <v>305</v>
      </c>
      <c r="K209" s="99" t="s">
        <v>418</v>
      </c>
      <c r="L209" s="99" t="s">
        <v>30</v>
      </c>
      <c r="M209" s="99" t="s">
        <v>5</v>
      </c>
      <c r="N209" s="99" t="s">
        <v>1197</v>
      </c>
      <c r="O209" s="99">
        <v>100</v>
      </c>
      <c r="P209" s="99" t="s">
        <v>995</v>
      </c>
      <c r="Q209" s="99"/>
      <c r="R209" s="99"/>
      <c r="S209" s="98"/>
      <c r="T209" s="93"/>
      <c r="U209" s="93"/>
      <c r="V209" s="93"/>
      <c r="W209" s="93"/>
      <c r="X209" s="93">
        <f>IF($B209="Yes",COUNTIF(Reference!P$52:P$67,$K209),"")</f>
        <v>0</v>
      </c>
      <c r="Y209" s="93">
        <f>IF($B209="Yes",COUNTIF(Reference!Q$52:Q$67,$K209),"")</f>
        <v>1</v>
      </c>
      <c r="Z209" s="93">
        <f>IF($B209="Yes",COUNTIF(Reference!R$52:R$67,$K209),"")</f>
        <v>1</v>
      </c>
      <c r="AA209" s="93">
        <f>IF($B209="Yes",COUNTIF(Reference!S$52:S$67,$K209),"")</f>
        <v>0</v>
      </c>
      <c r="AB209" s="93">
        <f>IF($B209="Yes",COUNTIF(Reference!T$52:T$67,$K209),"")</f>
        <v>0</v>
      </c>
      <c r="AC209" s="93">
        <f t="shared" si="11"/>
        <v>0</v>
      </c>
    </row>
    <row r="210" spans="1:29" x14ac:dyDescent="0.25">
      <c r="A210" s="92">
        <v>300</v>
      </c>
      <c r="B210" s="95" t="str">
        <f t="shared" si="9"/>
        <v>Yes</v>
      </c>
      <c r="H210" s="92" t="str">
        <f t="shared" si="10"/>
        <v>PL1-300</v>
      </c>
      <c r="I210" s="98"/>
      <c r="J210" s="99" t="s">
        <v>306</v>
      </c>
      <c r="K210" s="99" t="s">
        <v>5</v>
      </c>
      <c r="L210" s="99" t="s">
        <v>13</v>
      </c>
      <c r="M210" s="99" t="s">
        <v>807</v>
      </c>
      <c r="N210" s="99" t="s">
        <v>1208</v>
      </c>
      <c r="O210" s="99">
        <v>60</v>
      </c>
      <c r="P210" s="99" t="s">
        <v>995</v>
      </c>
      <c r="Q210" s="99"/>
      <c r="R210" s="99"/>
      <c r="S210" s="98"/>
      <c r="T210" s="93"/>
      <c r="U210" s="93"/>
      <c r="V210" s="93"/>
      <c r="W210" s="93"/>
      <c r="X210" s="93">
        <f>IF($B210="Yes",COUNTIF(Reference!P$52:P$67,$K210),"")</f>
        <v>0</v>
      </c>
      <c r="Y210" s="93">
        <f>IF($B210="Yes",COUNTIF(Reference!Q$52:Q$67,$K210),"")</f>
        <v>0</v>
      </c>
      <c r="Z210" s="93">
        <f>IF($B210="Yes",COUNTIF(Reference!R$52:R$67,$K210),"")</f>
        <v>1</v>
      </c>
      <c r="AA210" s="93">
        <f>IF($B210="Yes",COUNTIF(Reference!S$52:S$67,$K210),"")</f>
        <v>0</v>
      </c>
      <c r="AB210" s="93">
        <f>IF($B210="Yes",COUNTIF(Reference!T$52:T$67,$K210),"")</f>
        <v>0</v>
      </c>
      <c r="AC210" s="93">
        <f t="shared" si="11"/>
        <v>0</v>
      </c>
    </row>
    <row r="211" spans="1:29" x14ac:dyDescent="0.25">
      <c r="A211" s="92">
        <v>301</v>
      </c>
      <c r="B211" s="95" t="str">
        <f t="shared" si="9"/>
        <v>Yes</v>
      </c>
      <c r="H211" s="92" t="str">
        <f t="shared" si="10"/>
        <v>PL1-301</v>
      </c>
      <c r="I211" s="98"/>
      <c r="J211" s="99" t="s">
        <v>307</v>
      </c>
      <c r="K211" s="99" t="s">
        <v>419</v>
      </c>
      <c r="L211" s="99" t="s">
        <v>13</v>
      </c>
      <c r="M211" s="99" t="s">
        <v>808</v>
      </c>
      <c r="N211" s="99" t="s">
        <v>125</v>
      </c>
      <c r="O211" s="99">
        <v>60</v>
      </c>
      <c r="P211" s="99" t="s">
        <v>308</v>
      </c>
      <c r="Q211" s="99"/>
      <c r="R211" s="99"/>
      <c r="S211" s="98"/>
      <c r="T211" s="93"/>
      <c r="U211" s="93"/>
      <c r="V211" s="93"/>
      <c r="W211" s="93"/>
      <c r="X211" s="93">
        <f>IF($B211="Yes",COUNTIF(Reference!P$52:P$67,$K211),"")</f>
        <v>0</v>
      </c>
      <c r="Y211" s="93">
        <f>IF($B211="Yes",COUNTIF(Reference!Q$52:Q$67,$K211),"")</f>
        <v>0</v>
      </c>
      <c r="Z211" s="93">
        <f>IF($B211="Yes",COUNTIF(Reference!R$52:R$67,$K211),"")</f>
        <v>1</v>
      </c>
      <c r="AA211" s="93">
        <f>IF($B211="Yes",COUNTIF(Reference!S$52:S$67,$K211),"")</f>
        <v>0</v>
      </c>
      <c r="AB211" s="93">
        <f>IF($B211="Yes",COUNTIF(Reference!T$52:T$67,$K211),"")</f>
        <v>1</v>
      </c>
      <c r="AC211" s="93">
        <f t="shared" si="11"/>
        <v>0</v>
      </c>
    </row>
    <row r="212" spans="1:29" x14ac:dyDescent="0.25">
      <c r="A212" s="92">
        <v>302</v>
      </c>
      <c r="B212" s="95" t="str">
        <f t="shared" si="9"/>
        <v>Yes</v>
      </c>
      <c r="H212" s="92" t="str">
        <f t="shared" si="10"/>
        <v>PL1-302</v>
      </c>
      <c r="I212" s="98"/>
      <c r="J212" s="99" t="s">
        <v>309</v>
      </c>
      <c r="K212" s="99" t="s">
        <v>434</v>
      </c>
      <c r="L212" s="99" t="s">
        <v>13</v>
      </c>
      <c r="M212" s="99" t="s">
        <v>5</v>
      </c>
      <c r="N212" s="99" t="s">
        <v>897</v>
      </c>
      <c r="O212" s="99">
        <v>60</v>
      </c>
      <c r="P212" s="99" t="s">
        <v>995</v>
      </c>
      <c r="Q212" s="99"/>
      <c r="R212" s="99"/>
      <c r="S212" s="98"/>
      <c r="T212" s="93"/>
      <c r="U212" s="93"/>
      <c r="V212" s="93"/>
      <c r="W212" s="93"/>
      <c r="X212" s="93">
        <f>IF($B212="Yes",COUNTIF(Reference!P$52:P$67,$K212),"")</f>
        <v>1</v>
      </c>
      <c r="Y212" s="93">
        <f>IF($B212="Yes",COUNTIF(Reference!Q$52:Q$67,$K212),"")</f>
        <v>1</v>
      </c>
      <c r="Z212" s="93">
        <f>IF($B212="Yes",COUNTIF(Reference!R$52:R$67,$K212),"")</f>
        <v>0</v>
      </c>
      <c r="AA212" s="93">
        <f>IF($B212="Yes",COUNTIF(Reference!S$52:S$67,$K212),"")</f>
        <v>0</v>
      </c>
      <c r="AB212" s="93">
        <f>IF($B212="Yes",COUNTIF(Reference!T$52:T$67,$K212),"")</f>
        <v>0</v>
      </c>
      <c r="AC212" s="93">
        <f t="shared" si="11"/>
        <v>0</v>
      </c>
    </row>
    <row r="213" spans="1:29" x14ac:dyDescent="0.25">
      <c r="A213" s="92">
        <v>303</v>
      </c>
      <c r="B213" s="95" t="str">
        <f t="shared" si="9"/>
        <v>Yes</v>
      </c>
      <c r="H213" s="92" t="str">
        <f t="shared" si="10"/>
        <v>PL1-303</v>
      </c>
      <c r="I213" s="98"/>
      <c r="J213" s="99" t="s">
        <v>310</v>
      </c>
      <c r="K213" s="99" t="s">
        <v>5</v>
      </c>
      <c r="L213" s="99" t="s">
        <v>30</v>
      </c>
      <c r="M213" s="99" t="s">
        <v>5</v>
      </c>
      <c r="N213" s="99" t="s">
        <v>109</v>
      </c>
      <c r="O213" s="99">
        <v>100</v>
      </c>
      <c r="P213" s="99" t="s">
        <v>995</v>
      </c>
      <c r="Q213" s="99"/>
      <c r="R213" s="99"/>
      <c r="S213" s="98"/>
      <c r="T213" s="93"/>
      <c r="U213" s="93"/>
      <c r="V213" s="93"/>
      <c r="W213" s="93"/>
      <c r="X213" s="93">
        <f>IF($B213="Yes",COUNTIF(Reference!P$52:P$67,$K213),"")</f>
        <v>0</v>
      </c>
      <c r="Y213" s="93">
        <f>IF($B213="Yes",COUNTIF(Reference!Q$52:Q$67,$K213),"")</f>
        <v>0</v>
      </c>
      <c r="Z213" s="93">
        <f>IF($B213="Yes",COUNTIF(Reference!R$52:R$67,$K213),"")</f>
        <v>1</v>
      </c>
      <c r="AA213" s="93">
        <f>IF($B213="Yes",COUNTIF(Reference!S$52:S$67,$K213),"")</f>
        <v>0</v>
      </c>
      <c r="AB213" s="93">
        <f>IF($B213="Yes",COUNTIF(Reference!T$52:T$67,$K213),"")</f>
        <v>0</v>
      </c>
      <c r="AC213" s="93">
        <f t="shared" si="11"/>
        <v>0</v>
      </c>
    </row>
    <row r="214" spans="1:29" x14ac:dyDescent="0.25">
      <c r="A214" s="92">
        <v>304</v>
      </c>
      <c r="B214" s="95" t="str">
        <f t="shared" si="9"/>
        <v>Yes</v>
      </c>
      <c r="H214" s="92" t="str">
        <f t="shared" si="10"/>
        <v>PL1-304</v>
      </c>
      <c r="I214" s="98"/>
      <c r="J214" s="99" t="s">
        <v>311</v>
      </c>
      <c r="K214" s="99" t="s">
        <v>434</v>
      </c>
      <c r="L214" s="99" t="s">
        <v>13</v>
      </c>
      <c r="M214" s="99" t="s">
        <v>5</v>
      </c>
      <c r="N214" s="99" t="s">
        <v>134</v>
      </c>
      <c r="O214" s="99">
        <v>60</v>
      </c>
      <c r="P214" s="99" t="s">
        <v>995</v>
      </c>
      <c r="Q214" s="99"/>
      <c r="R214" s="99"/>
      <c r="S214" s="98"/>
      <c r="T214" s="93"/>
      <c r="U214" s="93"/>
      <c r="V214" s="93"/>
      <c r="W214" s="93"/>
      <c r="X214" s="93">
        <f>IF($B214="Yes",COUNTIF(Reference!P$52:P$67,$K214),"")</f>
        <v>1</v>
      </c>
      <c r="Y214" s="93">
        <f>IF($B214="Yes",COUNTIF(Reference!Q$52:Q$67,$K214),"")</f>
        <v>1</v>
      </c>
      <c r="Z214" s="93">
        <f>IF($B214="Yes",COUNTIF(Reference!R$52:R$67,$K214),"")</f>
        <v>0</v>
      </c>
      <c r="AA214" s="93">
        <f>IF($B214="Yes",COUNTIF(Reference!S$52:S$67,$K214),"")</f>
        <v>0</v>
      </c>
      <c r="AB214" s="93">
        <f>IF($B214="Yes",COUNTIF(Reference!T$52:T$67,$K214),"")</f>
        <v>0</v>
      </c>
      <c r="AC214" s="93">
        <f t="shared" si="11"/>
        <v>0</v>
      </c>
    </row>
    <row r="215" spans="1:29" x14ac:dyDescent="0.25">
      <c r="A215" s="92">
        <v>305</v>
      </c>
      <c r="B215" s="95" t="str">
        <f t="shared" si="9"/>
        <v>Yes</v>
      </c>
      <c r="H215" s="92" t="str">
        <f t="shared" si="10"/>
        <v>PL1-305</v>
      </c>
      <c r="I215" s="98"/>
      <c r="J215" s="99" t="s">
        <v>312</v>
      </c>
      <c r="K215" s="99" t="s">
        <v>420</v>
      </c>
      <c r="L215" s="99" t="s">
        <v>13</v>
      </c>
      <c r="M215" s="99" t="s">
        <v>380</v>
      </c>
      <c r="N215" s="99" t="s">
        <v>154</v>
      </c>
      <c r="O215" s="99">
        <v>60</v>
      </c>
      <c r="P215" s="99" t="s">
        <v>313</v>
      </c>
      <c r="Q215" s="99"/>
      <c r="R215" s="99"/>
      <c r="S215" s="98"/>
      <c r="T215" s="93"/>
      <c r="U215" s="93"/>
      <c r="V215" s="93"/>
      <c r="W215" s="93"/>
      <c r="X215" s="93">
        <f>IF($B215="Yes",COUNTIF(Reference!P$52:P$67,$K215),"")</f>
        <v>0</v>
      </c>
      <c r="Y215" s="93">
        <f>IF($B215="Yes",COUNTIF(Reference!Q$52:Q$67,$K215),"")</f>
        <v>0</v>
      </c>
      <c r="Z215" s="93">
        <f>IF($B215="Yes",COUNTIF(Reference!R$52:R$67,$K215),"")</f>
        <v>1</v>
      </c>
      <c r="AA215" s="93">
        <f>IF($B215="Yes",COUNTIF(Reference!S$52:S$67,$K215),"")</f>
        <v>1</v>
      </c>
      <c r="AB215" s="93">
        <f>IF($B215="Yes",COUNTIF(Reference!T$52:T$67,$K215),"")</f>
        <v>0</v>
      </c>
      <c r="AC215" s="93">
        <f t="shared" si="11"/>
        <v>0</v>
      </c>
    </row>
    <row r="216" spans="1:29" x14ac:dyDescent="0.25">
      <c r="A216" s="92">
        <v>306</v>
      </c>
      <c r="B216" s="95" t="str">
        <f t="shared" si="9"/>
        <v>Yes</v>
      </c>
      <c r="H216" s="92" t="str">
        <f t="shared" si="10"/>
        <v>PL1-306</v>
      </c>
      <c r="I216" s="98"/>
      <c r="J216" s="99" t="s">
        <v>314</v>
      </c>
      <c r="K216" s="99" t="s">
        <v>3</v>
      </c>
      <c r="L216" s="99" t="s">
        <v>13</v>
      </c>
      <c r="M216" s="99" t="s">
        <v>5</v>
      </c>
      <c r="N216" s="99" t="s">
        <v>1200</v>
      </c>
      <c r="O216" s="99">
        <v>60</v>
      </c>
      <c r="P216" s="99" t="s">
        <v>995</v>
      </c>
      <c r="Q216" s="99"/>
      <c r="R216" s="99"/>
      <c r="S216" s="98"/>
      <c r="T216" s="93"/>
      <c r="U216" s="93"/>
      <c r="V216" s="93"/>
      <c r="W216" s="93"/>
      <c r="X216" s="93">
        <f>IF($B216="Yes",COUNTIF(Reference!P$52:P$67,$K216),"")</f>
        <v>1</v>
      </c>
      <c r="Y216" s="93">
        <f>IF($B216="Yes",COUNTIF(Reference!Q$52:Q$67,$K216),"")</f>
        <v>0</v>
      </c>
      <c r="Z216" s="93">
        <f>IF($B216="Yes",COUNTIF(Reference!R$52:R$67,$K216),"")</f>
        <v>0</v>
      </c>
      <c r="AA216" s="93">
        <f>IF($B216="Yes",COUNTIF(Reference!S$52:S$67,$K216),"")</f>
        <v>0</v>
      </c>
      <c r="AB216" s="93">
        <f>IF($B216="Yes",COUNTIF(Reference!T$52:T$67,$K216),"")</f>
        <v>0</v>
      </c>
      <c r="AC216" s="93">
        <f t="shared" si="11"/>
        <v>0</v>
      </c>
    </row>
    <row r="217" spans="1:29" x14ac:dyDescent="0.25">
      <c r="A217" s="92">
        <v>307</v>
      </c>
      <c r="B217" s="95" t="str">
        <f t="shared" si="9"/>
        <v>Yes</v>
      </c>
      <c r="H217" s="92" t="str">
        <f t="shared" si="10"/>
        <v>PL1-307</v>
      </c>
      <c r="I217" s="98"/>
      <c r="J217" s="99" t="s">
        <v>89</v>
      </c>
      <c r="K217" s="99" t="s">
        <v>436</v>
      </c>
      <c r="L217" s="99" t="s">
        <v>1204</v>
      </c>
      <c r="M217" s="99" t="s">
        <v>807</v>
      </c>
      <c r="N217" s="99" t="s">
        <v>1205</v>
      </c>
      <c r="O217" s="99">
        <v>60</v>
      </c>
      <c r="P217" s="99" t="s">
        <v>995</v>
      </c>
      <c r="Q217" s="99"/>
      <c r="R217" s="99"/>
      <c r="S217" s="98"/>
      <c r="T217" s="93"/>
      <c r="U217" s="93"/>
      <c r="V217" s="93"/>
      <c r="W217" s="93"/>
      <c r="X217" s="93">
        <f>IF($B217="Yes",COUNTIF(Reference!P$52:P$67,$K217),"")</f>
        <v>1</v>
      </c>
      <c r="Y217" s="93">
        <f>IF($B217="Yes",COUNTIF(Reference!Q$52:Q$67,$K217),"")</f>
        <v>0</v>
      </c>
      <c r="Z217" s="93">
        <f>IF($B217="Yes",COUNTIF(Reference!R$52:R$67,$K217),"")</f>
        <v>0</v>
      </c>
      <c r="AA217" s="93">
        <f>IF($B217="Yes",COUNTIF(Reference!S$52:S$67,$K217),"")</f>
        <v>0</v>
      </c>
      <c r="AB217" s="93">
        <f>IF($B217="Yes",COUNTIF(Reference!T$52:T$67,$K217),"")</f>
        <v>1</v>
      </c>
      <c r="AC217" s="93">
        <f t="shared" si="11"/>
        <v>0</v>
      </c>
    </row>
    <row r="218" spans="1:29" x14ac:dyDescent="0.25">
      <c r="A218" s="92">
        <v>308</v>
      </c>
      <c r="B218" s="95" t="str">
        <f t="shared" si="9"/>
        <v>Yes</v>
      </c>
      <c r="H218" s="92" t="str">
        <f t="shared" si="10"/>
        <v>PL1-308</v>
      </c>
      <c r="I218" s="98"/>
      <c r="J218" s="99" t="s">
        <v>893</v>
      </c>
      <c r="K218" s="99" t="s">
        <v>4</v>
      </c>
      <c r="L218" s="99" t="s">
        <v>13</v>
      </c>
      <c r="M218" s="99" t="s">
        <v>807</v>
      </c>
      <c r="N218" s="99" t="s">
        <v>109</v>
      </c>
      <c r="O218" s="99">
        <v>60</v>
      </c>
      <c r="P218" s="99" t="s">
        <v>995</v>
      </c>
      <c r="Q218" s="99"/>
      <c r="R218" s="99"/>
      <c r="S218" s="98"/>
      <c r="T218" s="93"/>
      <c r="U218" s="93"/>
      <c r="V218" s="93"/>
      <c r="W218" s="93"/>
      <c r="X218" s="93">
        <f>IF($B218="Yes",COUNTIF(Reference!P$52:P$67,$K218),"")</f>
        <v>0</v>
      </c>
      <c r="Y218" s="93">
        <f>IF($B218="Yes",COUNTIF(Reference!Q$52:Q$67,$K218),"")</f>
        <v>1</v>
      </c>
      <c r="Z218" s="93">
        <f>IF($B218="Yes",COUNTIF(Reference!R$52:R$67,$K218),"")</f>
        <v>0</v>
      </c>
      <c r="AA218" s="93">
        <f>IF($B218="Yes",COUNTIF(Reference!S$52:S$67,$K218),"")</f>
        <v>0</v>
      </c>
      <c r="AB218" s="93">
        <f>IF($B218="Yes",COUNTIF(Reference!T$52:T$67,$K218),"")</f>
        <v>0</v>
      </c>
      <c r="AC218" s="93">
        <f t="shared" si="11"/>
        <v>0</v>
      </c>
    </row>
    <row r="219" spans="1:29" x14ac:dyDescent="0.25">
      <c r="A219" s="92">
        <v>309</v>
      </c>
      <c r="B219" s="95" t="str">
        <f t="shared" si="9"/>
        <v>Yes</v>
      </c>
      <c r="H219" s="92" t="str">
        <f t="shared" si="10"/>
        <v>PL1-309</v>
      </c>
      <c r="I219" s="98"/>
      <c r="J219" s="99" t="s">
        <v>315</v>
      </c>
      <c r="K219" s="99" t="s">
        <v>440</v>
      </c>
      <c r="L219" s="99" t="s">
        <v>13</v>
      </c>
      <c r="M219" s="99" t="s">
        <v>809</v>
      </c>
      <c r="N219" s="99" t="s">
        <v>1197</v>
      </c>
      <c r="O219" s="99">
        <v>60</v>
      </c>
      <c r="P219" s="99" t="s">
        <v>995</v>
      </c>
      <c r="Q219" s="99"/>
      <c r="R219" s="99"/>
      <c r="S219" s="98"/>
      <c r="T219" s="93"/>
      <c r="U219" s="93"/>
      <c r="V219" s="93"/>
      <c r="W219" s="93"/>
      <c r="X219" s="93">
        <f>IF($B219="Yes",COUNTIF(Reference!P$52:P$67,$K219),"")</f>
        <v>1</v>
      </c>
      <c r="Y219" s="93">
        <f>IF($B219="Yes",COUNTIF(Reference!Q$52:Q$67,$K219),"")</f>
        <v>0</v>
      </c>
      <c r="Z219" s="93">
        <f>IF($B219="Yes",COUNTIF(Reference!R$52:R$67,$K219),"")</f>
        <v>0</v>
      </c>
      <c r="AA219" s="93">
        <f>IF($B219="Yes",COUNTIF(Reference!S$52:S$67,$K219),"")</f>
        <v>1</v>
      </c>
      <c r="AB219" s="93">
        <f>IF($B219="Yes",COUNTIF(Reference!T$52:T$67,$K219),"")</f>
        <v>0</v>
      </c>
      <c r="AC219" s="93">
        <f t="shared" si="11"/>
        <v>0</v>
      </c>
    </row>
    <row r="220" spans="1:29" x14ac:dyDescent="0.25">
      <c r="A220" s="92">
        <v>310</v>
      </c>
      <c r="B220" s="95" t="str">
        <f t="shared" si="9"/>
        <v>Yes</v>
      </c>
      <c r="H220" s="92" t="str">
        <f t="shared" si="10"/>
        <v>PL1-310</v>
      </c>
      <c r="I220" s="98"/>
      <c r="J220" s="99" t="s">
        <v>316</v>
      </c>
      <c r="K220" s="99" t="s">
        <v>4</v>
      </c>
      <c r="L220" s="99" t="s">
        <v>13</v>
      </c>
      <c r="M220" s="99" t="s">
        <v>807</v>
      </c>
      <c r="N220" s="99" t="s">
        <v>175</v>
      </c>
      <c r="O220" s="99">
        <v>60</v>
      </c>
      <c r="P220" s="99" t="s">
        <v>995</v>
      </c>
      <c r="Q220" s="99"/>
      <c r="R220" s="99"/>
      <c r="S220" s="98"/>
      <c r="T220" s="93"/>
      <c r="U220" s="93"/>
      <c r="V220" s="93"/>
      <c r="W220" s="93"/>
      <c r="X220" s="93">
        <f>IF($B220="Yes",COUNTIF(Reference!P$52:P$67,$K220),"")</f>
        <v>0</v>
      </c>
      <c r="Y220" s="93">
        <f>IF($B220="Yes",COUNTIF(Reference!Q$52:Q$67,$K220),"")</f>
        <v>1</v>
      </c>
      <c r="Z220" s="93">
        <f>IF($B220="Yes",COUNTIF(Reference!R$52:R$67,$K220),"")</f>
        <v>0</v>
      </c>
      <c r="AA220" s="93">
        <f>IF($B220="Yes",COUNTIF(Reference!S$52:S$67,$K220),"")</f>
        <v>0</v>
      </c>
      <c r="AB220" s="93">
        <f>IF($B220="Yes",COUNTIF(Reference!T$52:T$67,$K220),"")</f>
        <v>0</v>
      </c>
      <c r="AC220" s="93">
        <f t="shared" si="11"/>
        <v>0</v>
      </c>
    </row>
    <row r="221" spans="1:29" x14ac:dyDescent="0.25">
      <c r="A221" s="92">
        <v>311</v>
      </c>
      <c r="B221" s="95" t="str">
        <f t="shared" si="9"/>
        <v>Yes</v>
      </c>
      <c r="H221" s="92" t="str">
        <f t="shared" si="10"/>
        <v>PL1-311</v>
      </c>
      <c r="I221" s="98"/>
      <c r="J221" s="99" t="s">
        <v>317</v>
      </c>
      <c r="K221" s="99" t="s">
        <v>437</v>
      </c>
      <c r="L221" s="99" t="s">
        <v>13</v>
      </c>
      <c r="M221" s="99" t="s">
        <v>5</v>
      </c>
      <c r="N221" s="99" t="s">
        <v>896</v>
      </c>
      <c r="O221" s="99">
        <v>60</v>
      </c>
      <c r="P221" s="99" t="s">
        <v>995</v>
      </c>
      <c r="Q221" s="99"/>
      <c r="R221" s="99"/>
      <c r="S221" s="98"/>
      <c r="T221" s="93"/>
      <c r="U221" s="93"/>
      <c r="V221" s="93"/>
      <c r="W221" s="93"/>
      <c r="X221" s="93">
        <f>IF($B221="Yes",COUNTIF(Reference!P$52:P$67,$K221),"")</f>
        <v>0</v>
      </c>
      <c r="Y221" s="93">
        <f>IF($B221="Yes",COUNTIF(Reference!Q$52:Q$67,$K221),"")</f>
        <v>1</v>
      </c>
      <c r="Z221" s="93">
        <f>IF($B221="Yes",COUNTIF(Reference!R$52:R$67,$K221),"")</f>
        <v>0</v>
      </c>
      <c r="AA221" s="93">
        <f>IF($B221="Yes",COUNTIF(Reference!S$52:S$67,$K221),"")</f>
        <v>0</v>
      </c>
      <c r="AB221" s="93">
        <f>IF($B221="Yes",COUNTIF(Reference!T$52:T$67,$K221),"")</f>
        <v>1</v>
      </c>
      <c r="AC221" s="93">
        <f t="shared" si="11"/>
        <v>0</v>
      </c>
    </row>
    <row r="222" spans="1:29" x14ac:dyDescent="0.25">
      <c r="A222" s="92">
        <v>312</v>
      </c>
      <c r="B222" s="95" t="str">
        <f t="shared" si="9"/>
        <v>Yes</v>
      </c>
      <c r="H222" s="92" t="str">
        <f t="shared" si="10"/>
        <v>PL1-312</v>
      </c>
      <c r="I222" s="98"/>
      <c r="J222" s="99" t="s">
        <v>318</v>
      </c>
      <c r="K222" s="99" t="s">
        <v>427</v>
      </c>
      <c r="L222" s="99" t="s">
        <v>13</v>
      </c>
      <c r="M222" s="99" t="s">
        <v>809</v>
      </c>
      <c r="N222" s="99" t="s">
        <v>1206</v>
      </c>
      <c r="O222" s="99">
        <v>60</v>
      </c>
      <c r="P222" s="99" t="s">
        <v>995</v>
      </c>
      <c r="Q222" s="99"/>
      <c r="R222" s="99"/>
      <c r="S222" s="98"/>
      <c r="T222" s="93"/>
      <c r="U222" s="93"/>
      <c r="V222" s="93"/>
      <c r="W222" s="93"/>
      <c r="X222" s="93">
        <f>IF($B222="Yes",COUNTIF(Reference!P$52:P$67,$K222),"")</f>
        <v>0</v>
      </c>
      <c r="Y222" s="93">
        <f>IF($B222="Yes",COUNTIF(Reference!Q$52:Q$67,$K222),"")</f>
        <v>1</v>
      </c>
      <c r="Z222" s="93">
        <f>IF($B222="Yes",COUNTIF(Reference!R$52:R$67,$K222),"")</f>
        <v>1</v>
      </c>
      <c r="AA222" s="93">
        <f>IF($B222="Yes",COUNTIF(Reference!S$52:S$67,$K222),"")</f>
        <v>1</v>
      </c>
      <c r="AB222" s="93">
        <f>IF($B222="Yes",COUNTIF(Reference!T$52:T$67,$K222),"")</f>
        <v>0</v>
      </c>
      <c r="AC222" s="93">
        <f t="shared" si="11"/>
        <v>0</v>
      </c>
    </row>
    <row r="223" spans="1:29" x14ac:dyDescent="0.25">
      <c r="A223" s="92">
        <v>313</v>
      </c>
      <c r="B223" s="95" t="str">
        <f t="shared" si="9"/>
        <v>Yes</v>
      </c>
      <c r="H223" s="92" t="str">
        <f t="shared" si="10"/>
        <v>PL1-313</v>
      </c>
      <c r="I223" s="98"/>
      <c r="J223" s="99" t="s">
        <v>319</v>
      </c>
      <c r="K223" s="99" t="s">
        <v>4</v>
      </c>
      <c r="L223" s="99" t="s">
        <v>13</v>
      </c>
      <c r="M223" s="99" t="s">
        <v>5</v>
      </c>
      <c r="N223" s="99" t="s">
        <v>114</v>
      </c>
      <c r="O223" s="99">
        <v>60</v>
      </c>
      <c r="P223" s="99" t="s">
        <v>995</v>
      </c>
      <c r="Q223" s="99"/>
      <c r="R223" s="99"/>
      <c r="S223" s="98"/>
      <c r="T223" s="93"/>
      <c r="U223" s="93"/>
      <c r="V223" s="93"/>
      <c r="W223" s="93"/>
      <c r="X223" s="93">
        <f>IF($B223="Yes",COUNTIF(Reference!P$52:P$67,$K223),"")</f>
        <v>0</v>
      </c>
      <c r="Y223" s="93">
        <f>IF($B223="Yes",COUNTIF(Reference!Q$52:Q$67,$K223),"")</f>
        <v>1</v>
      </c>
      <c r="Z223" s="93">
        <f>IF($B223="Yes",COUNTIF(Reference!R$52:R$67,$K223),"")</f>
        <v>0</v>
      </c>
      <c r="AA223" s="93">
        <f>IF($B223="Yes",COUNTIF(Reference!S$52:S$67,$K223),"")</f>
        <v>0</v>
      </c>
      <c r="AB223" s="93">
        <f>IF($B223="Yes",COUNTIF(Reference!T$52:T$67,$K223),"")</f>
        <v>0</v>
      </c>
      <c r="AC223" s="93">
        <f t="shared" si="11"/>
        <v>0</v>
      </c>
    </row>
    <row r="224" spans="1:29" x14ac:dyDescent="0.25">
      <c r="A224" s="92">
        <v>314</v>
      </c>
      <c r="B224" s="95" t="str">
        <f t="shared" si="9"/>
        <v>Yes</v>
      </c>
      <c r="H224" s="92" t="str">
        <f t="shared" si="10"/>
        <v>PL1-314</v>
      </c>
      <c r="I224" s="98"/>
      <c r="J224" s="99" t="s">
        <v>320</v>
      </c>
      <c r="K224" s="99" t="s">
        <v>5</v>
      </c>
      <c r="L224" s="99" t="s">
        <v>13</v>
      </c>
      <c r="M224" s="99" t="s">
        <v>807</v>
      </c>
      <c r="N224" s="99" t="s">
        <v>1203</v>
      </c>
      <c r="O224" s="99">
        <v>60</v>
      </c>
      <c r="P224" s="99" t="s">
        <v>995</v>
      </c>
      <c r="Q224" s="99"/>
      <c r="R224" s="99"/>
      <c r="S224" s="98"/>
      <c r="T224" s="93"/>
      <c r="U224" s="93"/>
      <c r="V224" s="93"/>
      <c r="W224" s="93"/>
      <c r="X224" s="93">
        <f>IF($B224="Yes",COUNTIF(Reference!P$52:P$67,$K224),"")</f>
        <v>0</v>
      </c>
      <c r="Y224" s="93">
        <f>IF($B224="Yes",COUNTIF(Reference!Q$52:Q$67,$K224),"")</f>
        <v>0</v>
      </c>
      <c r="Z224" s="93">
        <f>IF($B224="Yes",COUNTIF(Reference!R$52:R$67,$K224),"")</f>
        <v>1</v>
      </c>
      <c r="AA224" s="93">
        <f>IF($B224="Yes",COUNTIF(Reference!S$52:S$67,$K224),"")</f>
        <v>0</v>
      </c>
      <c r="AB224" s="93">
        <f>IF($B224="Yes",COUNTIF(Reference!T$52:T$67,$K224),"")</f>
        <v>0</v>
      </c>
      <c r="AC224" s="93">
        <f t="shared" si="11"/>
        <v>0</v>
      </c>
    </row>
    <row r="225" spans="1:29" x14ac:dyDescent="0.25">
      <c r="A225" s="92">
        <v>315</v>
      </c>
      <c r="B225" s="95" t="str">
        <f t="shared" si="9"/>
        <v>Yes</v>
      </c>
      <c r="H225" s="92" t="str">
        <f t="shared" si="10"/>
        <v>PL1-315</v>
      </c>
      <c r="I225" s="98"/>
      <c r="J225" s="99" t="s">
        <v>321</v>
      </c>
      <c r="K225" s="99" t="s">
        <v>427</v>
      </c>
      <c r="L225" s="99" t="s">
        <v>30</v>
      </c>
      <c r="M225" s="99" t="s">
        <v>809</v>
      </c>
      <c r="N225" s="99" t="s">
        <v>116</v>
      </c>
      <c r="O225" s="99">
        <v>100</v>
      </c>
      <c r="P225" s="99" t="s">
        <v>995</v>
      </c>
      <c r="Q225" s="99"/>
      <c r="R225" s="99"/>
      <c r="S225" s="98"/>
      <c r="T225" s="93"/>
      <c r="U225" s="93"/>
      <c r="V225" s="93"/>
      <c r="W225" s="93"/>
      <c r="X225" s="93">
        <f>IF($B225="Yes",COUNTIF(Reference!P$52:P$67,$K225),"")</f>
        <v>0</v>
      </c>
      <c r="Y225" s="93">
        <f>IF($B225="Yes",COUNTIF(Reference!Q$52:Q$67,$K225),"")</f>
        <v>1</v>
      </c>
      <c r="Z225" s="93">
        <f>IF($B225="Yes",COUNTIF(Reference!R$52:R$67,$K225),"")</f>
        <v>1</v>
      </c>
      <c r="AA225" s="93">
        <f>IF($B225="Yes",COUNTIF(Reference!S$52:S$67,$K225),"")</f>
        <v>1</v>
      </c>
      <c r="AB225" s="93">
        <f>IF($B225="Yes",COUNTIF(Reference!T$52:T$67,$K225),"")</f>
        <v>0</v>
      </c>
      <c r="AC225" s="93">
        <f t="shared" si="11"/>
        <v>0</v>
      </c>
    </row>
    <row r="226" spans="1:29" x14ac:dyDescent="0.25">
      <c r="A226" s="92">
        <v>316</v>
      </c>
      <c r="B226" s="95" t="str">
        <f t="shared" si="9"/>
        <v>Yes</v>
      </c>
      <c r="H226" s="92" t="str">
        <f t="shared" si="10"/>
        <v>PL1-316</v>
      </c>
      <c r="I226" s="98"/>
      <c r="J226" s="99" t="s">
        <v>322</v>
      </c>
      <c r="K226" s="99" t="s">
        <v>450</v>
      </c>
      <c r="L226" s="99" t="s">
        <v>30</v>
      </c>
      <c r="M226" s="99" t="s">
        <v>809</v>
      </c>
      <c r="N226" s="99" t="s">
        <v>116</v>
      </c>
      <c r="O226" s="99">
        <v>100</v>
      </c>
      <c r="P226" s="99" t="s">
        <v>995</v>
      </c>
      <c r="Q226" s="99"/>
      <c r="R226" s="99"/>
      <c r="S226" s="98"/>
      <c r="T226" s="93"/>
      <c r="U226" s="93"/>
      <c r="V226" s="93"/>
      <c r="W226" s="93"/>
      <c r="X226" s="93">
        <f>IF($B226="Yes",COUNTIF(Reference!P$52:P$67,$K226),"")</f>
        <v>1</v>
      </c>
      <c r="Y226" s="93">
        <f>IF($B226="Yes",COUNTIF(Reference!Q$52:Q$67,$K226),"")</f>
        <v>1</v>
      </c>
      <c r="Z226" s="93">
        <f>IF($B226="Yes",COUNTIF(Reference!R$52:R$67,$K226),"")</f>
        <v>1</v>
      </c>
      <c r="AA226" s="93">
        <f>IF($B226="Yes",COUNTIF(Reference!S$52:S$67,$K226),"")</f>
        <v>0</v>
      </c>
      <c r="AB226" s="93">
        <f>IF($B226="Yes",COUNTIF(Reference!T$52:T$67,$K226),"")</f>
        <v>0</v>
      </c>
      <c r="AC226" s="93">
        <f t="shared" si="11"/>
        <v>0</v>
      </c>
    </row>
    <row r="227" spans="1:29" x14ac:dyDescent="0.25">
      <c r="A227" s="92">
        <v>317</v>
      </c>
      <c r="B227" s="95" t="str">
        <f t="shared" si="9"/>
        <v>Yes</v>
      </c>
      <c r="H227" s="92" t="str">
        <f t="shared" si="10"/>
        <v>PL1-317</v>
      </c>
      <c r="I227" s="98"/>
      <c r="J227" s="99" t="s">
        <v>323</v>
      </c>
      <c r="K227" s="99" t="s">
        <v>462</v>
      </c>
      <c r="L227" s="99" t="s">
        <v>30</v>
      </c>
      <c r="M227" s="99" t="s">
        <v>809</v>
      </c>
      <c r="N227" s="99" t="s">
        <v>116</v>
      </c>
      <c r="O227" s="99">
        <v>100</v>
      </c>
      <c r="P227" s="99" t="s">
        <v>995</v>
      </c>
      <c r="Q227" s="99"/>
      <c r="R227" s="99"/>
      <c r="S227" s="98"/>
      <c r="T227" s="93"/>
      <c r="U227" s="93"/>
      <c r="V227" s="93"/>
      <c r="W227" s="93"/>
      <c r="X227" s="93">
        <f>IF($B227="Yes",COUNTIF(Reference!P$52:P$67,$K227),"")</f>
        <v>1</v>
      </c>
      <c r="Y227" s="93">
        <f>IF($B227="Yes",COUNTIF(Reference!Q$52:Q$67,$K227),"")</f>
        <v>1</v>
      </c>
      <c r="Z227" s="93">
        <f>IF($B227="Yes",COUNTIF(Reference!R$52:R$67,$K227),"")</f>
        <v>0</v>
      </c>
      <c r="AA227" s="93">
        <f>IF($B227="Yes",COUNTIF(Reference!S$52:S$67,$K227),"")</f>
        <v>0</v>
      </c>
      <c r="AB227" s="93">
        <f>IF($B227="Yes",COUNTIF(Reference!T$52:T$67,$K227),"")</f>
        <v>1</v>
      </c>
      <c r="AC227" s="93">
        <f t="shared" si="11"/>
        <v>0</v>
      </c>
    </row>
    <row r="228" spans="1:29" x14ac:dyDescent="0.25">
      <c r="A228" s="92">
        <v>318</v>
      </c>
      <c r="B228" s="95" t="str">
        <f t="shared" si="9"/>
        <v>Yes</v>
      </c>
      <c r="H228" s="92" t="str">
        <f t="shared" si="10"/>
        <v>PL1-318</v>
      </c>
      <c r="I228" s="98"/>
      <c r="J228" s="99" t="s">
        <v>324</v>
      </c>
      <c r="K228" s="99" t="s">
        <v>437</v>
      </c>
      <c r="L228" s="99" t="s">
        <v>13</v>
      </c>
      <c r="M228" s="99" t="s">
        <v>807</v>
      </c>
      <c r="N228" s="99" t="s">
        <v>1200</v>
      </c>
      <c r="O228" s="99">
        <v>60</v>
      </c>
      <c r="P228" s="99" t="s">
        <v>995</v>
      </c>
      <c r="Q228" s="99"/>
      <c r="R228" s="99"/>
      <c r="S228" s="98"/>
      <c r="T228" s="93"/>
      <c r="U228" s="93"/>
      <c r="V228" s="93"/>
      <c r="W228" s="93"/>
      <c r="X228" s="93">
        <f>IF($B228="Yes",COUNTIF(Reference!P$52:P$67,$K228),"")</f>
        <v>0</v>
      </c>
      <c r="Y228" s="93">
        <f>IF($B228="Yes",COUNTIF(Reference!Q$52:Q$67,$K228),"")</f>
        <v>1</v>
      </c>
      <c r="Z228" s="93">
        <f>IF($B228="Yes",COUNTIF(Reference!R$52:R$67,$K228),"")</f>
        <v>0</v>
      </c>
      <c r="AA228" s="93">
        <f>IF($B228="Yes",COUNTIF(Reference!S$52:S$67,$K228),"")</f>
        <v>0</v>
      </c>
      <c r="AB228" s="93">
        <f>IF($B228="Yes",COUNTIF(Reference!T$52:T$67,$K228),"")</f>
        <v>1</v>
      </c>
      <c r="AC228" s="93">
        <f t="shared" si="11"/>
        <v>0</v>
      </c>
    </row>
    <row r="229" spans="1:29" x14ac:dyDescent="0.25">
      <c r="A229" s="92">
        <v>319</v>
      </c>
      <c r="B229" s="95" t="str">
        <f t="shared" si="9"/>
        <v>Yes</v>
      </c>
      <c r="H229" s="92" t="str">
        <f t="shared" si="10"/>
        <v>PL1-319</v>
      </c>
      <c r="I229" s="98"/>
      <c r="J229" s="99" t="s">
        <v>325</v>
      </c>
      <c r="K229" s="99" t="s">
        <v>462</v>
      </c>
      <c r="L229" s="99" t="s">
        <v>13</v>
      </c>
      <c r="M229" s="99" t="s">
        <v>809</v>
      </c>
      <c r="N229" s="99" t="s">
        <v>1203</v>
      </c>
      <c r="O229" s="99">
        <v>60</v>
      </c>
      <c r="P229" s="99" t="s">
        <v>995</v>
      </c>
      <c r="Q229" s="99"/>
      <c r="R229" s="99"/>
      <c r="S229" s="98"/>
      <c r="T229" s="93"/>
      <c r="U229" s="93"/>
      <c r="V229" s="93"/>
      <c r="W229" s="93"/>
      <c r="X229" s="93">
        <f>IF($B229="Yes",COUNTIF(Reference!P$52:P$67,$K229),"")</f>
        <v>1</v>
      </c>
      <c r="Y229" s="93">
        <f>IF($B229="Yes",COUNTIF(Reference!Q$52:Q$67,$K229),"")</f>
        <v>1</v>
      </c>
      <c r="Z229" s="93">
        <f>IF($B229="Yes",COUNTIF(Reference!R$52:R$67,$K229),"")</f>
        <v>0</v>
      </c>
      <c r="AA229" s="93">
        <f>IF($B229="Yes",COUNTIF(Reference!S$52:S$67,$K229),"")</f>
        <v>0</v>
      </c>
      <c r="AB229" s="93">
        <f>IF($B229="Yes",COUNTIF(Reference!T$52:T$67,$K229),"")</f>
        <v>1</v>
      </c>
      <c r="AC229" s="93">
        <f t="shared" si="11"/>
        <v>0</v>
      </c>
    </row>
    <row r="230" spans="1:29" x14ac:dyDescent="0.25">
      <c r="A230" s="92">
        <v>320</v>
      </c>
      <c r="B230" s="95" t="str">
        <f t="shared" si="9"/>
        <v>Yes</v>
      </c>
      <c r="H230" s="92" t="str">
        <f t="shared" si="10"/>
        <v>PL1-320</v>
      </c>
      <c r="I230" s="98"/>
      <c r="J230" s="99" t="s">
        <v>326</v>
      </c>
      <c r="K230" s="99" t="s">
        <v>453</v>
      </c>
      <c r="L230" s="99" t="s">
        <v>13</v>
      </c>
      <c r="M230" s="99" t="s">
        <v>809</v>
      </c>
      <c r="N230" s="99" t="s">
        <v>1197</v>
      </c>
      <c r="O230" s="99">
        <v>60</v>
      </c>
      <c r="P230" s="99" t="s">
        <v>995</v>
      </c>
      <c r="Q230" s="99"/>
      <c r="R230" s="99"/>
      <c r="S230" s="98"/>
      <c r="T230" s="93"/>
      <c r="U230" s="93"/>
      <c r="V230" s="93"/>
      <c r="W230" s="93"/>
      <c r="X230" s="93">
        <f>IF($B230="Yes",COUNTIF(Reference!P$52:P$67,$K230),"")</f>
        <v>1</v>
      </c>
      <c r="Y230" s="93">
        <f>IF($B230="Yes",COUNTIF(Reference!Q$52:Q$67,$K230),"")</f>
        <v>1</v>
      </c>
      <c r="Z230" s="93">
        <f>IF($B230="Yes",COUNTIF(Reference!R$52:R$67,$K230),"")</f>
        <v>1</v>
      </c>
      <c r="AA230" s="93">
        <f>IF($B230="Yes",COUNTIF(Reference!S$52:S$67,$K230),"")</f>
        <v>0</v>
      </c>
      <c r="AB230" s="93">
        <f>IF($B230="Yes",COUNTIF(Reference!T$52:T$67,$K230),"")</f>
        <v>1</v>
      </c>
      <c r="AC230" s="93">
        <f t="shared" si="11"/>
        <v>0</v>
      </c>
    </row>
    <row r="231" spans="1:29" x14ac:dyDescent="0.25">
      <c r="A231" s="92">
        <v>321</v>
      </c>
      <c r="B231" s="95" t="str">
        <f t="shared" si="9"/>
        <v>Yes</v>
      </c>
      <c r="H231" s="92" t="str">
        <f t="shared" si="10"/>
        <v>PL1-321</v>
      </c>
      <c r="I231" s="98"/>
      <c r="J231" s="99" t="s">
        <v>327</v>
      </c>
      <c r="K231" s="99" t="s">
        <v>423</v>
      </c>
      <c r="L231" s="99" t="s">
        <v>13</v>
      </c>
      <c r="M231" s="99" t="s">
        <v>808</v>
      </c>
      <c r="N231" s="99" t="s">
        <v>109</v>
      </c>
      <c r="O231" s="99">
        <v>60</v>
      </c>
      <c r="P231" s="99" t="s">
        <v>995</v>
      </c>
      <c r="Q231" s="99"/>
      <c r="R231" s="99"/>
      <c r="S231" s="98"/>
      <c r="T231" s="93"/>
      <c r="U231" s="93"/>
      <c r="V231" s="93"/>
      <c r="W231" s="93"/>
      <c r="X231" s="93">
        <f>IF($B231="Yes",COUNTIF(Reference!P$52:P$67,$K231),"")</f>
        <v>0</v>
      </c>
      <c r="Y231" s="93">
        <f>IF($B231="Yes",COUNTIF(Reference!Q$52:Q$67,$K231),"")</f>
        <v>1</v>
      </c>
      <c r="Z231" s="93">
        <f>IF($B231="Yes",COUNTIF(Reference!R$52:R$67,$K231),"")</f>
        <v>1</v>
      </c>
      <c r="AA231" s="93">
        <f>IF($B231="Yes",COUNTIF(Reference!S$52:S$67,$K231),"")</f>
        <v>0</v>
      </c>
      <c r="AB231" s="93">
        <f>IF($B231="Yes",COUNTIF(Reference!T$52:T$67,$K231),"")</f>
        <v>1</v>
      </c>
      <c r="AC231" s="93">
        <f t="shared" si="11"/>
        <v>0</v>
      </c>
    </row>
    <row r="232" spans="1:29" x14ac:dyDescent="0.25">
      <c r="A232" s="92">
        <v>322</v>
      </c>
      <c r="B232" s="95" t="str">
        <f t="shared" si="9"/>
        <v>Yes</v>
      </c>
      <c r="H232" s="92" t="str">
        <f t="shared" si="10"/>
        <v>PL1-322</v>
      </c>
      <c r="I232" s="98"/>
      <c r="J232" s="99" t="s">
        <v>328</v>
      </c>
      <c r="K232" s="99" t="s">
        <v>4</v>
      </c>
      <c r="L232" s="99" t="s">
        <v>13</v>
      </c>
      <c r="M232" s="99" t="s">
        <v>807</v>
      </c>
      <c r="N232" s="99" t="s">
        <v>108</v>
      </c>
      <c r="O232" s="99">
        <v>60</v>
      </c>
      <c r="P232" s="99" t="s">
        <v>995</v>
      </c>
      <c r="Q232" s="99"/>
      <c r="R232" s="99"/>
      <c r="S232" s="98"/>
      <c r="T232" s="93"/>
      <c r="U232" s="93"/>
      <c r="V232" s="93"/>
      <c r="W232" s="93"/>
      <c r="X232" s="93">
        <f>IF($B232="Yes",COUNTIF(Reference!P$52:P$67,$K232),"")</f>
        <v>0</v>
      </c>
      <c r="Y232" s="93">
        <f>IF($B232="Yes",COUNTIF(Reference!Q$52:Q$67,$K232),"")</f>
        <v>1</v>
      </c>
      <c r="Z232" s="93">
        <f>IF($B232="Yes",COUNTIF(Reference!R$52:R$67,$K232),"")</f>
        <v>0</v>
      </c>
      <c r="AA232" s="93">
        <f>IF($B232="Yes",COUNTIF(Reference!S$52:S$67,$K232),"")</f>
        <v>0</v>
      </c>
      <c r="AB232" s="93">
        <f>IF($B232="Yes",COUNTIF(Reference!T$52:T$67,$K232),"")</f>
        <v>0</v>
      </c>
      <c r="AC232" s="93">
        <f t="shared" si="11"/>
        <v>0</v>
      </c>
    </row>
    <row r="233" spans="1:29" x14ac:dyDescent="0.25">
      <c r="A233" s="92">
        <v>323</v>
      </c>
      <c r="B233" s="95" t="str">
        <f t="shared" si="9"/>
        <v>Yes</v>
      </c>
      <c r="H233" s="92" t="str">
        <f t="shared" si="10"/>
        <v>PL1-323</v>
      </c>
      <c r="I233" s="98"/>
      <c r="J233" s="99" t="s">
        <v>998</v>
      </c>
      <c r="K233" s="99" t="s">
        <v>5</v>
      </c>
      <c r="L233" s="99" t="s">
        <v>13</v>
      </c>
      <c r="M233" s="99" t="s">
        <v>807</v>
      </c>
      <c r="N233" s="99" t="s">
        <v>992</v>
      </c>
      <c r="O233" s="99">
        <v>60</v>
      </c>
      <c r="P233" s="99" t="s">
        <v>995</v>
      </c>
      <c r="Q233" s="99"/>
      <c r="R233" s="99"/>
      <c r="S233" s="98"/>
      <c r="T233" s="93"/>
      <c r="U233" s="93"/>
      <c r="V233" s="93"/>
      <c r="W233" s="93"/>
      <c r="X233" s="93">
        <f>IF($B233="Yes",COUNTIF(Reference!P$52:P$67,$K233),"")</f>
        <v>0</v>
      </c>
      <c r="Y233" s="93">
        <f>IF($B233="Yes",COUNTIF(Reference!Q$52:Q$67,$K233),"")</f>
        <v>0</v>
      </c>
      <c r="Z233" s="93">
        <f>IF($B233="Yes",COUNTIF(Reference!R$52:R$67,$K233),"")</f>
        <v>1</v>
      </c>
      <c r="AA233" s="93">
        <f>IF($B233="Yes",COUNTIF(Reference!S$52:S$67,$K233),"")</f>
        <v>0</v>
      </c>
      <c r="AB233" s="93">
        <f>IF($B233="Yes",COUNTIF(Reference!T$52:T$67,$K233),"")</f>
        <v>0</v>
      </c>
      <c r="AC233" s="93">
        <f t="shared" si="11"/>
        <v>0</v>
      </c>
    </row>
    <row r="234" spans="1:29" x14ac:dyDescent="0.25">
      <c r="A234" s="92">
        <v>324</v>
      </c>
      <c r="B234" s="95" t="str">
        <f t="shared" si="9"/>
        <v>Yes</v>
      </c>
      <c r="H234" s="92" t="str">
        <f t="shared" si="10"/>
        <v>PL1-324</v>
      </c>
      <c r="I234" s="98"/>
      <c r="J234" s="99" t="s">
        <v>999</v>
      </c>
      <c r="K234" s="99" t="s">
        <v>426</v>
      </c>
      <c r="L234" s="99" t="s">
        <v>1204</v>
      </c>
      <c r="M234" s="99" t="s">
        <v>807</v>
      </c>
      <c r="N234" s="99" t="s">
        <v>895</v>
      </c>
      <c r="O234" s="99">
        <v>60</v>
      </c>
      <c r="P234" s="99" t="s">
        <v>995</v>
      </c>
      <c r="Q234" s="99"/>
      <c r="R234" s="99"/>
      <c r="S234" s="98"/>
      <c r="T234" s="93"/>
      <c r="U234" s="93"/>
      <c r="V234" s="93"/>
      <c r="W234" s="93"/>
      <c r="X234" s="93">
        <f>IF($B234="Yes",COUNTIF(Reference!P$52:P$67,$K234),"")</f>
        <v>1</v>
      </c>
      <c r="Y234" s="93">
        <f>IF($B234="Yes",COUNTIF(Reference!Q$52:Q$67,$K234),"")</f>
        <v>0</v>
      </c>
      <c r="Z234" s="93">
        <f>IF($B234="Yes",COUNTIF(Reference!R$52:R$67,$K234),"")</f>
        <v>1</v>
      </c>
      <c r="AA234" s="93">
        <f>IF($B234="Yes",COUNTIF(Reference!S$52:S$67,$K234),"")</f>
        <v>1</v>
      </c>
      <c r="AB234" s="93">
        <f>IF($B234="Yes",COUNTIF(Reference!T$52:T$67,$K234),"")</f>
        <v>0</v>
      </c>
      <c r="AC234" s="93">
        <f t="shared" si="11"/>
        <v>0</v>
      </c>
    </row>
    <row r="235" spans="1:29" x14ac:dyDescent="0.25">
      <c r="A235" s="92">
        <v>325</v>
      </c>
      <c r="B235" s="95" t="str">
        <f t="shared" si="9"/>
        <v>Yes</v>
      </c>
      <c r="H235" s="92" t="str">
        <f t="shared" si="10"/>
        <v>PL1-325</v>
      </c>
      <c r="I235" s="98"/>
      <c r="J235" s="99" t="s">
        <v>329</v>
      </c>
      <c r="K235" s="99" t="s">
        <v>424</v>
      </c>
      <c r="L235" s="99" t="s">
        <v>13</v>
      </c>
      <c r="M235" s="99" t="s">
        <v>5</v>
      </c>
      <c r="N235" s="99" t="s">
        <v>992</v>
      </c>
      <c r="O235" s="99">
        <v>60</v>
      </c>
      <c r="P235" s="99" t="s">
        <v>995</v>
      </c>
      <c r="Q235" s="99"/>
      <c r="R235" s="99"/>
      <c r="S235" s="98"/>
      <c r="T235" s="93"/>
      <c r="U235" s="93"/>
      <c r="V235" s="93"/>
      <c r="W235" s="93"/>
      <c r="X235" s="93">
        <f>IF($B235="Yes",COUNTIF(Reference!P$52:P$67,$K235),"")</f>
        <v>0</v>
      </c>
      <c r="Y235" s="93">
        <f>IF($B235="Yes",COUNTIF(Reference!Q$52:Q$67,$K235),"")</f>
        <v>0</v>
      </c>
      <c r="Z235" s="93">
        <f>IF($B235="Yes",COUNTIF(Reference!R$52:R$67,$K235),"")</f>
        <v>1</v>
      </c>
      <c r="AA235" s="93">
        <f>IF($B235="Yes",COUNTIF(Reference!S$52:S$67,$K235),"")</f>
        <v>1</v>
      </c>
      <c r="AB235" s="93">
        <f>IF($B235="Yes",COUNTIF(Reference!T$52:T$67,$K235),"")</f>
        <v>1</v>
      </c>
      <c r="AC235" s="93">
        <f t="shared" si="11"/>
        <v>0</v>
      </c>
    </row>
    <row r="236" spans="1:29" x14ac:dyDescent="0.25">
      <c r="A236" s="92">
        <v>326</v>
      </c>
      <c r="B236" s="95" t="str">
        <f t="shared" si="9"/>
        <v>Yes</v>
      </c>
      <c r="H236" s="92" t="str">
        <f t="shared" si="10"/>
        <v>PL1-326</v>
      </c>
      <c r="I236" s="98"/>
      <c r="J236" s="99" t="s">
        <v>330</v>
      </c>
      <c r="K236" s="99" t="s">
        <v>434</v>
      </c>
      <c r="L236" s="99" t="s">
        <v>13</v>
      </c>
      <c r="M236" s="99" t="s">
        <v>5</v>
      </c>
      <c r="N236" s="99" t="s">
        <v>116</v>
      </c>
      <c r="O236" s="99">
        <v>60</v>
      </c>
      <c r="P236" s="99" t="s">
        <v>995</v>
      </c>
      <c r="Q236" s="99"/>
      <c r="R236" s="99"/>
      <c r="S236" s="98"/>
      <c r="T236" s="93"/>
      <c r="U236" s="93"/>
      <c r="V236" s="93"/>
      <c r="W236" s="93"/>
      <c r="X236" s="93">
        <f>IF($B236="Yes",COUNTIF(Reference!P$52:P$67,$K236),"")</f>
        <v>1</v>
      </c>
      <c r="Y236" s="93">
        <f>IF($B236="Yes",COUNTIF(Reference!Q$52:Q$67,$K236),"")</f>
        <v>1</v>
      </c>
      <c r="Z236" s="93">
        <f>IF($B236="Yes",COUNTIF(Reference!R$52:R$67,$K236),"")</f>
        <v>0</v>
      </c>
      <c r="AA236" s="93">
        <f>IF($B236="Yes",COUNTIF(Reference!S$52:S$67,$K236),"")</f>
        <v>0</v>
      </c>
      <c r="AB236" s="93">
        <f>IF($B236="Yes",COUNTIF(Reference!T$52:T$67,$K236),"")</f>
        <v>0</v>
      </c>
      <c r="AC236" s="93">
        <f t="shared" si="11"/>
        <v>0</v>
      </c>
    </row>
    <row r="237" spans="1:29" x14ac:dyDescent="0.25">
      <c r="A237" s="92">
        <v>327</v>
      </c>
      <c r="B237" s="95" t="str">
        <f t="shared" si="9"/>
        <v>Yes</v>
      </c>
      <c r="H237" s="92" t="str">
        <f t="shared" si="10"/>
        <v>PL1-327</v>
      </c>
      <c r="I237" s="98"/>
      <c r="J237" s="99" t="s">
        <v>331</v>
      </c>
      <c r="K237" s="99" t="s">
        <v>459</v>
      </c>
      <c r="L237" s="99" t="s">
        <v>13</v>
      </c>
      <c r="M237" s="99" t="s">
        <v>5</v>
      </c>
      <c r="N237" s="99" t="s">
        <v>1197</v>
      </c>
      <c r="O237" s="99">
        <v>60</v>
      </c>
      <c r="P237" s="99" t="s">
        <v>332</v>
      </c>
      <c r="Q237" s="99"/>
      <c r="R237" s="99"/>
      <c r="S237" s="98"/>
      <c r="T237" s="93"/>
      <c r="U237" s="93"/>
      <c r="V237" s="93"/>
      <c r="W237" s="93"/>
      <c r="X237" s="93">
        <f>IF($B237="Yes",COUNTIF(Reference!P$52:P$67,$K237),"")</f>
        <v>1</v>
      </c>
      <c r="Y237" s="93">
        <f>IF($B237="Yes",COUNTIF(Reference!Q$52:Q$67,$K237),"")</f>
        <v>1</v>
      </c>
      <c r="Z237" s="93">
        <f>IF($B237="Yes",COUNTIF(Reference!R$52:R$67,$K237),"")</f>
        <v>1</v>
      </c>
      <c r="AA237" s="93">
        <f>IF($B237="Yes",COUNTIF(Reference!S$52:S$67,$K237),"")</f>
        <v>1</v>
      </c>
      <c r="AB237" s="93">
        <f>IF($B237="Yes",COUNTIF(Reference!T$52:T$67,$K237),"")</f>
        <v>1</v>
      </c>
      <c r="AC237" s="93">
        <f t="shared" si="11"/>
        <v>0</v>
      </c>
    </row>
    <row r="238" spans="1:29" x14ac:dyDescent="0.25">
      <c r="A238" s="92">
        <v>328</v>
      </c>
      <c r="B238" s="95" t="str">
        <f t="shared" si="9"/>
        <v>Yes</v>
      </c>
      <c r="H238" s="92" t="str">
        <f t="shared" si="10"/>
        <v>PL1-328</v>
      </c>
      <c r="I238" s="98"/>
      <c r="J238" s="99" t="s">
        <v>1215</v>
      </c>
      <c r="K238" s="99" t="s">
        <v>424</v>
      </c>
      <c r="L238" s="99" t="s">
        <v>30</v>
      </c>
      <c r="M238" s="99" t="s">
        <v>809</v>
      </c>
      <c r="N238" s="99" t="s">
        <v>896</v>
      </c>
      <c r="O238" s="99">
        <v>100</v>
      </c>
      <c r="P238" s="99" t="s">
        <v>995</v>
      </c>
      <c r="Q238" s="99"/>
      <c r="R238" s="99"/>
      <c r="S238" s="98"/>
      <c r="T238" s="93"/>
      <c r="U238" s="93"/>
      <c r="V238" s="93"/>
      <c r="W238" s="93"/>
      <c r="X238" s="93">
        <f>IF($B238="Yes",COUNTIF(Reference!P$52:P$67,$K238),"")</f>
        <v>0</v>
      </c>
      <c r="Y238" s="93">
        <f>IF($B238="Yes",COUNTIF(Reference!Q$52:Q$67,$K238),"")</f>
        <v>0</v>
      </c>
      <c r="Z238" s="93">
        <f>IF($B238="Yes",COUNTIF(Reference!R$52:R$67,$K238),"")</f>
        <v>1</v>
      </c>
      <c r="AA238" s="93">
        <f>IF($B238="Yes",COUNTIF(Reference!S$52:S$67,$K238),"")</f>
        <v>1</v>
      </c>
      <c r="AB238" s="93">
        <f>IF($B238="Yes",COUNTIF(Reference!T$52:T$67,$K238),"")</f>
        <v>1</v>
      </c>
      <c r="AC238" s="93">
        <f t="shared" si="11"/>
        <v>0</v>
      </c>
    </row>
    <row r="239" spans="1:29" x14ac:dyDescent="0.25">
      <c r="A239" s="92">
        <v>329</v>
      </c>
      <c r="B239" s="95" t="str">
        <f t="shared" si="9"/>
        <v>Yes</v>
      </c>
      <c r="H239" s="92" t="str">
        <f t="shared" si="10"/>
        <v>PL1-329</v>
      </c>
      <c r="I239" s="98"/>
      <c r="J239" s="99" t="s">
        <v>333</v>
      </c>
      <c r="K239" s="99" t="s">
        <v>428</v>
      </c>
      <c r="L239" s="99" t="s">
        <v>13</v>
      </c>
      <c r="M239" s="99" t="s">
        <v>5</v>
      </c>
      <c r="N239" s="99" t="s">
        <v>114</v>
      </c>
      <c r="O239" s="99">
        <v>60</v>
      </c>
      <c r="P239" s="99" t="s">
        <v>995</v>
      </c>
      <c r="Q239" s="99"/>
      <c r="R239" s="99"/>
      <c r="S239" s="98"/>
      <c r="T239" s="93"/>
      <c r="U239" s="93"/>
      <c r="V239" s="93"/>
      <c r="W239" s="93"/>
      <c r="X239" s="93">
        <f>IF($B239="Yes",COUNTIF(Reference!P$52:P$67,$K239),"")</f>
        <v>0</v>
      </c>
      <c r="Y239" s="93">
        <f>IF($B239="Yes",COUNTIF(Reference!Q$52:Q$67,$K239),"")</f>
        <v>0</v>
      </c>
      <c r="Z239" s="93">
        <f>IF($B239="Yes",COUNTIF(Reference!R$52:R$67,$K239),"")</f>
        <v>0</v>
      </c>
      <c r="AA239" s="93">
        <f>IF($B239="Yes",COUNTIF(Reference!S$52:S$67,$K239),"")</f>
        <v>1</v>
      </c>
      <c r="AB239" s="93">
        <f>IF($B239="Yes",COUNTIF(Reference!T$52:T$67,$K239),"")</f>
        <v>1</v>
      </c>
      <c r="AC239" s="93">
        <f t="shared" si="11"/>
        <v>0</v>
      </c>
    </row>
    <row r="240" spans="1:29" x14ac:dyDescent="0.25">
      <c r="A240" s="92">
        <v>330</v>
      </c>
      <c r="B240" s="95" t="str">
        <f t="shared" si="9"/>
        <v>Yes</v>
      </c>
      <c r="H240" s="92" t="str">
        <f t="shared" si="10"/>
        <v>PL1-330</v>
      </c>
      <c r="I240" s="98"/>
      <c r="J240" s="99" t="s">
        <v>894</v>
      </c>
      <c r="K240" s="99" t="s">
        <v>5</v>
      </c>
      <c r="L240" s="99" t="s">
        <v>899</v>
      </c>
      <c r="M240" s="99" t="s">
        <v>5</v>
      </c>
      <c r="N240" s="99" t="s">
        <v>128</v>
      </c>
      <c r="O240" s="99">
        <v>100</v>
      </c>
      <c r="P240" s="99" t="s">
        <v>995</v>
      </c>
      <c r="Q240" s="99"/>
      <c r="R240" s="99"/>
      <c r="S240" s="98"/>
      <c r="T240" s="93"/>
      <c r="U240" s="93"/>
      <c r="V240" s="93"/>
      <c r="W240" s="93"/>
      <c r="X240" s="93">
        <f>IF($B240="Yes",COUNTIF(Reference!P$52:P$67,$K240),"")</f>
        <v>0</v>
      </c>
      <c r="Y240" s="93">
        <f>IF($B240="Yes",COUNTIF(Reference!Q$52:Q$67,$K240),"")</f>
        <v>0</v>
      </c>
      <c r="Z240" s="93">
        <f>IF($B240="Yes",COUNTIF(Reference!R$52:R$67,$K240),"")</f>
        <v>1</v>
      </c>
      <c r="AA240" s="93">
        <f>IF($B240="Yes",COUNTIF(Reference!S$52:S$67,$K240),"")</f>
        <v>0</v>
      </c>
      <c r="AB240" s="93">
        <f>IF($B240="Yes",COUNTIF(Reference!T$52:T$67,$K240),"")</f>
        <v>0</v>
      </c>
      <c r="AC240" s="93">
        <f t="shared" si="11"/>
        <v>0</v>
      </c>
    </row>
    <row r="241" spans="1:29" x14ac:dyDescent="0.25">
      <c r="A241" s="92">
        <v>331</v>
      </c>
      <c r="B241" s="95" t="str">
        <f t="shared" si="9"/>
        <v>Yes</v>
      </c>
      <c r="H241" s="92" t="str">
        <f t="shared" si="10"/>
        <v>PL1-331</v>
      </c>
      <c r="I241" s="98"/>
      <c r="J241" s="99" t="s">
        <v>334</v>
      </c>
      <c r="K241" s="99" t="s">
        <v>444</v>
      </c>
      <c r="L241" s="99" t="s">
        <v>13</v>
      </c>
      <c r="M241" s="99" t="s">
        <v>5</v>
      </c>
      <c r="N241" s="99" t="s">
        <v>184</v>
      </c>
      <c r="O241" s="99">
        <v>60</v>
      </c>
      <c r="P241" s="99" t="s">
        <v>995</v>
      </c>
      <c r="Q241" s="99"/>
      <c r="R241" s="99"/>
      <c r="S241" s="98"/>
      <c r="T241" s="93"/>
      <c r="U241" s="93"/>
      <c r="V241" s="93"/>
      <c r="W241" s="93"/>
      <c r="X241" s="93">
        <f>IF($B241="Yes",COUNTIF(Reference!P$52:P$67,$K241),"")</f>
        <v>1</v>
      </c>
      <c r="Y241" s="93">
        <f>IF($B241="Yes",COUNTIF(Reference!Q$52:Q$67,$K241),"")</f>
        <v>0</v>
      </c>
      <c r="Z241" s="93">
        <f>IF($B241="Yes",COUNTIF(Reference!R$52:R$67,$K241),"")</f>
        <v>0</v>
      </c>
      <c r="AA241" s="93">
        <f>IF($B241="Yes",COUNTIF(Reference!S$52:S$67,$K241),"")</f>
        <v>1</v>
      </c>
      <c r="AB241" s="93">
        <f>IF($B241="Yes",COUNTIF(Reference!T$52:T$67,$K241),"")</f>
        <v>1</v>
      </c>
      <c r="AC241" s="93">
        <f t="shared" si="11"/>
        <v>0</v>
      </c>
    </row>
    <row r="242" spans="1:29" x14ac:dyDescent="0.25">
      <c r="A242" s="92">
        <v>332</v>
      </c>
      <c r="B242" s="95" t="str">
        <f t="shared" si="9"/>
        <v>Yes</v>
      </c>
      <c r="H242" s="92" t="str">
        <f t="shared" si="10"/>
        <v>PL1-332</v>
      </c>
      <c r="I242" s="98"/>
      <c r="J242" s="99" t="s">
        <v>335</v>
      </c>
      <c r="K242" s="99" t="s">
        <v>427</v>
      </c>
      <c r="L242" s="99" t="s">
        <v>30</v>
      </c>
      <c r="M242" s="99" t="s">
        <v>5</v>
      </c>
      <c r="N242" s="99" t="s">
        <v>1197</v>
      </c>
      <c r="O242" s="99">
        <v>100</v>
      </c>
      <c r="P242" s="99" t="s">
        <v>995</v>
      </c>
      <c r="Q242" s="99"/>
      <c r="R242" s="99"/>
      <c r="S242" s="98"/>
      <c r="T242" s="93"/>
      <c r="U242" s="93"/>
      <c r="V242" s="93"/>
      <c r="W242" s="93"/>
      <c r="X242" s="93">
        <f>IF($B242="Yes",COUNTIF(Reference!P$52:P$67,$K242),"")</f>
        <v>0</v>
      </c>
      <c r="Y242" s="93">
        <f>IF($B242="Yes",COUNTIF(Reference!Q$52:Q$67,$K242),"")</f>
        <v>1</v>
      </c>
      <c r="Z242" s="93">
        <f>IF($B242="Yes",COUNTIF(Reference!R$52:R$67,$K242),"")</f>
        <v>1</v>
      </c>
      <c r="AA242" s="93">
        <f>IF($B242="Yes",COUNTIF(Reference!S$52:S$67,$K242),"")</f>
        <v>1</v>
      </c>
      <c r="AB242" s="93">
        <f>IF($B242="Yes",COUNTIF(Reference!T$52:T$67,$K242),"")</f>
        <v>0</v>
      </c>
      <c r="AC242" s="93">
        <f t="shared" si="11"/>
        <v>0</v>
      </c>
    </row>
    <row r="243" spans="1:29" x14ac:dyDescent="0.25">
      <c r="A243" s="92">
        <v>333</v>
      </c>
      <c r="B243" s="95" t="str">
        <f t="shared" si="9"/>
        <v>Yes</v>
      </c>
      <c r="H243" s="92" t="str">
        <f t="shared" si="10"/>
        <v>PL1-333</v>
      </c>
      <c r="I243" s="98"/>
      <c r="J243" s="99" t="s">
        <v>336</v>
      </c>
      <c r="K243" s="99" t="s">
        <v>417</v>
      </c>
      <c r="L243" s="99" t="s">
        <v>13</v>
      </c>
      <c r="M243" s="99" t="s">
        <v>809</v>
      </c>
      <c r="N243" s="99" t="s">
        <v>116</v>
      </c>
      <c r="O243" s="99">
        <v>60</v>
      </c>
      <c r="P243" s="99" t="s">
        <v>337</v>
      </c>
      <c r="Q243" s="99"/>
      <c r="R243" s="99"/>
      <c r="S243" s="98"/>
      <c r="T243" s="93"/>
      <c r="U243" s="93"/>
      <c r="V243" s="93"/>
      <c r="W243" s="93"/>
      <c r="X243" s="93">
        <f>IF($B243="Yes",COUNTIF(Reference!P$52:P$67,$K243),"")</f>
        <v>1</v>
      </c>
      <c r="Y243" s="93">
        <f>IF($B243="Yes",COUNTIF(Reference!Q$52:Q$67,$K243),"")</f>
        <v>0</v>
      </c>
      <c r="Z243" s="93">
        <f>IF($B243="Yes",COUNTIF(Reference!R$52:R$67,$K243),"")</f>
        <v>1</v>
      </c>
      <c r="AA243" s="93">
        <f>IF($B243="Yes",COUNTIF(Reference!S$52:S$67,$K243),"")</f>
        <v>0</v>
      </c>
      <c r="AB243" s="93">
        <f>IF($B243="Yes",COUNTIF(Reference!T$52:T$67,$K243),"")</f>
        <v>0</v>
      </c>
      <c r="AC243" s="93">
        <f t="shared" si="11"/>
        <v>0</v>
      </c>
    </row>
    <row r="244" spans="1:29" x14ac:dyDescent="0.25">
      <c r="A244" s="92">
        <v>334</v>
      </c>
      <c r="B244" s="95" t="str">
        <f t="shared" si="9"/>
        <v>Yes</v>
      </c>
      <c r="H244" s="92" t="str">
        <f t="shared" si="10"/>
        <v>PL1-334</v>
      </c>
      <c r="I244" s="98"/>
      <c r="J244" s="99" t="s">
        <v>338</v>
      </c>
      <c r="K244" s="99" t="s">
        <v>418</v>
      </c>
      <c r="L244" s="99" t="s">
        <v>13</v>
      </c>
      <c r="M244" s="99" t="s">
        <v>380</v>
      </c>
      <c r="N244" s="99" t="s">
        <v>143</v>
      </c>
      <c r="O244" s="99">
        <v>60</v>
      </c>
      <c r="P244" s="99" t="s">
        <v>995</v>
      </c>
      <c r="Q244" s="99"/>
      <c r="R244" s="99"/>
      <c r="S244" s="98"/>
      <c r="T244" s="93"/>
      <c r="U244" s="93"/>
      <c r="V244" s="93"/>
      <c r="W244" s="93"/>
      <c r="X244" s="93">
        <f>IF($B244="Yes",COUNTIF(Reference!P$52:P$67,$K244),"")</f>
        <v>0</v>
      </c>
      <c r="Y244" s="93">
        <f>IF($B244="Yes",COUNTIF(Reference!Q$52:Q$67,$K244),"")</f>
        <v>1</v>
      </c>
      <c r="Z244" s="93">
        <f>IF($B244="Yes",COUNTIF(Reference!R$52:R$67,$K244),"")</f>
        <v>1</v>
      </c>
      <c r="AA244" s="93">
        <f>IF($B244="Yes",COUNTIF(Reference!S$52:S$67,$K244),"")</f>
        <v>0</v>
      </c>
      <c r="AB244" s="93">
        <f>IF($B244="Yes",COUNTIF(Reference!T$52:T$67,$K244),"")</f>
        <v>0</v>
      </c>
      <c r="AC244" s="93">
        <f t="shared" si="11"/>
        <v>0</v>
      </c>
    </row>
    <row r="245" spans="1:29" x14ac:dyDescent="0.25">
      <c r="A245" s="92">
        <v>335</v>
      </c>
      <c r="B245" s="95" t="str">
        <f t="shared" si="9"/>
        <v>Yes</v>
      </c>
      <c r="H245" s="92" t="str">
        <f t="shared" si="10"/>
        <v>PL1-335</v>
      </c>
      <c r="I245" s="98"/>
      <c r="J245" s="99" t="s">
        <v>339</v>
      </c>
      <c r="K245" s="99" t="s">
        <v>434</v>
      </c>
      <c r="L245" s="99" t="s">
        <v>13</v>
      </c>
      <c r="M245" s="99" t="s">
        <v>809</v>
      </c>
      <c r="N245" s="99" t="s">
        <v>1208</v>
      </c>
      <c r="O245" s="99">
        <v>60</v>
      </c>
      <c r="P245" s="99" t="s">
        <v>995</v>
      </c>
      <c r="Q245" s="99"/>
      <c r="R245" s="99"/>
      <c r="S245" s="98"/>
      <c r="T245" s="93"/>
      <c r="U245" s="93"/>
      <c r="V245" s="93"/>
      <c r="W245" s="93"/>
      <c r="X245" s="93">
        <f>IF($B245="Yes",COUNTIF(Reference!P$52:P$67,$K245),"")</f>
        <v>1</v>
      </c>
      <c r="Y245" s="93">
        <f>IF($B245="Yes",COUNTIF(Reference!Q$52:Q$67,$K245),"")</f>
        <v>1</v>
      </c>
      <c r="Z245" s="93">
        <f>IF($B245="Yes",COUNTIF(Reference!R$52:R$67,$K245),"")</f>
        <v>0</v>
      </c>
      <c r="AA245" s="93">
        <f>IF($B245="Yes",COUNTIF(Reference!S$52:S$67,$K245),"")</f>
        <v>0</v>
      </c>
      <c r="AB245" s="93">
        <f>IF($B245="Yes",COUNTIF(Reference!T$52:T$67,$K245),"")</f>
        <v>0</v>
      </c>
      <c r="AC245" s="93">
        <f t="shared" si="11"/>
        <v>0</v>
      </c>
    </row>
    <row r="246" spans="1:29" x14ac:dyDescent="0.25">
      <c r="A246" s="92">
        <v>336</v>
      </c>
      <c r="B246" s="95" t="str">
        <f t="shared" si="9"/>
        <v>Yes</v>
      </c>
      <c r="H246" s="92" t="str">
        <f t="shared" si="10"/>
        <v>PL1-336</v>
      </c>
      <c r="I246" s="98"/>
      <c r="J246" s="99" t="s">
        <v>340</v>
      </c>
      <c r="K246" s="99" t="s">
        <v>459</v>
      </c>
      <c r="L246" s="99" t="s">
        <v>1204</v>
      </c>
      <c r="M246" s="99" t="s">
        <v>807</v>
      </c>
      <c r="N246" s="99" t="s">
        <v>895</v>
      </c>
      <c r="O246" s="99">
        <v>60</v>
      </c>
      <c r="P246" s="99" t="s">
        <v>995</v>
      </c>
      <c r="Q246" s="99"/>
      <c r="R246" s="99"/>
      <c r="S246" s="98"/>
      <c r="T246" s="93"/>
      <c r="U246" s="93"/>
      <c r="V246" s="93"/>
      <c r="W246" s="93"/>
      <c r="X246" s="93">
        <f>IF($B246="Yes",COUNTIF(Reference!P$52:P$67,$K246),"")</f>
        <v>1</v>
      </c>
      <c r="Y246" s="93">
        <f>IF($B246="Yes",COUNTIF(Reference!Q$52:Q$67,$K246),"")</f>
        <v>1</v>
      </c>
      <c r="Z246" s="93">
        <f>IF($B246="Yes",COUNTIF(Reference!R$52:R$67,$K246),"")</f>
        <v>1</v>
      </c>
      <c r="AA246" s="93">
        <f>IF($B246="Yes",COUNTIF(Reference!S$52:S$67,$K246),"")</f>
        <v>1</v>
      </c>
      <c r="AB246" s="93">
        <f>IF($B246="Yes",COUNTIF(Reference!T$52:T$67,$K246),"")</f>
        <v>1</v>
      </c>
      <c r="AC246" s="93">
        <f t="shared" si="11"/>
        <v>0</v>
      </c>
    </row>
    <row r="247" spans="1:29" x14ac:dyDescent="0.25">
      <c r="A247" s="92">
        <v>337</v>
      </c>
      <c r="B247" s="95" t="str">
        <f t="shared" si="9"/>
        <v>Yes</v>
      </c>
      <c r="H247" s="92" t="str">
        <f t="shared" si="10"/>
        <v>PL1-337</v>
      </c>
      <c r="I247" s="98"/>
      <c r="J247" s="99" t="s">
        <v>341</v>
      </c>
      <c r="K247" s="99" t="s">
        <v>459</v>
      </c>
      <c r="L247" s="99" t="s">
        <v>30</v>
      </c>
      <c r="M247" s="99" t="s">
        <v>809</v>
      </c>
      <c r="N247" s="99" t="s">
        <v>224</v>
      </c>
      <c r="O247" s="99">
        <v>100</v>
      </c>
      <c r="P247" s="99" t="s">
        <v>93</v>
      </c>
      <c r="Q247" s="99"/>
      <c r="R247" s="99"/>
      <c r="S247" s="98"/>
      <c r="T247" s="93"/>
      <c r="U247" s="93"/>
      <c r="V247" s="93"/>
      <c r="W247" s="93"/>
      <c r="X247" s="93">
        <f>IF($B247="Yes",COUNTIF(Reference!P$52:P$67,$K247),"")</f>
        <v>1</v>
      </c>
      <c r="Y247" s="93">
        <f>IF($B247="Yes",COUNTIF(Reference!Q$52:Q$67,$K247),"")</f>
        <v>1</v>
      </c>
      <c r="Z247" s="93">
        <f>IF($B247="Yes",COUNTIF(Reference!R$52:R$67,$K247),"")</f>
        <v>1</v>
      </c>
      <c r="AA247" s="93">
        <f>IF($B247="Yes",COUNTIF(Reference!S$52:S$67,$K247),"")</f>
        <v>1</v>
      </c>
      <c r="AB247" s="93">
        <f>IF($B247="Yes",COUNTIF(Reference!T$52:T$67,$K247),"")</f>
        <v>1</v>
      </c>
      <c r="AC247" s="93">
        <f t="shared" si="11"/>
        <v>0</v>
      </c>
    </row>
    <row r="248" spans="1:29" x14ac:dyDescent="0.25">
      <c r="A248" s="92">
        <v>338</v>
      </c>
      <c r="B248" s="95" t="str">
        <f t="shared" si="9"/>
        <v>Yes</v>
      </c>
      <c r="H248" s="92" t="str">
        <f t="shared" si="10"/>
        <v>PL1-338</v>
      </c>
      <c r="I248" s="98"/>
      <c r="J248" s="99" t="s">
        <v>342</v>
      </c>
      <c r="K248" s="99" t="s">
        <v>7</v>
      </c>
      <c r="L248" s="99" t="s">
        <v>30</v>
      </c>
      <c r="M248" s="99" t="s">
        <v>807</v>
      </c>
      <c r="N248" s="99" t="s">
        <v>143</v>
      </c>
      <c r="O248" s="99">
        <v>100</v>
      </c>
      <c r="P248" s="99" t="s">
        <v>995</v>
      </c>
      <c r="Q248" s="99"/>
      <c r="R248" s="99"/>
      <c r="S248" s="98"/>
      <c r="T248" s="93"/>
      <c r="U248" s="93"/>
      <c r="V248" s="93"/>
      <c r="W248" s="93"/>
      <c r="X248" s="93">
        <f>IF($B248="Yes",COUNTIF(Reference!P$52:P$67,$K248),"")</f>
        <v>0</v>
      </c>
      <c r="Y248" s="93">
        <f>IF($B248="Yes",COUNTIF(Reference!Q$52:Q$67,$K248),"")</f>
        <v>0</v>
      </c>
      <c r="Z248" s="93">
        <f>IF($B248="Yes",COUNTIF(Reference!R$52:R$67,$K248),"")</f>
        <v>0</v>
      </c>
      <c r="AA248" s="93">
        <f>IF($B248="Yes",COUNTIF(Reference!S$52:S$67,$K248),"")</f>
        <v>0</v>
      </c>
      <c r="AB248" s="93">
        <f>IF($B248="Yes",COUNTIF(Reference!T$52:T$67,$K248),"")</f>
        <v>1</v>
      </c>
      <c r="AC248" s="93">
        <f t="shared" si="11"/>
        <v>0</v>
      </c>
    </row>
    <row r="249" spans="1:29" x14ac:dyDescent="0.25">
      <c r="A249" s="92">
        <v>339</v>
      </c>
      <c r="B249" s="95" t="str">
        <f t="shared" si="9"/>
        <v>Yes</v>
      </c>
      <c r="H249" s="92" t="str">
        <f t="shared" si="10"/>
        <v>PL1-339</v>
      </c>
      <c r="I249" s="98"/>
      <c r="J249" s="99" t="s">
        <v>343</v>
      </c>
      <c r="K249" s="99" t="s">
        <v>459</v>
      </c>
      <c r="L249" s="99" t="s">
        <v>30</v>
      </c>
      <c r="M249" s="99" t="s">
        <v>5</v>
      </c>
      <c r="N249" s="99" t="s">
        <v>1206</v>
      </c>
      <c r="O249" s="99">
        <v>100</v>
      </c>
      <c r="P249" s="99" t="s">
        <v>995</v>
      </c>
      <c r="Q249" s="99"/>
      <c r="R249" s="99"/>
      <c r="S249" s="98"/>
      <c r="T249" s="93"/>
      <c r="U249" s="93"/>
      <c r="V249" s="93"/>
      <c r="W249" s="93"/>
      <c r="X249" s="93">
        <f>IF($B249="Yes",COUNTIF(Reference!P$52:P$67,$K249),"")</f>
        <v>1</v>
      </c>
      <c r="Y249" s="93">
        <f>IF($B249="Yes",COUNTIF(Reference!Q$52:Q$67,$K249),"")</f>
        <v>1</v>
      </c>
      <c r="Z249" s="93">
        <f>IF($B249="Yes",COUNTIF(Reference!R$52:R$67,$K249),"")</f>
        <v>1</v>
      </c>
      <c r="AA249" s="93">
        <f>IF($B249="Yes",COUNTIF(Reference!S$52:S$67,$K249),"")</f>
        <v>1</v>
      </c>
      <c r="AB249" s="93">
        <f>IF($B249="Yes",COUNTIF(Reference!T$52:T$67,$K249),"")</f>
        <v>1</v>
      </c>
      <c r="AC249" s="93">
        <f t="shared" si="11"/>
        <v>0</v>
      </c>
    </row>
    <row r="250" spans="1:29" x14ac:dyDescent="0.25">
      <c r="A250" s="92">
        <v>340</v>
      </c>
      <c r="B250" s="95" t="str">
        <f t="shared" si="9"/>
        <v>Yes</v>
      </c>
      <c r="H250" s="92" t="str">
        <f t="shared" si="10"/>
        <v>PL1-340</v>
      </c>
      <c r="I250" s="98"/>
      <c r="J250" s="99" t="s">
        <v>344</v>
      </c>
      <c r="K250" s="99" t="s">
        <v>459</v>
      </c>
      <c r="L250" s="99" t="s">
        <v>13</v>
      </c>
      <c r="M250" s="99" t="s">
        <v>808</v>
      </c>
      <c r="N250" s="99" t="s">
        <v>1203</v>
      </c>
      <c r="O250" s="99">
        <v>60</v>
      </c>
      <c r="P250" s="99" t="s">
        <v>995</v>
      </c>
      <c r="Q250" s="99"/>
      <c r="R250" s="99"/>
      <c r="S250" s="98"/>
      <c r="T250" s="93"/>
      <c r="U250" s="93"/>
      <c r="V250" s="93"/>
      <c r="W250" s="93"/>
      <c r="X250" s="93">
        <f>IF($B250="Yes",COUNTIF(Reference!P$52:P$67,$K250),"")</f>
        <v>1</v>
      </c>
      <c r="Y250" s="93">
        <f>IF($B250="Yes",COUNTIF(Reference!Q$52:Q$67,$K250),"")</f>
        <v>1</v>
      </c>
      <c r="Z250" s="93">
        <f>IF($B250="Yes",COUNTIF(Reference!R$52:R$67,$K250),"")</f>
        <v>1</v>
      </c>
      <c r="AA250" s="93">
        <f>IF($B250="Yes",COUNTIF(Reference!S$52:S$67,$K250),"")</f>
        <v>1</v>
      </c>
      <c r="AB250" s="93">
        <f>IF($B250="Yes",COUNTIF(Reference!T$52:T$67,$K250),"")</f>
        <v>1</v>
      </c>
      <c r="AC250" s="93">
        <f t="shared" si="11"/>
        <v>0</v>
      </c>
    </row>
    <row r="251" spans="1:29" x14ac:dyDescent="0.25">
      <c r="A251" s="92">
        <v>341</v>
      </c>
      <c r="B251" s="95" t="str">
        <f t="shared" si="9"/>
        <v>Yes</v>
      </c>
      <c r="H251" s="92" t="str">
        <f t="shared" si="10"/>
        <v>PL1-341</v>
      </c>
      <c r="I251" s="98"/>
      <c r="J251" s="99" t="s">
        <v>345</v>
      </c>
      <c r="K251" s="99" t="s">
        <v>434</v>
      </c>
      <c r="L251" s="99" t="s">
        <v>13</v>
      </c>
      <c r="M251" s="99" t="s">
        <v>5</v>
      </c>
      <c r="N251" s="99" t="s">
        <v>992</v>
      </c>
      <c r="O251" s="99">
        <v>60</v>
      </c>
      <c r="P251" s="99" t="s">
        <v>995</v>
      </c>
      <c r="Q251" s="99"/>
      <c r="R251" s="99"/>
      <c r="S251" s="98"/>
      <c r="T251" s="93"/>
      <c r="U251" s="93"/>
      <c r="V251" s="93"/>
      <c r="W251" s="93"/>
      <c r="X251" s="93">
        <f>IF($B251="Yes",COUNTIF(Reference!P$52:P$67,$K251),"")</f>
        <v>1</v>
      </c>
      <c r="Y251" s="93">
        <f>IF($B251="Yes",COUNTIF(Reference!Q$52:Q$67,$K251),"")</f>
        <v>1</v>
      </c>
      <c r="Z251" s="93">
        <f>IF($B251="Yes",COUNTIF(Reference!R$52:R$67,$K251),"")</f>
        <v>0</v>
      </c>
      <c r="AA251" s="93">
        <f>IF($B251="Yes",COUNTIF(Reference!S$52:S$67,$K251),"")</f>
        <v>0</v>
      </c>
      <c r="AB251" s="93">
        <f>IF($B251="Yes",COUNTIF(Reference!T$52:T$67,$K251),"")</f>
        <v>0</v>
      </c>
      <c r="AC251" s="93">
        <f t="shared" si="11"/>
        <v>0</v>
      </c>
    </row>
    <row r="252" spans="1:29" x14ac:dyDescent="0.25">
      <c r="A252" s="92">
        <v>342</v>
      </c>
      <c r="B252" s="95" t="str">
        <f t="shared" si="9"/>
        <v>Yes</v>
      </c>
      <c r="H252" s="92" t="str">
        <f t="shared" si="10"/>
        <v>PL1-342</v>
      </c>
      <c r="I252" s="98"/>
      <c r="J252" s="99" t="s">
        <v>346</v>
      </c>
      <c r="K252" s="99" t="s">
        <v>459</v>
      </c>
      <c r="L252" s="99" t="s">
        <v>13</v>
      </c>
      <c r="M252" s="99" t="s">
        <v>5</v>
      </c>
      <c r="N252" s="99" t="s">
        <v>1197</v>
      </c>
      <c r="O252" s="99">
        <v>60</v>
      </c>
      <c r="P252" s="99" t="s">
        <v>995</v>
      </c>
      <c r="Q252" s="99"/>
      <c r="R252" s="99"/>
      <c r="S252" s="98"/>
      <c r="T252" s="93"/>
      <c r="U252" s="93"/>
      <c r="V252" s="93"/>
      <c r="W252" s="93"/>
      <c r="X252" s="93">
        <f>IF($B252="Yes",COUNTIF(Reference!P$52:P$67,$K252),"")</f>
        <v>1</v>
      </c>
      <c r="Y252" s="93">
        <f>IF($B252="Yes",COUNTIF(Reference!Q$52:Q$67,$K252),"")</f>
        <v>1</v>
      </c>
      <c r="Z252" s="93">
        <f>IF($B252="Yes",COUNTIF(Reference!R$52:R$67,$K252),"")</f>
        <v>1</v>
      </c>
      <c r="AA252" s="93">
        <f>IF($B252="Yes",COUNTIF(Reference!S$52:S$67,$K252),"")</f>
        <v>1</v>
      </c>
      <c r="AB252" s="93">
        <f>IF($B252="Yes",COUNTIF(Reference!T$52:T$67,$K252),"")</f>
        <v>1</v>
      </c>
      <c r="AC252" s="93">
        <f t="shared" si="11"/>
        <v>0</v>
      </c>
    </row>
    <row r="253" spans="1:29" x14ac:dyDescent="0.25">
      <c r="A253" s="92">
        <v>343</v>
      </c>
      <c r="B253" s="95" t="str">
        <f t="shared" si="9"/>
        <v>Yes</v>
      </c>
      <c r="H253" s="92" t="str">
        <f t="shared" si="10"/>
        <v>PL1-343</v>
      </c>
      <c r="I253" s="98"/>
      <c r="J253" s="99" t="s">
        <v>347</v>
      </c>
      <c r="K253" s="99" t="s">
        <v>459</v>
      </c>
      <c r="L253" s="99" t="s">
        <v>13</v>
      </c>
      <c r="M253" s="99" t="s">
        <v>380</v>
      </c>
      <c r="N253" s="99" t="s">
        <v>1197</v>
      </c>
      <c r="O253" s="99">
        <v>60</v>
      </c>
      <c r="P253" s="99" t="s">
        <v>995</v>
      </c>
      <c r="Q253" s="99"/>
      <c r="R253" s="99"/>
      <c r="S253" s="98"/>
      <c r="T253" s="93"/>
      <c r="U253" s="93"/>
      <c r="V253" s="93"/>
      <c r="W253" s="93"/>
      <c r="X253" s="93">
        <f>IF($B253="Yes",COUNTIF(Reference!P$52:P$67,$K253),"")</f>
        <v>1</v>
      </c>
      <c r="Y253" s="93">
        <f>IF($B253="Yes",COUNTIF(Reference!Q$52:Q$67,$K253),"")</f>
        <v>1</v>
      </c>
      <c r="Z253" s="93">
        <f>IF($B253="Yes",COUNTIF(Reference!R$52:R$67,$K253),"")</f>
        <v>1</v>
      </c>
      <c r="AA253" s="93">
        <f>IF($B253="Yes",COUNTIF(Reference!S$52:S$67,$K253),"")</f>
        <v>1</v>
      </c>
      <c r="AB253" s="93">
        <f>IF($B253="Yes",COUNTIF(Reference!T$52:T$67,$K253),"")</f>
        <v>1</v>
      </c>
      <c r="AC253" s="93">
        <f t="shared" si="11"/>
        <v>0</v>
      </c>
    </row>
    <row r="254" spans="1:29" x14ac:dyDescent="0.25">
      <c r="A254" s="92">
        <v>344</v>
      </c>
      <c r="B254" s="95" t="str">
        <f t="shared" si="9"/>
        <v>Yes</v>
      </c>
      <c r="H254" s="92" t="str">
        <f t="shared" si="10"/>
        <v>PL1-344</v>
      </c>
      <c r="I254" s="98"/>
      <c r="J254" s="99" t="s">
        <v>348</v>
      </c>
      <c r="K254" s="99" t="s">
        <v>419</v>
      </c>
      <c r="L254" s="99" t="s">
        <v>13</v>
      </c>
      <c r="M254" s="99" t="s">
        <v>5</v>
      </c>
      <c r="N254" s="99" t="s">
        <v>120</v>
      </c>
      <c r="O254" s="99">
        <v>60</v>
      </c>
      <c r="P254" s="99" t="s">
        <v>995</v>
      </c>
      <c r="Q254" s="99"/>
      <c r="R254" s="99"/>
      <c r="S254" s="98"/>
      <c r="T254" s="93"/>
      <c r="U254" s="93"/>
      <c r="V254" s="93"/>
      <c r="W254" s="93"/>
      <c r="X254" s="93">
        <f>IF($B254="Yes",COUNTIF(Reference!P$52:P$67,$K254),"")</f>
        <v>0</v>
      </c>
      <c r="Y254" s="93">
        <f>IF($B254="Yes",COUNTIF(Reference!Q$52:Q$67,$K254),"")</f>
        <v>0</v>
      </c>
      <c r="Z254" s="93">
        <f>IF($B254="Yes",COUNTIF(Reference!R$52:R$67,$K254),"")</f>
        <v>1</v>
      </c>
      <c r="AA254" s="93">
        <f>IF($B254="Yes",COUNTIF(Reference!S$52:S$67,$K254),"")</f>
        <v>0</v>
      </c>
      <c r="AB254" s="93">
        <f>IF($B254="Yes",COUNTIF(Reference!T$52:T$67,$K254),"")</f>
        <v>1</v>
      </c>
      <c r="AC254" s="93">
        <f t="shared" si="11"/>
        <v>0</v>
      </c>
    </row>
    <row r="255" spans="1:29" x14ac:dyDescent="0.25">
      <c r="A255" s="92">
        <v>345</v>
      </c>
      <c r="B255" s="95" t="str">
        <f t="shared" si="9"/>
        <v>Yes</v>
      </c>
      <c r="H255" s="92" t="str">
        <f t="shared" si="10"/>
        <v>PL1-345</v>
      </c>
      <c r="I255" s="98"/>
      <c r="J255" s="99" t="s">
        <v>349</v>
      </c>
      <c r="K255" s="99" t="s">
        <v>3</v>
      </c>
      <c r="L255" s="99" t="s">
        <v>13</v>
      </c>
      <c r="M255" s="99" t="s">
        <v>807</v>
      </c>
      <c r="N255" s="99" t="s">
        <v>1209</v>
      </c>
      <c r="O255" s="99">
        <v>60</v>
      </c>
      <c r="P255" s="99" t="s">
        <v>995</v>
      </c>
      <c r="Q255" s="99"/>
      <c r="R255" s="99"/>
      <c r="S255" s="98"/>
      <c r="T255" s="93"/>
      <c r="U255" s="93"/>
      <c r="V255" s="93"/>
      <c r="W255" s="93"/>
      <c r="X255" s="93">
        <f>IF($B255="Yes",COUNTIF(Reference!P$52:P$67,$K255),"")</f>
        <v>1</v>
      </c>
      <c r="Y255" s="93">
        <f>IF($B255="Yes",COUNTIF(Reference!Q$52:Q$67,$K255),"")</f>
        <v>0</v>
      </c>
      <c r="Z255" s="93">
        <f>IF($B255="Yes",COUNTIF(Reference!R$52:R$67,$K255),"")</f>
        <v>0</v>
      </c>
      <c r="AA255" s="93">
        <f>IF($B255="Yes",COUNTIF(Reference!S$52:S$67,$K255),"")</f>
        <v>0</v>
      </c>
      <c r="AB255" s="93">
        <f>IF($B255="Yes",COUNTIF(Reference!T$52:T$67,$K255),"")</f>
        <v>0</v>
      </c>
      <c r="AC255" s="93">
        <f t="shared" si="11"/>
        <v>0</v>
      </c>
    </row>
    <row r="256" spans="1:29" x14ac:dyDescent="0.25">
      <c r="A256" s="92">
        <v>346</v>
      </c>
      <c r="B256" s="95" t="str">
        <f t="shared" si="9"/>
        <v>Yes</v>
      </c>
      <c r="H256" s="92" t="str">
        <f t="shared" si="10"/>
        <v>PL1-346</v>
      </c>
      <c r="I256" s="98"/>
      <c r="J256" s="99" t="s">
        <v>350</v>
      </c>
      <c r="K256" s="99" t="s">
        <v>419</v>
      </c>
      <c r="L256" s="99" t="s">
        <v>13</v>
      </c>
      <c r="M256" s="99" t="s">
        <v>5</v>
      </c>
      <c r="N256" s="99" t="s">
        <v>175</v>
      </c>
      <c r="O256" s="99">
        <v>60</v>
      </c>
      <c r="P256" s="99" t="s">
        <v>995</v>
      </c>
      <c r="Q256" s="99"/>
      <c r="R256" s="99"/>
      <c r="S256" s="98"/>
      <c r="T256" s="93"/>
      <c r="U256" s="93"/>
      <c r="V256" s="93"/>
      <c r="W256" s="93"/>
      <c r="X256" s="93">
        <f>IF($B256="Yes",COUNTIF(Reference!P$52:P$67,$K256),"")</f>
        <v>0</v>
      </c>
      <c r="Y256" s="93">
        <f>IF($B256="Yes",COUNTIF(Reference!Q$52:Q$67,$K256),"")</f>
        <v>0</v>
      </c>
      <c r="Z256" s="93">
        <f>IF($B256="Yes",COUNTIF(Reference!R$52:R$67,$K256),"")</f>
        <v>1</v>
      </c>
      <c r="AA256" s="93">
        <f>IF($B256="Yes",COUNTIF(Reference!S$52:S$67,$K256),"")</f>
        <v>0</v>
      </c>
      <c r="AB256" s="93">
        <f>IF($B256="Yes",COUNTIF(Reference!T$52:T$67,$K256),"")</f>
        <v>1</v>
      </c>
      <c r="AC256" s="93">
        <f t="shared" si="11"/>
        <v>0</v>
      </c>
    </row>
    <row r="257" spans="1:29" x14ac:dyDescent="0.25">
      <c r="A257" s="92">
        <v>347</v>
      </c>
      <c r="B257" s="95" t="str">
        <f t="shared" si="9"/>
        <v>Yes</v>
      </c>
      <c r="H257" s="92" t="str">
        <f t="shared" si="10"/>
        <v>PL1-347</v>
      </c>
      <c r="I257" s="98"/>
      <c r="J257" s="99" t="s">
        <v>351</v>
      </c>
      <c r="K257" s="99" t="s">
        <v>436</v>
      </c>
      <c r="L257" s="99" t="s">
        <v>13</v>
      </c>
      <c r="M257" s="99" t="s">
        <v>807</v>
      </c>
      <c r="N257" s="99" t="s">
        <v>1206</v>
      </c>
      <c r="O257" s="99">
        <v>60</v>
      </c>
      <c r="P257" s="99" t="s">
        <v>995</v>
      </c>
      <c r="Q257" s="99"/>
      <c r="R257" s="99"/>
      <c r="S257" s="98"/>
      <c r="T257" s="93"/>
      <c r="U257" s="93"/>
      <c r="V257" s="93"/>
      <c r="W257" s="93"/>
      <c r="X257" s="93">
        <f>IF($B257="Yes",COUNTIF(Reference!P$52:P$67,$K257),"")</f>
        <v>1</v>
      </c>
      <c r="Y257" s="93">
        <f>IF($B257="Yes",COUNTIF(Reference!Q$52:Q$67,$K257),"")</f>
        <v>0</v>
      </c>
      <c r="Z257" s="93">
        <f>IF($B257="Yes",COUNTIF(Reference!R$52:R$67,$K257),"")</f>
        <v>0</v>
      </c>
      <c r="AA257" s="93">
        <f>IF($B257="Yes",COUNTIF(Reference!S$52:S$67,$K257),"")</f>
        <v>0</v>
      </c>
      <c r="AB257" s="93">
        <f>IF($B257="Yes",COUNTIF(Reference!T$52:T$67,$K257),"")</f>
        <v>1</v>
      </c>
      <c r="AC257" s="93">
        <f t="shared" si="11"/>
        <v>0</v>
      </c>
    </row>
    <row r="258" spans="1:29" x14ac:dyDescent="0.25">
      <c r="A258" s="92">
        <v>348</v>
      </c>
      <c r="B258" s="95" t="str">
        <f t="shared" si="9"/>
        <v>Yes</v>
      </c>
      <c r="H258" s="92" t="str">
        <f t="shared" si="10"/>
        <v>PL1-348</v>
      </c>
      <c r="I258" s="98"/>
      <c r="J258" s="99" t="s">
        <v>352</v>
      </c>
      <c r="K258" s="99" t="s">
        <v>3</v>
      </c>
      <c r="L258" s="99" t="s">
        <v>13</v>
      </c>
      <c r="M258" s="99" t="s">
        <v>807</v>
      </c>
      <c r="N258" s="99" t="s">
        <v>114</v>
      </c>
      <c r="O258" s="99">
        <v>60</v>
      </c>
      <c r="P258" s="99" t="s">
        <v>995</v>
      </c>
      <c r="Q258" s="99"/>
      <c r="R258" s="99"/>
      <c r="S258" s="98"/>
      <c r="T258" s="93"/>
      <c r="U258" s="93"/>
      <c r="V258" s="93"/>
      <c r="W258" s="93"/>
      <c r="X258" s="93">
        <f>IF($B258="Yes",COUNTIF(Reference!P$52:P$67,$K258),"")</f>
        <v>1</v>
      </c>
      <c r="Y258" s="93">
        <f>IF($B258="Yes",COUNTIF(Reference!Q$52:Q$67,$K258),"")</f>
        <v>0</v>
      </c>
      <c r="Z258" s="93">
        <f>IF($B258="Yes",COUNTIF(Reference!R$52:R$67,$K258),"")</f>
        <v>0</v>
      </c>
      <c r="AA258" s="93">
        <f>IF($B258="Yes",COUNTIF(Reference!S$52:S$67,$K258),"")</f>
        <v>0</v>
      </c>
      <c r="AB258" s="93">
        <f>IF($B258="Yes",COUNTIF(Reference!T$52:T$67,$K258),"")</f>
        <v>0</v>
      </c>
      <c r="AC258" s="93">
        <f t="shared" si="11"/>
        <v>0</v>
      </c>
    </row>
    <row r="259" spans="1:29" x14ac:dyDescent="0.25">
      <c r="A259" s="92">
        <v>349</v>
      </c>
      <c r="B259" s="95" t="str">
        <f t="shared" si="9"/>
        <v>Yes</v>
      </c>
      <c r="H259" s="92" t="str">
        <f t="shared" si="10"/>
        <v>PL1-349</v>
      </c>
      <c r="I259" s="98"/>
      <c r="J259" s="99" t="s">
        <v>353</v>
      </c>
      <c r="K259" s="99" t="s">
        <v>440</v>
      </c>
      <c r="L259" s="99" t="s">
        <v>13</v>
      </c>
      <c r="M259" s="99" t="s">
        <v>808</v>
      </c>
      <c r="N259" s="99" t="s">
        <v>143</v>
      </c>
      <c r="O259" s="99">
        <v>60</v>
      </c>
      <c r="P259" s="99" t="s">
        <v>995</v>
      </c>
      <c r="Q259" s="99"/>
      <c r="R259" s="99"/>
      <c r="S259" s="98"/>
      <c r="T259" s="93"/>
      <c r="U259" s="93"/>
      <c r="V259" s="93"/>
      <c r="W259" s="93"/>
      <c r="X259" s="93">
        <f>IF($B259="Yes",COUNTIF(Reference!P$52:P$67,$K259),"")</f>
        <v>1</v>
      </c>
      <c r="Y259" s="93">
        <f>IF($B259="Yes",COUNTIF(Reference!Q$52:Q$67,$K259),"")</f>
        <v>0</v>
      </c>
      <c r="Z259" s="93">
        <f>IF($B259="Yes",COUNTIF(Reference!R$52:R$67,$K259),"")</f>
        <v>0</v>
      </c>
      <c r="AA259" s="93">
        <f>IF($B259="Yes",COUNTIF(Reference!S$52:S$67,$K259),"")</f>
        <v>1</v>
      </c>
      <c r="AB259" s="93">
        <f>IF($B259="Yes",COUNTIF(Reference!T$52:T$67,$K259),"")</f>
        <v>0</v>
      </c>
      <c r="AC259" s="93">
        <f t="shared" si="11"/>
        <v>0</v>
      </c>
    </row>
    <row r="260" spans="1:29" x14ac:dyDescent="0.25">
      <c r="A260" s="92">
        <v>350</v>
      </c>
      <c r="B260" s="95" t="str">
        <f t="shared" si="9"/>
        <v>Yes</v>
      </c>
      <c r="H260" s="92" t="str">
        <f t="shared" si="10"/>
        <v>PL1-350</v>
      </c>
      <c r="I260" s="98"/>
      <c r="J260" s="99" t="s">
        <v>354</v>
      </c>
      <c r="K260" s="99" t="s">
        <v>437</v>
      </c>
      <c r="L260" s="99" t="s">
        <v>13</v>
      </c>
      <c r="M260" s="99" t="s">
        <v>808</v>
      </c>
      <c r="N260" s="99" t="s">
        <v>1206</v>
      </c>
      <c r="O260" s="99">
        <v>60</v>
      </c>
      <c r="P260" s="99" t="s">
        <v>995</v>
      </c>
      <c r="Q260" s="99"/>
      <c r="R260" s="99"/>
      <c r="S260" s="98"/>
      <c r="T260" s="93"/>
      <c r="U260" s="93"/>
      <c r="V260" s="93"/>
      <c r="W260" s="93"/>
      <c r="X260" s="93">
        <f>IF($B260="Yes",COUNTIF(Reference!P$52:P$67,$K260),"")</f>
        <v>0</v>
      </c>
      <c r="Y260" s="93">
        <f>IF($B260="Yes",COUNTIF(Reference!Q$52:Q$67,$K260),"")</f>
        <v>1</v>
      </c>
      <c r="Z260" s="93">
        <f>IF($B260="Yes",COUNTIF(Reference!R$52:R$67,$K260),"")</f>
        <v>0</v>
      </c>
      <c r="AA260" s="93">
        <f>IF($B260="Yes",COUNTIF(Reference!S$52:S$67,$K260),"")</f>
        <v>0</v>
      </c>
      <c r="AB260" s="93">
        <f>IF($B260="Yes",COUNTIF(Reference!T$52:T$67,$K260),"")</f>
        <v>1</v>
      </c>
      <c r="AC260" s="93">
        <f t="shared" si="11"/>
        <v>0</v>
      </c>
    </row>
    <row r="261" spans="1:29" x14ac:dyDescent="0.25">
      <c r="A261" s="92">
        <v>351</v>
      </c>
      <c r="B261" s="95" t="str">
        <f t="shared" si="9"/>
        <v>Yes</v>
      </c>
      <c r="H261" s="92" t="str">
        <f t="shared" si="10"/>
        <v>PL1-351</v>
      </c>
      <c r="I261" s="98"/>
      <c r="J261" s="99" t="s">
        <v>355</v>
      </c>
      <c r="K261" s="99" t="s">
        <v>444</v>
      </c>
      <c r="L261" s="99" t="s">
        <v>30</v>
      </c>
      <c r="M261" s="99" t="s">
        <v>809</v>
      </c>
      <c r="N261" s="99" t="s">
        <v>184</v>
      </c>
      <c r="O261" s="99">
        <v>100</v>
      </c>
      <c r="P261" s="99" t="s">
        <v>995</v>
      </c>
      <c r="Q261" s="99"/>
      <c r="R261" s="99"/>
      <c r="S261" s="98"/>
      <c r="T261" s="93"/>
      <c r="U261" s="93"/>
      <c r="V261" s="93"/>
      <c r="W261" s="93"/>
      <c r="X261" s="93">
        <f>IF($B261="Yes",COUNTIF(Reference!P$52:P$67,$K261),"")</f>
        <v>1</v>
      </c>
      <c r="Y261" s="93">
        <f>IF($B261="Yes",COUNTIF(Reference!Q$52:Q$67,$K261),"")</f>
        <v>0</v>
      </c>
      <c r="Z261" s="93">
        <f>IF($B261="Yes",COUNTIF(Reference!R$52:R$67,$K261),"")</f>
        <v>0</v>
      </c>
      <c r="AA261" s="93">
        <f>IF($B261="Yes",COUNTIF(Reference!S$52:S$67,$K261),"")</f>
        <v>1</v>
      </c>
      <c r="AB261" s="93">
        <f>IF($B261="Yes",COUNTIF(Reference!T$52:T$67,$K261),"")</f>
        <v>1</v>
      </c>
      <c r="AC261" s="93">
        <f t="shared" si="11"/>
        <v>0</v>
      </c>
    </row>
    <row r="262" spans="1:29" x14ac:dyDescent="0.25">
      <c r="A262" s="92">
        <v>352</v>
      </c>
      <c r="B262" s="95" t="str">
        <f t="shared" si="9"/>
        <v>Yes</v>
      </c>
      <c r="H262" s="92" t="str">
        <f t="shared" si="10"/>
        <v>PL1-352</v>
      </c>
      <c r="I262" s="98"/>
      <c r="J262" s="99" t="s">
        <v>356</v>
      </c>
      <c r="K262" s="99" t="s">
        <v>6</v>
      </c>
      <c r="L262" s="99" t="s">
        <v>13</v>
      </c>
      <c r="M262" s="99" t="s">
        <v>5</v>
      </c>
      <c r="N262" s="99" t="s">
        <v>1206</v>
      </c>
      <c r="O262" s="99">
        <v>60</v>
      </c>
      <c r="P262" s="99" t="s">
        <v>995</v>
      </c>
      <c r="Q262" s="99"/>
      <c r="R262" s="99"/>
      <c r="S262" s="98"/>
      <c r="T262" s="93"/>
      <c r="U262" s="93"/>
      <c r="V262" s="93"/>
      <c r="W262" s="93"/>
      <c r="X262" s="93">
        <f>IF($B262="Yes",COUNTIF(Reference!P$52:P$67,$K262),"")</f>
        <v>0</v>
      </c>
      <c r="Y262" s="93">
        <f>IF($B262="Yes",COUNTIF(Reference!Q$52:Q$67,$K262),"")</f>
        <v>0</v>
      </c>
      <c r="Z262" s="93">
        <f>IF($B262="Yes",COUNTIF(Reference!R$52:R$67,$K262),"")</f>
        <v>0</v>
      </c>
      <c r="AA262" s="93">
        <f>IF($B262="Yes",COUNTIF(Reference!S$52:S$67,$K262),"")</f>
        <v>1</v>
      </c>
      <c r="AB262" s="93">
        <f>IF($B262="Yes",COUNTIF(Reference!T$52:T$67,$K262),"")</f>
        <v>0</v>
      </c>
      <c r="AC262" s="93">
        <f t="shared" si="11"/>
        <v>0</v>
      </c>
    </row>
    <row r="263" spans="1:29" x14ac:dyDescent="0.25">
      <c r="A263" s="92">
        <v>353</v>
      </c>
      <c r="B263" s="95" t="str">
        <f t="shared" si="9"/>
        <v>Yes</v>
      </c>
      <c r="H263" s="92" t="str">
        <f t="shared" si="10"/>
        <v>PL1-353</v>
      </c>
      <c r="I263" s="98"/>
      <c r="J263" s="99" t="s">
        <v>357</v>
      </c>
      <c r="K263" s="99" t="s">
        <v>6</v>
      </c>
      <c r="L263" s="99" t="s">
        <v>13</v>
      </c>
      <c r="M263" s="99" t="s">
        <v>808</v>
      </c>
      <c r="N263" s="99" t="s">
        <v>175</v>
      </c>
      <c r="O263" s="99">
        <v>60</v>
      </c>
      <c r="P263" s="99" t="s">
        <v>995</v>
      </c>
      <c r="Q263" s="99"/>
      <c r="R263" s="99"/>
      <c r="S263" s="98"/>
      <c r="T263" s="93"/>
      <c r="U263" s="93"/>
      <c r="V263" s="93"/>
      <c r="W263" s="93"/>
      <c r="X263" s="93">
        <f>IF($B263="Yes",COUNTIF(Reference!P$52:P$67,$K263),"")</f>
        <v>0</v>
      </c>
      <c r="Y263" s="93">
        <f>IF($B263="Yes",COUNTIF(Reference!Q$52:Q$67,$K263),"")</f>
        <v>0</v>
      </c>
      <c r="Z263" s="93">
        <f>IF($B263="Yes",COUNTIF(Reference!R$52:R$67,$K263),"")</f>
        <v>0</v>
      </c>
      <c r="AA263" s="93">
        <f>IF($B263="Yes",COUNTIF(Reference!S$52:S$67,$K263),"")</f>
        <v>1</v>
      </c>
      <c r="AB263" s="93">
        <f>IF($B263="Yes",COUNTIF(Reference!T$52:T$67,$K263),"")</f>
        <v>0</v>
      </c>
      <c r="AC263" s="93">
        <f t="shared" si="11"/>
        <v>0</v>
      </c>
    </row>
    <row r="264" spans="1:29" x14ac:dyDescent="0.25">
      <c r="A264" s="92">
        <v>354</v>
      </c>
      <c r="B264" s="95" t="str">
        <f t="shared" si="9"/>
        <v>Yes</v>
      </c>
      <c r="H264" s="92" t="str">
        <f t="shared" si="10"/>
        <v>PL1-354</v>
      </c>
      <c r="I264" s="98"/>
      <c r="J264" s="99" t="s">
        <v>358</v>
      </c>
      <c r="K264" s="99" t="s">
        <v>4</v>
      </c>
      <c r="L264" s="99" t="s">
        <v>13</v>
      </c>
      <c r="M264" s="99" t="s">
        <v>808</v>
      </c>
      <c r="N264" s="99" t="s">
        <v>143</v>
      </c>
      <c r="O264" s="99">
        <v>60</v>
      </c>
      <c r="P264" s="99" t="s">
        <v>995</v>
      </c>
      <c r="Q264" s="99"/>
      <c r="R264" s="99"/>
      <c r="S264" s="98"/>
      <c r="T264" s="93"/>
      <c r="U264" s="93"/>
      <c r="V264" s="93"/>
      <c r="W264" s="93"/>
      <c r="X264" s="93">
        <f>IF($B264="Yes",COUNTIF(Reference!P$52:P$67,$K264),"")</f>
        <v>0</v>
      </c>
      <c r="Y264" s="93">
        <f>IF($B264="Yes",COUNTIF(Reference!Q$52:Q$67,$K264),"")</f>
        <v>1</v>
      </c>
      <c r="Z264" s="93">
        <f>IF($B264="Yes",COUNTIF(Reference!R$52:R$67,$K264),"")</f>
        <v>0</v>
      </c>
      <c r="AA264" s="93">
        <f>IF($B264="Yes",COUNTIF(Reference!S$52:S$67,$K264),"")</f>
        <v>0</v>
      </c>
      <c r="AB264" s="93">
        <f>IF($B264="Yes",COUNTIF(Reference!T$52:T$67,$K264),"")</f>
        <v>0</v>
      </c>
      <c r="AC264" s="93">
        <f t="shared" si="11"/>
        <v>0</v>
      </c>
    </row>
    <row r="265" spans="1:29" x14ac:dyDescent="0.25">
      <c r="A265" s="92">
        <v>355</v>
      </c>
      <c r="B265" s="95" t="str">
        <f t="shared" si="9"/>
        <v>Yes</v>
      </c>
      <c r="H265" s="92" t="str">
        <f t="shared" si="10"/>
        <v>PL1-355</v>
      </c>
      <c r="I265" s="98"/>
      <c r="J265" s="99" t="s">
        <v>359</v>
      </c>
      <c r="K265" s="99" t="s">
        <v>432</v>
      </c>
      <c r="L265" s="99" t="s">
        <v>13</v>
      </c>
      <c r="M265" s="99" t="s">
        <v>5</v>
      </c>
      <c r="N265" s="99" t="s">
        <v>184</v>
      </c>
      <c r="O265" s="99">
        <v>60</v>
      </c>
      <c r="P265" s="99" t="s">
        <v>995</v>
      </c>
      <c r="Q265" s="99"/>
      <c r="R265" s="99"/>
      <c r="S265" s="98"/>
      <c r="T265" s="93"/>
      <c r="U265" s="93"/>
      <c r="V265" s="93"/>
      <c r="W265" s="93"/>
      <c r="X265" s="93">
        <f>IF($B265="Yes",COUNTIF(Reference!P$52:P$67,$K265),"")</f>
        <v>0</v>
      </c>
      <c r="Y265" s="93">
        <f>IF($B265="Yes",COUNTIF(Reference!Q$52:Q$67,$K265),"")</f>
        <v>1</v>
      </c>
      <c r="Z265" s="93">
        <f>IF($B265="Yes",COUNTIF(Reference!R$52:R$67,$K265),"")</f>
        <v>1</v>
      </c>
      <c r="AA265" s="93">
        <f>IF($B265="Yes",COUNTIF(Reference!S$52:S$67,$K265),"")</f>
        <v>1</v>
      </c>
      <c r="AB265" s="93">
        <f>IF($B265="Yes",COUNTIF(Reference!T$52:T$67,$K265),"")</f>
        <v>1</v>
      </c>
      <c r="AC265" s="93">
        <f t="shared" si="11"/>
        <v>0</v>
      </c>
    </row>
    <row r="266" spans="1:29" x14ac:dyDescent="0.25">
      <c r="A266" s="92">
        <v>356</v>
      </c>
      <c r="B266" s="95" t="str">
        <f t="shared" si="9"/>
        <v>Yes</v>
      </c>
      <c r="H266" s="92" t="str">
        <f t="shared" si="10"/>
        <v>PL1-356</v>
      </c>
      <c r="I266" s="98"/>
      <c r="J266" s="99" t="s">
        <v>360</v>
      </c>
      <c r="K266" s="99" t="s">
        <v>5</v>
      </c>
      <c r="L266" s="99" t="s">
        <v>13</v>
      </c>
      <c r="M266" s="99" t="s">
        <v>808</v>
      </c>
      <c r="N266" s="99" t="s">
        <v>898</v>
      </c>
      <c r="O266" s="99">
        <v>60</v>
      </c>
      <c r="P266" s="99" t="s">
        <v>995</v>
      </c>
      <c r="Q266" s="99"/>
      <c r="R266" s="99"/>
      <c r="S266" s="98"/>
      <c r="T266" s="93"/>
      <c r="U266" s="93"/>
      <c r="V266" s="93"/>
      <c r="W266" s="93"/>
      <c r="X266" s="93">
        <f>IF($B266="Yes",COUNTIF(Reference!P$52:P$67,$K266),"")</f>
        <v>0</v>
      </c>
      <c r="Y266" s="93">
        <f>IF($B266="Yes",COUNTIF(Reference!Q$52:Q$67,$K266),"")</f>
        <v>0</v>
      </c>
      <c r="Z266" s="93">
        <f>IF($B266="Yes",COUNTIF(Reference!R$52:R$67,$K266),"")</f>
        <v>1</v>
      </c>
      <c r="AA266" s="93">
        <f>IF($B266="Yes",COUNTIF(Reference!S$52:S$67,$K266),"")</f>
        <v>0</v>
      </c>
      <c r="AB266" s="93">
        <f>IF($B266="Yes",COUNTIF(Reference!T$52:T$67,$K266),"")</f>
        <v>0</v>
      </c>
      <c r="AC266" s="93">
        <f t="shared" si="11"/>
        <v>0</v>
      </c>
    </row>
    <row r="267" spans="1:29" x14ac:dyDescent="0.25">
      <c r="A267" s="92">
        <v>357</v>
      </c>
      <c r="B267" s="95" t="str">
        <f t="shared" ref="B267:B330" si="12">IF(COUNTBLANK(J267:M267)=0,"Yes","No")</f>
        <v>Yes</v>
      </c>
      <c r="H267" s="92" t="str">
        <f t="shared" ref="H267:H330" si="13">IF(J267="","",$A$1&amp;"-"&amp;A267)</f>
        <v>PL1-357</v>
      </c>
      <c r="I267" s="98"/>
      <c r="J267" s="99" t="s">
        <v>361</v>
      </c>
      <c r="K267" s="99" t="s">
        <v>4</v>
      </c>
      <c r="L267" s="99" t="s">
        <v>13</v>
      </c>
      <c r="M267" s="99" t="s">
        <v>5</v>
      </c>
      <c r="N267" s="99" t="s">
        <v>1207</v>
      </c>
      <c r="O267" s="99">
        <v>60</v>
      </c>
      <c r="P267" s="99" t="s">
        <v>995</v>
      </c>
      <c r="Q267" s="99"/>
      <c r="R267" s="99"/>
      <c r="S267" s="98"/>
      <c r="T267" s="93"/>
      <c r="U267" s="93"/>
      <c r="V267" s="93"/>
      <c r="W267" s="93"/>
      <c r="X267" s="93">
        <f>IF($B267="Yes",COUNTIF(Reference!P$52:P$67,$K267),"")</f>
        <v>0</v>
      </c>
      <c r="Y267" s="93">
        <f>IF($B267="Yes",COUNTIF(Reference!Q$52:Q$67,$K267),"")</f>
        <v>1</v>
      </c>
      <c r="Z267" s="93">
        <f>IF($B267="Yes",COUNTIF(Reference!R$52:R$67,$K267),"")</f>
        <v>0</v>
      </c>
      <c r="AA267" s="93">
        <f>IF($B267="Yes",COUNTIF(Reference!S$52:S$67,$K267),"")</f>
        <v>0</v>
      </c>
      <c r="AB267" s="93">
        <f>IF($B267="Yes",COUNTIF(Reference!T$52:T$67,$K267),"")</f>
        <v>0</v>
      </c>
      <c r="AC267" s="93">
        <f t="shared" ref="AC267:AC330" si="14">IF($B267="Yes",COUNTIF(K267,"N"),"")</f>
        <v>0</v>
      </c>
    </row>
    <row r="268" spans="1:29" x14ac:dyDescent="0.25">
      <c r="A268" s="92">
        <v>358</v>
      </c>
      <c r="B268" s="95" t="str">
        <f t="shared" si="12"/>
        <v>Yes</v>
      </c>
      <c r="H268" s="92" t="str">
        <f t="shared" si="13"/>
        <v>PL1-358</v>
      </c>
      <c r="I268" s="98"/>
      <c r="J268" s="99" t="s">
        <v>991</v>
      </c>
      <c r="K268" s="99" t="s">
        <v>445</v>
      </c>
      <c r="L268" s="99" t="s">
        <v>13</v>
      </c>
      <c r="M268" s="99" t="s">
        <v>380</v>
      </c>
      <c r="N268" s="99" t="s">
        <v>116</v>
      </c>
      <c r="O268" s="99">
        <v>60</v>
      </c>
      <c r="P268" s="99" t="s">
        <v>994</v>
      </c>
      <c r="Q268" s="99"/>
      <c r="R268" s="99"/>
      <c r="S268" s="98"/>
      <c r="T268" s="93"/>
      <c r="U268" s="93"/>
      <c r="V268" s="93"/>
      <c r="W268" s="93"/>
      <c r="X268" s="93">
        <f>IF($B268="Yes",COUNTIF(Reference!P$52:P$67,$K268),"")</f>
        <v>0</v>
      </c>
      <c r="Y268" s="93">
        <f>IF($B268="Yes",COUNTIF(Reference!Q$52:Q$67,$K268),"")</f>
        <v>1</v>
      </c>
      <c r="Z268" s="93">
        <f>IF($B268="Yes",COUNTIF(Reference!R$52:R$67,$K268),"")</f>
        <v>0</v>
      </c>
      <c r="AA268" s="93">
        <f>IF($B268="Yes",COUNTIF(Reference!S$52:S$67,$K268),"")</f>
        <v>1</v>
      </c>
      <c r="AB268" s="93">
        <f>IF($B268="Yes",COUNTIF(Reference!T$52:T$67,$K268),"")</f>
        <v>1</v>
      </c>
      <c r="AC268" s="93">
        <f t="shared" si="14"/>
        <v>0</v>
      </c>
    </row>
    <row r="269" spans="1:29" x14ac:dyDescent="0.25">
      <c r="A269" s="92">
        <v>359</v>
      </c>
      <c r="B269" s="95" t="str">
        <f t="shared" si="12"/>
        <v>Yes</v>
      </c>
      <c r="H269" s="92" t="str">
        <f t="shared" si="13"/>
        <v>PL1-359</v>
      </c>
      <c r="I269" s="98"/>
      <c r="J269" s="99" t="s">
        <v>362</v>
      </c>
      <c r="K269" s="99" t="s">
        <v>6</v>
      </c>
      <c r="L269" s="99" t="s">
        <v>13</v>
      </c>
      <c r="M269" s="99" t="s">
        <v>807</v>
      </c>
      <c r="N269" s="99" t="s">
        <v>897</v>
      </c>
      <c r="O269" s="99">
        <v>60</v>
      </c>
      <c r="P269" s="99" t="s">
        <v>995</v>
      </c>
      <c r="Q269" s="99"/>
      <c r="R269" s="99"/>
      <c r="S269" s="98"/>
      <c r="T269" s="93"/>
      <c r="U269" s="93"/>
      <c r="V269" s="93"/>
      <c r="W269" s="93"/>
      <c r="X269" s="93">
        <f>IF($B269="Yes",COUNTIF(Reference!P$52:P$67,$K269),"")</f>
        <v>0</v>
      </c>
      <c r="Y269" s="93">
        <f>IF($B269="Yes",COUNTIF(Reference!Q$52:Q$67,$K269),"")</f>
        <v>0</v>
      </c>
      <c r="Z269" s="93">
        <f>IF($B269="Yes",COUNTIF(Reference!R$52:R$67,$K269),"")</f>
        <v>0</v>
      </c>
      <c r="AA269" s="93">
        <f>IF($B269="Yes",COUNTIF(Reference!S$52:S$67,$K269),"")</f>
        <v>1</v>
      </c>
      <c r="AB269" s="93">
        <f>IF($B269="Yes",COUNTIF(Reference!T$52:T$67,$K269),"")</f>
        <v>0</v>
      </c>
      <c r="AC269" s="93">
        <f t="shared" si="14"/>
        <v>0</v>
      </c>
    </row>
    <row r="270" spans="1:29" x14ac:dyDescent="0.25">
      <c r="A270" s="92">
        <v>360</v>
      </c>
      <c r="B270" s="95" t="str">
        <f t="shared" si="12"/>
        <v>Yes</v>
      </c>
      <c r="H270" s="92" t="str">
        <f t="shared" si="13"/>
        <v>PL1-360</v>
      </c>
      <c r="I270" s="98"/>
      <c r="J270" s="99" t="s">
        <v>363</v>
      </c>
      <c r="K270" s="99" t="s">
        <v>428</v>
      </c>
      <c r="L270" s="99" t="s">
        <v>13</v>
      </c>
      <c r="M270" s="99" t="s">
        <v>5</v>
      </c>
      <c r="N270" s="99" t="s">
        <v>1208</v>
      </c>
      <c r="O270" s="99">
        <v>60</v>
      </c>
      <c r="P270" s="99" t="s">
        <v>995</v>
      </c>
      <c r="Q270" s="99"/>
      <c r="R270" s="99"/>
      <c r="S270" s="98"/>
      <c r="T270" s="93"/>
      <c r="U270" s="93"/>
      <c r="V270" s="93"/>
      <c r="W270" s="93"/>
      <c r="X270" s="93">
        <f>IF($B270="Yes",COUNTIF(Reference!P$52:P$67,$K270),"")</f>
        <v>0</v>
      </c>
      <c r="Y270" s="93">
        <f>IF($B270="Yes",COUNTIF(Reference!Q$52:Q$67,$K270),"")</f>
        <v>0</v>
      </c>
      <c r="Z270" s="93">
        <f>IF($B270="Yes",COUNTIF(Reference!R$52:R$67,$K270),"")</f>
        <v>0</v>
      </c>
      <c r="AA270" s="93">
        <f>IF($B270="Yes",COUNTIF(Reference!S$52:S$67,$K270),"")</f>
        <v>1</v>
      </c>
      <c r="AB270" s="93">
        <f>IF($B270="Yes",COUNTIF(Reference!T$52:T$67,$K270),"")</f>
        <v>1</v>
      </c>
      <c r="AC270" s="93">
        <f t="shared" si="14"/>
        <v>0</v>
      </c>
    </row>
    <row r="271" spans="1:29" x14ac:dyDescent="0.25">
      <c r="A271" s="92">
        <v>361</v>
      </c>
      <c r="B271" s="95" t="str">
        <f t="shared" si="12"/>
        <v>No</v>
      </c>
      <c r="H271" s="92" t="str">
        <f t="shared" si="13"/>
        <v/>
      </c>
      <c r="I271" s="98"/>
      <c r="J271" s="99"/>
      <c r="K271" s="99"/>
      <c r="L271" s="99"/>
      <c r="M271" s="99"/>
      <c r="N271" s="99"/>
      <c r="O271" s="99"/>
      <c r="P271" s="99" t="s">
        <v>995</v>
      </c>
      <c r="Q271" s="99"/>
      <c r="R271" s="99"/>
      <c r="S271" s="98"/>
      <c r="T271" s="93"/>
      <c r="U271" s="93"/>
      <c r="V271" s="93"/>
      <c r="W271" s="93"/>
      <c r="X271" s="93" t="str">
        <f>IF($B271="Yes",COUNTIF(Reference!P$52:P$67,$K271),"")</f>
        <v/>
      </c>
      <c r="Y271" s="93" t="str">
        <f>IF($B271="Yes",COUNTIF(Reference!Q$52:Q$67,$K271),"")</f>
        <v/>
      </c>
      <c r="Z271" s="93" t="str">
        <f>IF($B271="Yes",COUNTIF(Reference!R$52:R$67,$K271),"")</f>
        <v/>
      </c>
      <c r="AA271" s="93" t="str">
        <f>IF($B271="Yes",COUNTIF(Reference!S$52:S$67,$K271),"")</f>
        <v/>
      </c>
      <c r="AB271" s="93" t="str">
        <f>IF($B271="Yes",COUNTIF(Reference!T$52:T$67,$K271),"")</f>
        <v/>
      </c>
      <c r="AC271" s="93" t="str">
        <f t="shared" si="14"/>
        <v/>
      </c>
    </row>
    <row r="272" spans="1:29" x14ac:dyDescent="0.25">
      <c r="A272" s="92">
        <v>362</v>
      </c>
      <c r="B272" s="95" t="str">
        <f t="shared" si="12"/>
        <v>Yes</v>
      </c>
      <c r="H272" s="92" t="str">
        <f t="shared" si="13"/>
        <v>PL1-362</v>
      </c>
      <c r="I272" s="98"/>
      <c r="J272" s="99" t="s">
        <v>364</v>
      </c>
      <c r="K272" s="99" t="s">
        <v>444</v>
      </c>
      <c r="L272" s="99" t="s">
        <v>13</v>
      </c>
      <c r="M272" s="99" t="s">
        <v>808</v>
      </c>
      <c r="N272" s="99" t="s">
        <v>154</v>
      </c>
      <c r="O272" s="99">
        <v>60</v>
      </c>
      <c r="P272" s="99" t="s">
        <v>995</v>
      </c>
      <c r="Q272" s="99"/>
      <c r="R272" s="99"/>
      <c r="S272" s="98"/>
      <c r="T272" s="93"/>
      <c r="U272" s="93"/>
      <c r="V272" s="93"/>
      <c r="W272" s="93"/>
      <c r="X272" s="93">
        <f>IF($B272="Yes",COUNTIF(Reference!P$52:P$67,$K272),"")</f>
        <v>1</v>
      </c>
      <c r="Y272" s="93">
        <f>IF($B272="Yes",COUNTIF(Reference!Q$52:Q$67,$K272),"")</f>
        <v>0</v>
      </c>
      <c r="Z272" s="93">
        <f>IF($B272="Yes",COUNTIF(Reference!R$52:R$67,$K272),"")</f>
        <v>0</v>
      </c>
      <c r="AA272" s="93">
        <f>IF($B272="Yes",COUNTIF(Reference!S$52:S$67,$K272),"")</f>
        <v>1</v>
      </c>
      <c r="AB272" s="93">
        <f>IF($B272="Yes",COUNTIF(Reference!T$52:T$67,$K272),"")</f>
        <v>1</v>
      </c>
      <c r="AC272" s="93">
        <f t="shared" si="14"/>
        <v>0</v>
      </c>
    </row>
    <row r="273" spans="1:29" x14ac:dyDescent="0.25">
      <c r="A273" s="92">
        <v>363</v>
      </c>
      <c r="B273" s="95" t="str">
        <f t="shared" si="12"/>
        <v>Yes</v>
      </c>
      <c r="H273" s="92" t="str">
        <f t="shared" si="13"/>
        <v>PL1-363</v>
      </c>
      <c r="I273" s="98"/>
      <c r="J273" s="99" t="s">
        <v>365</v>
      </c>
      <c r="K273" s="99" t="s">
        <v>5</v>
      </c>
      <c r="L273" s="99" t="s">
        <v>13</v>
      </c>
      <c r="M273" s="99" t="s">
        <v>808</v>
      </c>
      <c r="N273" s="99" t="s">
        <v>1207</v>
      </c>
      <c r="O273" s="99">
        <v>60</v>
      </c>
      <c r="P273" s="99" t="s">
        <v>995</v>
      </c>
      <c r="Q273" s="99"/>
      <c r="R273" s="99"/>
      <c r="S273" s="98"/>
      <c r="T273" s="93"/>
      <c r="U273" s="93"/>
      <c r="V273" s="93"/>
      <c r="W273" s="93"/>
      <c r="X273" s="93">
        <f>IF($B273="Yes",COUNTIF(Reference!P$52:P$67,$K273),"")</f>
        <v>0</v>
      </c>
      <c r="Y273" s="93">
        <f>IF($B273="Yes",COUNTIF(Reference!Q$52:Q$67,$K273),"")</f>
        <v>0</v>
      </c>
      <c r="Z273" s="93">
        <f>IF($B273="Yes",COUNTIF(Reference!R$52:R$67,$K273),"")</f>
        <v>1</v>
      </c>
      <c r="AA273" s="93">
        <f>IF($B273="Yes",COUNTIF(Reference!S$52:S$67,$K273),"")</f>
        <v>0</v>
      </c>
      <c r="AB273" s="93">
        <f>IF($B273="Yes",COUNTIF(Reference!T$52:T$67,$K273),"")</f>
        <v>0</v>
      </c>
      <c r="AC273" s="93">
        <f t="shared" si="14"/>
        <v>0</v>
      </c>
    </row>
    <row r="274" spans="1:29" x14ac:dyDescent="0.25">
      <c r="A274" s="92">
        <v>364</v>
      </c>
      <c r="B274" s="95" t="str">
        <f t="shared" si="12"/>
        <v>Yes</v>
      </c>
      <c r="H274" s="92" t="str">
        <f t="shared" si="13"/>
        <v>PL1-364</v>
      </c>
      <c r="I274" s="98"/>
      <c r="J274" s="99" t="s">
        <v>366</v>
      </c>
      <c r="K274" s="99" t="s">
        <v>428</v>
      </c>
      <c r="L274" s="99" t="s">
        <v>13</v>
      </c>
      <c r="M274" s="99" t="s">
        <v>807</v>
      </c>
      <c r="N274" s="99" t="s">
        <v>1203</v>
      </c>
      <c r="O274" s="99">
        <v>60</v>
      </c>
      <c r="P274" s="99" t="s">
        <v>995</v>
      </c>
      <c r="Q274" s="99"/>
      <c r="R274" s="99"/>
      <c r="S274" s="98"/>
      <c r="T274" s="93"/>
      <c r="U274" s="93"/>
      <c r="V274" s="93"/>
      <c r="W274" s="93"/>
      <c r="X274" s="93">
        <f>IF($B274="Yes",COUNTIF(Reference!P$52:P$67,$K274),"")</f>
        <v>0</v>
      </c>
      <c r="Y274" s="93">
        <f>IF($B274="Yes",COUNTIF(Reference!Q$52:Q$67,$K274),"")</f>
        <v>0</v>
      </c>
      <c r="Z274" s="93">
        <f>IF($B274="Yes",COUNTIF(Reference!R$52:R$67,$K274),"")</f>
        <v>0</v>
      </c>
      <c r="AA274" s="93">
        <f>IF($B274="Yes",COUNTIF(Reference!S$52:S$67,$K274),"")</f>
        <v>1</v>
      </c>
      <c r="AB274" s="93">
        <f>IF($B274="Yes",COUNTIF(Reference!T$52:T$67,$K274),"")</f>
        <v>1</v>
      </c>
      <c r="AC274" s="93">
        <f t="shared" si="14"/>
        <v>0</v>
      </c>
    </row>
    <row r="275" spans="1:29" x14ac:dyDescent="0.25">
      <c r="A275" s="92">
        <v>365</v>
      </c>
      <c r="B275" s="95" t="str">
        <f t="shared" si="12"/>
        <v>Yes</v>
      </c>
      <c r="H275" s="92" t="str">
        <f t="shared" si="13"/>
        <v>PL1-365</v>
      </c>
      <c r="I275" s="98"/>
      <c r="J275" s="99" t="s">
        <v>367</v>
      </c>
      <c r="K275" s="99" t="s">
        <v>436</v>
      </c>
      <c r="L275" s="99" t="s">
        <v>13</v>
      </c>
      <c r="M275" s="99" t="s">
        <v>5</v>
      </c>
      <c r="N275" s="99" t="s">
        <v>1206</v>
      </c>
      <c r="O275" s="99">
        <v>60</v>
      </c>
      <c r="P275" s="99" t="s">
        <v>995</v>
      </c>
      <c r="Q275" s="99"/>
      <c r="R275" s="99"/>
      <c r="S275" s="98"/>
      <c r="T275" s="93"/>
      <c r="U275" s="93"/>
      <c r="V275" s="93"/>
      <c r="W275" s="93"/>
      <c r="X275" s="93">
        <f>IF($B275="Yes",COUNTIF(Reference!P$52:P$67,$K275),"")</f>
        <v>1</v>
      </c>
      <c r="Y275" s="93">
        <f>IF($B275="Yes",COUNTIF(Reference!Q$52:Q$67,$K275),"")</f>
        <v>0</v>
      </c>
      <c r="Z275" s="93">
        <f>IF($B275="Yes",COUNTIF(Reference!R$52:R$67,$K275),"")</f>
        <v>0</v>
      </c>
      <c r="AA275" s="93">
        <f>IF($B275="Yes",COUNTIF(Reference!S$52:S$67,$K275),"")</f>
        <v>0</v>
      </c>
      <c r="AB275" s="93">
        <f>IF($B275="Yes",COUNTIF(Reference!T$52:T$67,$K275),"")</f>
        <v>1</v>
      </c>
      <c r="AC275" s="93">
        <f t="shared" si="14"/>
        <v>0</v>
      </c>
    </row>
    <row r="276" spans="1:29" x14ac:dyDescent="0.25">
      <c r="A276" s="92">
        <v>366</v>
      </c>
      <c r="B276" s="95" t="str">
        <f t="shared" si="12"/>
        <v>Yes</v>
      </c>
      <c r="H276" s="92" t="str">
        <f t="shared" si="13"/>
        <v>PL1-366</v>
      </c>
      <c r="I276" s="98"/>
      <c r="J276" s="99" t="s">
        <v>368</v>
      </c>
      <c r="K276" s="99" t="s">
        <v>432</v>
      </c>
      <c r="L276" s="99" t="s">
        <v>13</v>
      </c>
      <c r="M276" s="99" t="s">
        <v>807</v>
      </c>
      <c r="N276" s="99" t="s">
        <v>992</v>
      </c>
      <c r="O276" s="99">
        <v>60</v>
      </c>
      <c r="P276" s="99" t="s">
        <v>995</v>
      </c>
      <c r="Q276" s="99"/>
      <c r="R276" s="99"/>
      <c r="S276" s="98"/>
      <c r="T276" s="93"/>
      <c r="U276" s="93"/>
      <c r="V276" s="93"/>
      <c r="W276" s="93"/>
      <c r="X276" s="93">
        <f>IF($B276="Yes",COUNTIF(Reference!P$52:P$67,$K276),"")</f>
        <v>0</v>
      </c>
      <c r="Y276" s="93">
        <f>IF($B276="Yes",COUNTIF(Reference!Q$52:Q$67,$K276),"")</f>
        <v>1</v>
      </c>
      <c r="Z276" s="93">
        <f>IF($B276="Yes",COUNTIF(Reference!R$52:R$67,$K276),"")</f>
        <v>1</v>
      </c>
      <c r="AA276" s="93">
        <f>IF($B276="Yes",COUNTIF(Reference!S$52:S$67,$K276),"")</f>
        <v>1</v>
      </c>
      <c r="AB276" s="93">
        <f>IF($B276="Yes",COUNTIF(Reference!T$52:T$67,$K276),"")</f>
        <v>1</v>
      </c>
      <c r="AC276" s="93">
        <f t="shared" si="14"/>
        <v>0</v>
      </c>
    </row>
    <row r="277" spans="1:29" x14ac:dyDescent="0.25">
      <c r="A277" s="92">
        <v>367</v>
      </c>
      <c r="B277" s="95" t="str">
        <f t="shared" si="12"/>
        <v>Yes</v>
      </c>
      <c r="H277" s="92" t="str">
        <f t="shared" si="13"/>
        <v>PL1-367</v>
      </c>
      <c r="I277" s="98"/>
      <c r="J277" s="99" t="s">
        <v>369</v>
      </c>
      <c r="K277" s="99" t="s">
        <v>420</v>
      </c>
      <c r="L277" s="99" t="s">
        <v>30</v>
      </c>
      <c r="M277" s="99" t="s">
        <v>5</v>
      </c>
      <c r="N277" s="99" t="s">
        <v>992</v>
      </c>
      <c r="O277" s="99">
        <v>100</v>
      </c>
      <c r="P277" s="99" t="s">
        <v>995</v>
      </c>
      <c r="Q277" s="99"/>
      <c r="R277" s="99"/>
      <c r="S277" s="98"/>
      <c r="T277" s="93"/>
      <c r="U277" s="93"/>
      <c r="V277" s="93"/>
      <c r="W277" s="93"/>
      <c r="X277" s="93">
        <f>IF($B277="Yes",COUNTIF(Reference!P$52:P$67,$K277),"")</f>
        <v>0</v>
      </c>
      <c r="Y277" s="93">
        <f>IF($B277="Yes",COUNTIF(Reference!Q$52:Q$67,$K277),"")</f>
        <v>0</v>
      </c>
      <c r="Z277" s="93">
        <f>IF($B277="Yes",COUNTIF(Reference!R$52:R$67,$K277),"")</f>
        <v>1</v>
      </c>
      <c r="AA277" s="93">
        <f>IF($B277="Yes",COUNTIF(Reference!S$52:S$67,$K277),"")</f>
        <v>1</v>
      </c>
      <c r="AB277" s="93">
        <f>IF($B277="Yes",COUNTIF(Reference!T$52:T$67,$K277),"")</f>
        <v>0</v>
      </c>
      <c r="AC277" s="93">
        <f t="shared" si="14"/>
        <v>0</v>
      </c>
    </row>
    <row r="278" spans="1:29" x14ac:dyDescent="0.25">
      <c r="A278" s="92">
        <v>368</v>
      </c>
      <c r="B278" s="95" t="str">
        <f t="shared" si="12"/>
        <v>Yes</v>
      </c>
      <c r="H278" s="92" t="str">
        <f t="shared" si="13"/>
        <v>PL1-368</v>
      </c>
      <c r="I278" s="98"/>
      <c r="J278" s="99" t="s">
        <v>370</v>
      </c>
      <c r="K278" s="99" t="s">
        <v>441</v>
      </c>
      <c r="L278" s="99" t="s">
        <v>13</v>
      </c>
      <c r="M278" s="99" t="s">
        <v>5</v>
      </c>
      <c r="N278" s="99" t="s">
        <v>1203</v>
      </c>
      <c r="O278" s="99">
        <v>60</v>
      </c>
      <c r="P278" s="99" t="s">
        <v>995</v>
      </c>
      <c r="Q278" s="99"/>
      <c r="R278" s="99"/>
      <c r="S278" s="98"/>
      <c r="T278" s="93"/>
      <c r="U278" s="93"/>
      <c r="V278" s="93"/>
      <c r="W278" s="93"/>
      <c r="X278" s="93">
        <f>IF($B278="Yes",COUNTIF(Reference!P$52:P$67,$K278),"")</f>
        <v>0</v>
      </c>
      <c r="Y278" s="93">
        <f>IF($B278="Yes",COUNTIF(Reference!Q$52:Q$67,$K278),"")</f>
        <v>1</v>
      </c>
      <c r="Z278" s="93">
        <f>IF($B278="Yes",COUNTIF(Reference!R$52:R$67,$K278),"")</f>
        <v>0</v>
      </c>
      <c r="AA278" s="93">
        <f>IF($B278="Yes",COUNTIF(Reference!S$52:S$67,$K278),"")</f>
        <v>1</v>
      </c>
      <c r="AB278" s="93">
        <f>IF($B278="Yes",COUNTIF(Reference!T$52:T$67,$K278),"")</f>
        <v>0</v>
      </c>
      <c r="AC278" s="93">
        <f t="shared" si="14"/>
        <v>0</v>
      </c>
    </row>
    <row r="279" spans="1:29" x14ac:dyDescent="0.25">
      <c r="A279" s="92">
        <v>369</v>
      </c>
      <c r="B279" s="95" t="str">
        <f t="shared" si="12"/>
        <v>Yes</v>
      </c>
      <c r="H279" s="92" t="str">
        <f t="shared" si="13"/>
        <v>PL1-369</v>
      </c>
      <c r="I279" s="98"/>
      <c r="J279" s="99" t="s">
        <v>371</v>
      </c>
      <c r="K279" s="99" t="s">
        <v>468</v>
      </c>
      <c r="L279" s="99" t="s">
        <v>13</v>
      </c>
      <c r="M279" s="99" t="s">
        <v>807</v>
      </c>
      <c r="N279" s="99" t="s">
        <v>151</v>
      </c>
      <c r="O279" s="99">
        <v>80</v>
      </c>
      <c r="P279" s="99" t="s">
        <v>995</v>
      </c>
      <c r="Q279" s="99"/>
      <c r="R279" s="99"/>
      <c r="S279" s="98"/>
      <c r="T279" s="93"/>
      <c r="U279" s="93"/>
      <c r="V279" s="93"/>
      <c r="W279" s="93"/>
      <c r="X279" s="93">
        <f>IF($B279="Yes",COUNTIF(Reference!P$52:P$67,$K279),"")</f>
        <v>1</v>
      </c>
      <c r="Y279" s="93">
        <f>IF($B279="Yes",COUNTIF(Reference!Q$52:Q$67,$K279),"")</f>
        <v>1</v>
      </c>
      <c r="Z279" s="93">
        <f>IF($B279="Yes",COUNTIF(Reference!R$52:R$67,$K279),"")</f>
        <v>0</v>
      </c>
      <c r="AA279" s="93">
        <f>IF($B279="Yes",COUNTIF(Reference!S$52:S$67,$K279),"")</f>
        <v>1</v>
      </c>
      <c r="AB279" s="93">
        <f>IF($B279="Yes",COUNTIF(Reference!T$52:T$67,$K279),"")</f>
        <v>1</v>
      </c>
      <c r="AC279" s="93">
        <f t="shared" si="14"/>
        <v>0</v>
      </c>
    </row>
    <row r="280" spans="1:29" x14ac:dyDescent="0.25">
      <c r="A280" s="92">
        <v>370</v>
      </c>
      <c r="B280" s="95" t="str">
        <f t="shared" si="12"/>
        <v>Yes</v>
      </c>
      <c r="H280" s="92" t="str">
        <f t="shared" si="13"/>
        <v>PL1-370</v>
      </c>
      <c r="I280" s="98"/>
      <c r="J280" s="99" t="s">
        <v>372</v>
      </c>
      <c r="K280" s="99" t="s">
        <v>7</v>
      </c>
      <c r="L280" s="99" t="s">
        <v>13</v>
      </c>
      <c r="M280" s="99" t="s">
        <v>807</v>
      </c>
      <c r="N280" s="99" t="s">
        <v>145</v>
      </c>
      <c r="O280" s="99">
        <v>60</v>
      </c>
      <c r="P280" s="99" t="s">
        <v>995</v>
      </c>
      <c r="Q280" s="99"/>
      <c r="R280" s="99"/>
      <c r="S280" s="98"/>
      <c r="T280" s="93"/>
      <c r="U280" s="93"/>
      <c r="V280" s="93"/>
      <c r="W280" s="93"/>
      <c r="X280" s="93">
        <f>IF($B280="Yes",COUNTIF(Reference!P$52:P$67,$K280),"")</f>
        <v>0</v>
      </c>
      <c r="Y280" s="93">
        <f>IF($B280="Yes",COUNTIF(Reference!Q$52:Q$67,$K280),"")</f>
        <v>0</v>
      </c>
      <c r="Z280" s="93">
        <f>IF($B280="Yes",COUNTIF(Reference!R$52:R$67,$K280),"")</f>
        <v>0</v>
      </c>
      <c r="AA280" s="93">
        <f>IF($B280="Yes",COUNTIF(Reference!S$52:S$67,$K280),"")</f>
        <v>0</v>
      </c>
      <c r="AB280" s="93">
        <f>IF($B280="Yes",COUNTIF(Reference!T$52:T$67,$K280),"")</f>
        <v>1</v>
      </c>
      <c r="AC280" s="93">
        <f t="shared" si="14"/>
        <v>0</v>
      </c>
    </row>
    <row r="281" spans="1:29" x14ac:dyDescent="0.25">
      <c r="A281" s="92">
        <v>371</v>
      </c>
      <c r="B281" s="95" t="str">
        <f t="shared" si="12"/>
        <v>Yes</v>
      </c>
      <c r="H281" s="92" t="str">
        <f t="shared" si="13"/>
        <v>PL1-371</v>
      </c>
      <c r="I281" s="98"/>
      <c r="J281" s="99" t="s">
        <v>373</v>
      </c>
      <c r="K281" s="99" t="s">
        <v>465</v>
      </c>
      <c r="L281" s="99" t="s">
        <v>30</v>
      </c>
      <c r="M281" s="99" t="s">
        <v>807</v>
      </c>
      <c r="N281" s="99" t="s">
        <v>1207</v>
      </c>
      <c r="O281" s="99">
        <v>100</v>
      </c>
      <c r="P281" s="99" t="s">
        <v>995</v>
      </c>
      <c r="Q281" s="99"/>
      <c r="R281" s="99"/>
      <c r="S281" s="98"/>
      <c r="T281" s="93"/>
      <c r="U281" s="93"/>
      <c r="V281" s="93"/>
      <c r="W281" s="93"/>
      <c r="X281" s="93">
        <f>IF($B281="Yes",COUNTIF(Reference!P$52:P$67,$K281),"")</f>
        <v>1</v>
      </c>
      <c r="Y281" s="93">
        <f>IF($B281="Yes",COUNTIF(Reference!Q$52:Q$67,$K281),"")</f>
        <v>1</v>
      </c>
      <c r="Z281" s="93">
        <f>IF($B281="Yes",COUNTIF(Reference!R$52:R$67,$K281),"")</f>
        <v>0</v>
      </c>
      <c r="AA281" s="93">
        <f>IF($B281="Yes",COUNTIF(Reference!S$52:S$67,$K281),"")</f>
        <v>1</v>
      </c>
      <c r="AB281" s="93">
        <f>IF($B281="Yes",COUNTIF(Reference!T$52:T$67,$K281),"")</f>
        <v>0</v>
      </c>
      <c r="AC281" s="93">
        <f t="shared" si="14"/>
        <v>0</v>
      </c>
    </row>
    <row r="282" spans="1:29" x14ac:dyDescent="0.25">
      <c r="A282" s="92">
        <v>372</v>
      </c>
      <c r="B282" s="95" t="str">
        <f t="shared" si="12"/>
        <v>Yes</v>
      </c>
      <c r="H282" s="92" t="str">
        <f t="shared" si="13"/>
        <v>PL1-372</v>
      </c>
      <c r="I282" s="98"/>
      <c r="J282" s="99" t="s">
        <v>374</v>
      </c>
      <c r="K282" s="99" t="s">
        <v>3</v>
      </c>
      <c r="L282" s="99" t="s">
        <v>30</v>
      </c>
      <c r="M282" s="99" t="s">
        <v>807</v>
      </c>
      <c r="N282" s="99" t="s">
        <v>1202</v>
      </c>
      <c r="O282" s="99">
        <v>100</v>
      </c>
      <c r="P282" s="99" t="s">
        <v>995</v>
      </c>
      <c r="Q282" s="99"/>
      <c r="R282" s="99"/>
      <c r="S282" s="98"/>
      <c r="T282" s="93"/>
      <c r="U282" s="93"/>
      <c r="V282" s="93"/>
      <c r="W282" s="93"/>
      <c r="X282" s="93">
        <f>IF($B282="Yes",COUNTIF(Reference!P$52:P$67,$K282),"")</f>
        <v>1</v>
      </c>
      <c r="Y282" s="93">
        <f>IF($B282="Yes",COUNTIF(Reference!Q$52:Q$67,$K282),"")</f>
        <v>0</v>
      </c>
      <c r="Z282" s="93">
        <f>IF($B282="Yes",COUNTIF(Reference!R$52:R$67,$K282),"")</f>
        <v>0</v>
      </c>
      <c r="AA282" s="93">
        <f>IF($B282="Yes",COUNTIF(Reference!S$52:S$67,$K282),"")</f>
        <v>0</v>
      </c>
      <c r="AB282" s="93">
        <f>IF($B282="Yes",COUNTIF(Reference!T$52:T$67,$K282),"")</f>
        <v>0</v>
      </c>
      <c r="AC282" s="93">
        <f t="shared" si="14"/>
        <v>0</v>
      </c>
    </row>
    <row r="283" spans="1:29" x14ac:dyDescent="0.25">
      <c r="A283" s="92">
        <v>373</v>
      </c>
      <c r="B283" s="95" t="str">
        <f t="shared" si="12"/>
        <v>Yes</v>
      </c>
      <c r="H283" s="92" t="str">
        <f t="shared" si="13"/>
        <v>PL1-373</v>
      </c>
      <c r="I283" s="98"/>
      <c r="J283" s="99" t="s">
        <v>375</v>
      </c>
      <c r="K283" s="99" t="s">
        <v>450</v>
      </c>
      <c r="L283" s="99" t="s">
        <v>30</v>
      </c>
      <c r="M283" s="99" t="s">
        <v>807</v>
      </c>
      <c r="N283" s="99" t="s">
        <v>1209</v>
      </c>
      <c r="O283" s="99">
        <v>100</v>
      </c>
      <c r="P283" s="99" t="s">
        <v>995</v>
      </c>
      <c r="Q283" s="99"/>
      <c r="R283" s="99"/>
      <c r="S283" s="98"/>
      <c r="T283" s="93"/>
      <c r="U283" s="93"/>
      <c r="V283" s="93"/>
      <c r="W283" s="93"/>
      <c r="X283" s="93">
        <f>IF($B283="Yes",COUNTIF(Reference!P$52:P$67,$K283),"")</f>
        <v>1</v>
      </c>
      <c r="Y283" s="93">
        <f>IF($B283="Yes",COUNTIF(Reference!Q$52:Q$67,$K283),"")</f>
        <v>1</v>
      </c>
      <c r="Z283" s="93">
        <f>IF($B283="Yes",COUNTIF(Reference!R$52:R$67,$K283),"")</f>
        <v>1</v>
      </c>
      <c r="AA283" s="93">
        <f>IF($B283="Yes",COUNTIF(Reference!S$52:S$67,$K283),"")</f>
        <v>0</v>
      </c>
      <c r="AB283" s="93">
        <f>IF($B283="Yes",COUNTIF(Reference!T$52:T$67,$K283),"")</f>
        <v>0</v>
      </c>
      <c r="AC283" s="93">
        <f t="shared" si="14"/>
        <v>0</v>
      </c>
    </row>
    <row r="284" spans="1:29" x14ac:dyDescent="0.25">
      <c r="A284" s="92">
        <v>374</v>
      </c>
      <c r="B284" s="95" t="str">
        <f t="shared" si="12"/>
        <v>No</v>
      </c>
      <c r="H284" s="92" t="str">
        <f t="shared" si="13"/>
        <v/>
      </c>
      <c r="I284" s="98"/>
      <c r="J284" s="99"/>
      <c r="K284" s="99"/>
      <c r="L284" s="99"/>
      <c r="M284" s="99"/>
      <c r="N284" s="99"/>
      <c r="O284" s="99"/>
      <c r="P284" s="99"/>
      <c r="Q284" s="99"/>
      <c r="R284" s="99"/>
      <c r="S284" s="98"/>
      <c r="T284" s="93"/>
      <c r="U284" s="93"/>
      <c r="V284" s="93"/>
      <c r="W284" s="93"/>
      <c r="X284" s="93" t="str">
        <f>IF($B284="Yes",COUNTIF(Reference!P$52:P$67,$K284),"")</f>
        <v/>
      </c>
      <c r="Y284" s="93" t="str">
        <f>IF($B284="Yes",COUNTIF(Reference!Q$52:Q$67,$K284),"")</f>
        <v/>
      </c>
      <c r="Z284" s="93" t="str">
        <f>IF($B284="Yes",COUNTIF(Reference!R$52:R$67,$K284),"")</f>
        <v/>
      </c>
      <c r="AA284" s="93" t="str">
        <f>IF($B284="Yes",COUNTIF(Reference!S$52:S$67,$K284),"")</f>
        <v/>
      </c>
      <c r="AB284" s="93" t="str">
        <f>IF($B284="Yes",COUNTIF(Reference!T$52:T$67,$K284),"")</f>
        <v/>
      </c>
      <c r="AC284" s="93" t="str">
        <f t="shared" si="14"/>
        <v/>
      </c>
    </row>
    <row r="285" spans="1:29" x14ac:dyDescent="0.25">
      <c r="A285" s="92">
        <v>375</v>
      </c>
      <c r="B285" s="95" t="str">
        <f t="shared" si="12"/>
        <v>No</v>
      </c>
      <c r="H285" s="92" t="str">
        <f t="shared" si="13"/>
        <v/>
      </c>
      <c r="I285" s="98"/>
      <c r="J285" s="99"/>
      <c r="K285" s="99"/>
      <c r="L285" s="99"/>
      <c r="M285" s="99"/>
      <c r="N285" s="99"/>
      <c r="O285" s="99"/>
      <c r="P285" s="99"/>
      <c r="Q285" s="99"/>
      <c r="R285" s="99"/>
      <c r="S285" s="98"/>
      <c r="T285" s="93"/>
      <c r="U285" s="93"/>
      <c r="V285" s="93"/>
      <c r="W285" s="93"/>
      <c r="X285" s="93" t="str">
        <f>IF($B285="Yes",COUNTIF(Reference!P$52:P$67,$K285),"")</f>
        <v/>
      </c>
      <c r="Y285" s="93" t="str">
        <f>IF($B285="Yes",COUNTIF(Reference!Q$52:Q$67,$K285),"")</f>
        <v/>
      </c>
      <c r="Z285" s="93" t="str">
        <f>IF($B285="Yes",COUNTIF(Reference!R$52:R$67,$K285),"")</f>
        <v/>
      </c>
      <c r="AA285" s="93" t="str">
        <f>IF($B285="Yes",COUNTIF(Reference!S$52:S$67,$K285),"")</f>
        <v/>
      </c>
      <c r="AB285" s="93" t="str">
        <f>IF($B285="Yes",COUNTIF(Reference!T$52:T$67,$K285),"")</f>
        <v/>
      </c>
      <c r="AC285" s="93" t="str">
        <f t="shared" si="14"/>
        <v/>
      </c>
    </row>
    <row r="286" spans="1:29" x14ac:dyDescent="0.25">
      <c r="A286" s="92">
        <v>376</v>
      </c>
      <c r="B286" s="95" t="str">
        <f t="shared" si="12"/>
        <v>No</v>
      </c>
      <c r="H286" s="92" t="str">
        <f t="shared" si="13"/>
        <v/>
      </c>
      <c r="I286" s="98"/>
      <c r="J286" s="99"/>
      <c r="K286" s="99"/>
      <c r="L286" s="99"/>
      <c r="M286" s="99"/>
      <c r="N286" s="99"/>
      <c r="O286" s="99"/>
      <c r="P286" s="99"/>
      <c r="Q286" s="99"/>
      <c r="R286" s="99"/>
      <c r="S286" s="98"/>
      <c r="T286" s="93"/>
      <c r="U286" s="93"/>
      <c r="V286" s="93"/>
      <c r="W286" s="93"/>
      <c r="X286" s="93" t="str">
        <f>IF($B286="Yes",COUNTIF(Reference!P$52:P$67,$K286),"")</f>
        <v/>
      </c>
      <c r="Y286" s="93" t="str">
        <f>IF($B286="Yes",COUNTIF(Reference!Q$52:Q$67,$K286),"")</f>
        <v/>
      </c>
      <c r="Z286" s="93" t="str">
        <f>IF($B286="Yes",COUNTIF(Reference!R$52:R$67,$K286),"")</f>
        <v/>
      </c>
      <c r="AA286" s="93" t="str">
        <f>IF($B286="Yes",COUNTIF(Reference!S$52:S$67,$K286),"")</f>
        <v/>
      </c>
      <c r="AB286" s="93" t="str">
        <f>IF($B286="Yes",COUNTIF(Reference!T$52:T$67,$K286),"")</f>
        <v/>
      </c>
      <c r="AC286" s="93" t="str">
        <f t="shared" si="14"/>
        <v/>
      </c>
    </row>
    <row r="287" spans="1:29" x14ac:dyDescent="0.25">
      <c r="A287" s="92">
        <v>377</v>
      </c>
      <c r="B287" s="95" t="str">
        <f t="shared" si="12"/>
        <v>No</v>
      </c>
      <c r="H287" s="92" t="str">
        <f t="shared" si="13"/>
        <v/>
      </c>
      <c r="I287" s="98"/>
      <c r="J287" s="99"/>
      <c r="K287" s="99"/>
      <c r="L287" s="99"/>
      <c r="M287" s="99"/>
      <c r="N287" s="99"/>
      <c r="O287" s="99"/>
      <c r="P287" s="99"/>
      <c r="Q287" s="99"/>
      <c r="R287" s="99"/>
      <c r="S287" s="98"/>
      <c r="T287" s="93"/>
      <c r="U287" s="93"/>
      <c r="V287" s="93"/>
      <c r="W287" s="93"/>
      <c r="X287" s="93" t="str">
        <f>IF($B287="Yes",COUNTIF(Reference!P$52:P$67,$K287),"")</f>
        <v/>
      </c>
      <c r="Y287" s="93" t="str">
        <f>IF($B287="Yes",COUNTIF(Reference!Q$52:Q$67,$K287),"")</f>
        <v/>
      </c>
      <c r="Z287" s="93" t="str">
        <f>IF($B287="Yes",COUNTIF(Reference!R$52:R$67,$K287),"")</f>
        <v/>
      </c>
      <c r="AA287" s="93" t="str">
        <f>IF($B287="Yes",COUNTIF(Reference!S$52:S$67,$K287),"")</f>
        <v/>
      </c>
      <c r="AB287" s="93" t="str">
        <f>IF($B287="Yes",COUNTIF(Reference!T$52:T$67,$K287),"")</f>
        <v/>
      </c>
      <c r="AC287" s="93" t="str">
        <f t="shared" si="14"/>
        <v/>
      </c>
    </row>
    <row r="288" spans="1:29" x14ac:dyDescent="0.25">
      <c r="A288" s="92">
        <v>378</v>
      </c>
      <c r="B288" s="95" t="str">
        <f t="shared" si="12"/>
        <v>No</v>
      </c>
      <c r="H288" s="92" t="str">
        <f t="shared" si="13"/>
        <v/>
      </c>
      <c r="I288" s="98"/>
      <c r="J288" s="99"/>
      <c r="K288" s="99"/>
      <c r="L288" s="99"/>
      <c r="M288" s="99"/>
      <c r="N288" s="99"/>
      <c r="O288" s="99"/>
      <c r="P288" s="99"/>
      <c r="Q288" s="99"/>
      <c r="R288" s="99"/>
      <c r="S288" s="98"/>
      <c r="T288" s="93"/>
      <c r="U288" s="93"/>
      <c r="V288" s="93"/>
      <c r="W288" s="93"/>
      <c r="X288" s="93" t="str">
        <f>IF($B288="Yes",COUNTIF(Reference!P$52:P$67,$K288),"")</f>
        <v/>
      </c>
      <c r="Y288" s="93" t="str">
        <f>IF($B288="Yes",COUNTIF(Reference!Q$52:Q$67,$K288),"")</f>
        <v/>
      </c>
      <c r="Z288" s="93" t="str">
        <f>IF($B288="Yes",COUNTIF(Reference!R$52:R$67,$K288),"")</f>
        <v/>
      </c>
      <c r="AA288" s="93" t="str">
        <f>IF($B288="Yes",COUNTIF(Reference!S$52:S$67,$K288),"")</f>
        <v/>
      </c>
      <c r="AB288" s="93" t="str">
        <f>IF($B288="Yes",COUNTIF(Reference!T$52:T$67,$K288),"")</f>
        <v/>
      </c>
      <c r="AC288" s="93" t="str">
        <f t="shared" si="14"/>
        <v/>
      </c>
    </row>
    <row r="289" spans="1:29" x14ac:dyDescent="0.25">
      <c r="A289" s="92">
        <v>379</v>
      </c>
      <c r="B289" s="95" t="str">
        <f t="shared" si="12"/>
        <v>No</v>
      </c>
      <c r="H289" s="92" t="str">
        <f t="shared" si="13"/>
        <v/>
      </c>
      <c r="I289" s="98"/>
      <c r="J289" s="99"/>
      <c r="K289" s="99"/>
      <c r="L289" s="99"/>
      <c r="M289" s="99"/>
      <c r="N289" s="99"/>
      <c r="O289" s="99"/>
      <c r="P289" s="99"/>
      <c r="Q289" s="99"/>
      <c r="R289" s="99"/>
      <c r="S289" s="98"/>
      <c r="T289" s="93"/>
      <c r="U289" s="93"/>
      <c r="V289" s="93"/>
      <c r="W289" s="93"/>
      <c r="X289" s="93" t="str">
        <f>IF($B289="Yes",COUNTIF(Reference!P$52:P$67,$K289),"")</f>
        <v/>
      </c>
      <c r="Y289" s="93" t="str">
        <f>IF($B289="Yes",COUNTIF(Reference!Q$52:Q$67,$K289),"")</f>
        <v/>
      </c>
      <c r="Z289" s="93" t="str">
        <f>IF($B289="Yes",COUNTIF(Reference!R$52:R$67,$K289),"")</f>
        <v/>
      </c>
      <c r="AA289" s="93" t="str">
        <f>IF($B289="Yes",COUNTIF(Reference!S$52:S$67,$K289),"")</f>
        <v/>
      </c>
      <c r="AB289" s="93" t="str">
        <f>IF($B289="Yes",COUNTIF(Reference!T$52:T$67,$K289),"")</f>
        <v/>
      </c>
      <c r="AC289" s="93" t="str">
        <f t="shared" si="14"/>
        <v/>
      </c>
    </row>
    <row r="290" spans="1:29" x14ac:dyDescent="0.25">
      <c r="A290" s="92">
        <v>380</v>
      </c>
      <c r="B290" s="95" t="str">
        <f t="shared" si="12"/>
        <v>No</v>
      </c>
      <c r="H290" s="92" t="str">
        <f t="shared" si="13"/>
        <v/>
      </c>
      <c r="I290" s="98"/>
      <c r="J290" s="99"/>
      <c r="K290" s="99"/>
      <c r="L290" s="99"/>
      <c r="M290" s="99"/>
      <c r="N290" s="99"/>
      <c r="O290" s="99"/>
      <c r="P290" s="99"/>
      <c r="Q290" s="99"/>
      <c r="R290" s="99"/>
      <c r="S290" s="98"/>
      <c r="T290" s="93"/>
      <c r="U290" s="93"/>
      <c r="V290" s="93"/>
      <c r="W290" s="93"/>
      <c r="X290" s="93" t="str">
        <f>IF($B290="Yes",COUNTIF(Reference!P$52:P$67,$K290),"")</f>
        <v/>
      </c>
      <c r="Y290" s="93" t="str">
        <f>IF($B290="Yes",COUNTIF(Reference!Q$52:Q$67,$K290),"")</f>
        <v/>
      </c>
      <c r="Z290" s="93" t="str">
        <f>IF($B290="Yes",COUNTIF(Reference!R$52:R$67,$K290),"")</f>
        <v/>
      </c>
      <c r="AA290" s="93" t="str">
        <f>IF($B290="Yes",COUNTIF(Reference!S$52:S$67,$K290),"")</f>
        <v/>
      </c>
      <c r="AB290" s="93" t="str">
        <f>IF($B290="Yes",COUNTIF(Reference!T$52:T$67,$K290),"")</f>
        <v/>
      </c>
      <c r="AC290" s="93" t="str">
        <f t="shared" si="14"/>
        <v/>
      </c>
    </row>
    <row r="291" spans="1:29" x14ac:dyDescent="0.25">
      <c r="A291" s="92">
        <v>381</v>
      </c>
      <c r="B291" s="95" t="str">
        <f t="shared" si="12"/>
        <v>No</v>
      </c>
      <c r="H291" s="92" t="str">
        <f t="shared" si="13"/>
        <v/>
      </c>
      <c r="I291" s="98"/>
      <c r="J291" s="99"/>
      <c r="K291" s="99"/>
      <c r="L291" s="99"/>
      <c r="M291" s="99"/>
      <c r="N291" s="99"/>
      <c r="O291" s="99"/>
      <c r="P291" s="99"/>
      <c r="Q291" s="99"/>
      <c r="R291" s="99"/>
      <c r="S291" s="98"/>
      <c r="T291" s="93"/>
      <c r="U291" s="93"/>
      <c r="V291" s="93"/>
      <c r="W291" s="93"/>
      <c r="X291" s="93" t="str">
        <f>IF($B291="Yes",COUNTIF(Reference!P$52:P$67,$K291),"")</f>
        <v/>
      </c>
      <c r="Y291" s="93" t="str">
        <f>IF($B291="Yes",COUNTIF(Reference!Q$52:Q$67,$K291),"")</f>
        <v/>
      </c>
      <c r="Z291" s="93" t="str">
        <f>IF($B291="Yes",COUNTIF(Reference!R$52:R$67,$K291),"")</f>
        <v/>
      </c>
      <c r="AA291" s="93" t="str">
        <f>IF($B291="Yes",COUNTIF(Reference!S$52:S$67,$K291),"")</f>
        <v/>
      </c>
      <c r="AB291" s="93" t="str">
        <f>IF($B291="Yes",COUNTIF(Reference!T$52:T$67,$K291),"")</f>
        <v/>
      </c>
      <c r="AC291" s="93" t="str">
        <f t="shared" si="14"/>
        <v/>
      </c>
    </row>
    <row r="292" spans="1:29" x14ac:dyDescent="0.25">
      <c r="A292" s="92">
        <v>382</v>
      </c>
      <c r="B292" s="95" t="str">
        <f t="shared" si="12"/>
        <v>No</v>
      </c>
      <c r="H292" s="92" t="str">
        <f t="shared" si="13"/>
        <v/>
      </c>
      <c r="I292" s="98"/>
      <c r="J292" s="99"/>
      <c r="K292" s="99"/>
      <c r="L292" s="99"/>
      <c r="M292" s="99"/>
      <c r="N292" s="99"/>
      <c r="O292" s="99"/>
      <c r="P292" s="99"/>
      <c r="Q292" s="99"/>
      <c r="R292" s="99"/>
      <c r="S292" s="98"/>
      <c r="T292" s="93"/>
      <c r="U292" s="93"/>
      <c r="V292" s="93"/>
      <c r="W292" s="93"/>
      <c r="X292" s="93" t="str">
        <f>IF($B292="Yes",COUNTIF(Reference!P$52:P$67,$K292),"")</f>
        <v/>
      </c>
      <c r="Y292" s="93" t="str">
        <f>IF($B292="Yes",COUNTIF(Reference!Q$52:Q$67,$K292),"")</f>
        <v/>
      </c>
      <c r="Z292" s="93" t="str">
        <f>IF($B292="Yes",COUNTIF(Reference!R$52:R$67,$K292),"")</f>
        <v/>
      </c>
      <c r="AA292" s="93" t="str">
        <f>IF($B292="Yes",COUNTIF(Reference!S$52:S$67,$K292),"")</f>
        <v/>
      </c>
      <c r="AB292" s="93" t="str">
        <f>IF($B292="Yes",COUNTIF(Reference!T$52:T$67,$K292),"")</f>
        <v/>
      </c>
      <c r="AC292" s="93" t="str">
        <f t="shared" si="14"/>
        <v/>
      </c>
    </row>
    <row r="293" spans="1:29" x14ac:dyDescent="0.25">
      <c r="A293" s="92">
        <v>383</v>
      </c>
      <c r="B293" s="95" t="str">
        <f t="shared" si="12"/>
        <v>No</v>
      </c>
      <c r="H293" s="92" t="str">
        <f t="shared" si="13"/>
        <v/>
      </c>
      <c r="I293" s="98"/>
      <c r="J293" s="99"/>
      <c r="K293" s="99"/>
      <c r="L293" s="99"/>
      <c r="M293" s="99"/>
      <c r="N293" s="99"/>
      <c r="O293" s="99"/>
      <c r="P293" s="99"/>
      <c r="Q293" s="99"/>
      <c r="R293" s="99"/>
      <c r="S293" s="98"/>
      <c r="T293" s="93"/>
      <c r="U293" s="93"/>
      <c r="V293" s="93"/>
      <c r="W293" s="93"/>
      <c r="X293" s="93" t="str">
        <f>IF($B293="Yes",COUNTIF(Reference!P$52:P$67,$K293),"")</f>
        <v/>
      </c>
      <c r="Y293" s="93" t="str">
        <f>IF($B293="Yes",COUNTIF(Reference!Q$52:Q$67,$K293),"")</f>
        <v/>
      </c>
      <c r="Z293" s="93" t="str">
        <f>IF($B293="Yes",COUNTIF(Reference!R$52:R$67,$K293),"")</f>
        <v/>
      </c>
      <c r="AA293" s="93" t="str">
        <f>IF($B293="Yes",COUNTIF(Reference!S$52:S$67,$K293),"")</f>
        <v/>
      </c>
      <c r="AB293" s="93" t="str">
        <f>IF($B293="Yes",COUNTIF(Reference!T$52:T$67,$K293),"")</f>
        <v/>
      </c>
      <c r="AC293" s="93" t="str">
        <f t="shared" si="14"/>
        <v/>
      </c>
    </row>
    <row r="294" spans="1:29" x14ac:dyDescent="0.25">
      <c r="A294" s="92">
        <v>384</v>
      </c>
      <c r="B294" s="95" t="str">
        <f t="shared" si="12"/>
        <v>No</v>
      </c>
      <c r="H294" s="92" t="str">
        <f t="shared" si="13"/>
        <v/>
      </c>
      <c r="I294" s="98"/>
      <c r="J294" s="99"/>
      <c r="K294" s="99"/>
      <c r="L294" s="99"/>
      <c r="M294" s="99"/>
      <c r="N294" s="99"/>
      <c r="O294" s="99"/>
      <c r="P294" s="99"/>
      <c r="Q294" s="99"/>
      <c r="R294" s="99"/>
      <c r="S294" s="98"/>
      <c r="T294" s="93"/>
      <c r="U294" s="93"/>
      <c r="V294" s="93"/>
      <c r="W294" s="93"/>
      <c r="X294" s="93" t="str">
        <f>IF($B294="Yes",COUNTIF(Reference!P$52:P$67,$K294),"")</f>
        <v/>
      </c>
      <c r="Y294" s="93" t="str">
        <f>IF($B294="Yes",COUNTIF(Reference!Q$52:Q$67,$K294),"")</f>
        <v/>
      </c>
      <c r="Z294" s="93" t="str">
        <f>IF($B294="Yes",COUNTIF(Reference!R$52:R$67,$K294),"")</f>
        <v/>
      </c>
      <c r="AA294" s="93" t="str">
        <f>IF($B294="Yes",COUNTIF(Reference!S$52:S$67,$K294),"")</f>
        <v/>
      </c>
      <c r="AB294" s="93" t="str">
        <f>IF($B294="Yes",COUNTIF(Reference!T$52:T$67,$K294),"")</f>
        <v/>
      </c>
      <c r="AC294" s="93" t="str">
        <f t="shared" si="14"/>
        <v/>
      </c>
    </row>
    <row r="295" spans="1:29" x14ac:dyDescent="0.25">
      <c r="A295" s="92">
        <v>385</v>
      </c>
      <c r="B295" s="95" t="str">
        <f t="shared" si="12"/>
        <v>No</v>
      </c>
      <c r="H295" s="92" t="str">
        <f t="shared" si="13"/>
        <v/>
      </c>
      <c r="I295" s="98"/>
      <c r="J295" s="99"/>
      <c r="K295" s="99"/>
      <c r="L295" s="99"/>
      <c r="M295" s="99"/>
      <c r="N295" s="99"/>
      <c r="O295" s="99"/>
      <c r="P295" s="99"/>
      <c r="Q295" s="99"/>
      <c r="R295" s="99"/>
      <c r="S295" s="98"/>
      <c r="T295" s="93"/>
      <c r="U295" s="93"/>
      <c r="V295" s="93"/>
      <c r="W295" s="93"/>
      <c r="X295" s="93" t="str">
        <f>IF($B295="Yes",COUNTIF(Reference!P$52:P$67,$K295),"")</f>
        <v/>
      </c>
      <c r="Y295" s="93" t="str">
        <f>IF($B295="Yes",COUNTIF(Reference!Q$52:Q$67,$K295),"")</f>
        <v/>
      </c>
      <c r="Z295" s="93" t="str">
        <f>IF($B295="Yes",COUNTIF(Reference!R$52:R$67,$K295),"")</f>
        <v/>
      </c>
      <c r="AA295" s="93" t="str">
        <f>IF($B295="Yes",COUNTIF(Reference!S$52:S$67,$K295),"")</f>
        <v/>
      </c>
      <c r="AB295" s="93" t="str">
        <f>IF($B295="Yes",COUNTIF(Reference!T$52:T$67,$K295),"")</f>
        <v/>
      </c>
      <c r="AC295" s="93" t="str">
        <f t="shared" si="14"/>
        <v/>
      </c>
    </row>
    <row r="296" spans="1:29" x14ac:dyDescent="0.25">
      <c r="A296" s="92">
        <v>386</v>
      </c>
      <c r="B296" s="95" t="str">
        <f t="shared" si="12"/>
        <v>No</v>
      </c>
      <c r="H296" s="92" t="str">
        <f t="shared" si="13"/>
        <v/>
      </c>
      <c r="I296" s="98"/>
      <c r="J296" s="99"/>
      <c r="K296" s="99"/>
      <c r="L296" s="99"/>
      <c r="M296" s="99"/>
      <c r="N296" s="99"/>
      <c r="O296" s="99"/>
      <c r="P296" s="99"/>
      <c r="Q296" s="99"/>
      <c r="R296" s="99"/>
      <c r="S296" s="98"/>
      <c r="T296" s="93"/>
      <c r="U296" s="93"/>
      <c r="V296" s="93"/>
      <c r="W296" s="93"/>
      <c r="X296" s="93" t="str">
        <f>IF($B296="Yes",COUNTIF(Reference!P$52:P$67,$K296),"")</f>
        <v/>
      </c>
      <c r="Y296" s="93" t="str">
        <f>IF($B296="Yes",COUNTIF(Reference!Q$52:Q$67,$K296),"")</f>
        <v/>
      </c>
      <c r="Z296" s="93" t="str">
        <f>IF($B296="Yes",COUNTIF(Reference!R$52:R$67,$K296),"")</f>
        <v/>
      </c>
      <c r="AA296" s="93" t="str">
        <f>IF($B296="Yes",COUNTIF(Reference!S$52:S$67,$K296),"")</f>
        <v/>
      </c>
      <c r="AB296" s="93" t="str">
        <f>IF($B296="Yes",COUNTIF(Reference!T$52:T$67,$K296),"")</f>
        <v/>
      </c>
      <c r="AC296" s="93" t="str">
        <f t="shared" si="14"/>
        <v/>
      </c>
    </row>
    <row r="297" spans="1:29" x14ac:dyDescent="0.25">
      <c r="A297" s="92">
        <v>387</v>
      </c>
      <c r="B297" s="95" t="str">
        <f t="shared" si="12"/>
        <v>No</v>
      </c>
      <c r="H297" s="92" t="str">
        <f t="shared" si="13"/>
        <v/>
      </c>
      <c r="I297" s="98"/>
      <c r="J297" s="99"/>
      <c r="K297" s="99"/>
      <c r="L297" s="99"/>
      <c r="M297" s="99"/>
      <c r="N297" s="99"/>
      <c r="O297" s="99"/>
      <c r="P297" s="99"/>
      <c r="Q297" s="99"/>
      <c r="R297" s="99"/>
      <c r="S297" s="98"/>
      <c r="T297" s="93"/>
      <c r="U297" s="93"/>
      <c r="V297" s="93"/>
      <c r="W297" s="93"/>
      <c r="X297" s="93" t="str">
        <f>IF($B297="Yes",COUNTIF(Reference!P$52:P$67,$K297),"")</f>
        <v/>
      </c>
      <c r="Y297" s="93" t="str">
        <f>IF($B297="Yes",COUNTIF(Reference!Q$52:Q$67,$K297),"")</f>
        <v/>
      </c>
      <c r="Z297" s="93" t="str">
        <f>IF($B297="Yes",COUNTIF(Reference!R$52:R$67,$K297),"")</f>
        <v/>
      </c>
      <c r="AA297" s="93" t="str">
        <f>IF($B297="Yes",COUNTIF(Reference!S$52:S$67,$K297),"")</f>
        <v/>
      </c>
      <c r="AB297" s="93" t="str">
        <f>IF($B297="Yes",COUNTIF(Reference!T$52:T$67,$K297),"")</f>
        <v/>
      </c>
      <c r="AC297" s="93" t="str">
        <f t="shared" si="14"/>
        <v/>
      </c>
    </row>
    <row r="298" spans="1:29" x14ac:dyDescent="0.25">
      <c r="A298" s="92">
        <v>388</v>
      </c>
      <c r="B298" s="95" t="str">
        <f t="shared" si="12"/>
        <v>No</v>
      </c>
      <c r="H298" s="92" t="str">
        <f t="shared" si="13"/>
        <v/>
      </c>
      <c r="I298" s="98"/>
      <c r="J298" s="99"/>
      <c r="K298" s="99"/>
      <c r="L298" s="99"/>
      <c r="M298" s="99"/>
      <c r="N298" s="99"/>
      <c r="O298" s="99"/>
      <c r="P298" s="99"/>
      <c r="Q298" s="99"/>
      <c r="R298" s="99"/>
      <c r="S298" s="98"/>
      <c r="T298" s="93"/>
      <c r="U298" s="93"/>
      <c r="V298" s="93"/>
      <c r="W298" s="93"/>
      <c r="X298" s="93" t="str">
        <f>IF($B298="Yes",COUNTIF(Reference!P$52:P$67,$K298),"")</f>
        <v/>
      </c>
      <c r="Y298" s="93" t="str">
        <f>IF($B298="Yes",COUNTIF(Reference!Q$52:Q$67,$K298),"")</f>
        <v/>
      </c>
      <c r="Z298" s="93" t="str">
        <f>IF($B298="Yes",COUNTIF(Reference!R$52:R$67,$K298),"")</f>
        <v/>
      </c>
      <c r="AA298" s="93" t="str">
        <f>IF($B298="Yes",COUNTIF(Reference!S$52:S$67,$K298),"")</f>
        <v/>
      </c>
      <c r="AB298" s="93" t="str">
        <f>IF($B298="Yes",COUNTIF(Reference!T$52:T$67,$K298),"")</f>
        <v/>
      </c>
      <c r="AC298" s="93" t="str">
        <f t="shared" si="14"/>
        <v/>
      </c>
    </row>
    <row r="299" spans="1:29" x14ac:dyDescent="0.25">
      <c r="A299" s="92">
        <v>389</v>
      </c>
      <c r="B299" s="95" t="str">
        <f t="shared" si="12"/>
        <v>No</v>
      </c>
      <c r="H299" s="92" t="str">
        <f t="shared" si="13"/>
        <v/>
      </c>
      <c r="I299" s="98"/>
      <c r="J299" s="99"/>
      <c r="K299" s="99"/>
      <c r="L299" s="99"/>
      <c r="M299" s="99"/>
      <c r="N299" s="99"/>
      <c r="O299" s="99"/>
      <c r="P299" s="99"/>
      <c r="Q299" s="99"/>
      <c r="R299" s="99"/>
      <c r="S299" s="98"/>
      <c r="T299" s="93"/>
      <c r="U299" s="93"/>
      <c r="V299" s="93"/>
      <c r="W299" s="93"/>
      <c r="X299" s="93" t="str">
        <f>IF($B299="Yes",COUNTIF(Reference!P$52:P$67,$K299),"")</f>
        <v/>
      </c>
      <c r="Y299" s="93" t="str">
        <f>IF($B299="Yes",COUNTIF(Reference!Q$52:Q$67,$K299),"")</f>
        <v/>
      </c>
      <c r="Z299" s="93" t="str">
        <f>IF($B299="Yes",COUNTIF(Reference!R$52:R$67,$K299),"")</f>
        <v/>
      </c>
      <c r="AA299" s="93" t="str">
        <f>IF($B299="Yes",COUNTIF(Reference!S$52:S$67,$K299),"")</f>
        <v/>
      </c>
      <c r="AB299" s="93" t="str">
        <f>IF($B299="Yes",COUNTIF(Reference!T$52:T$67,$K299),"")</f>
        <v/>
      </c>
      <c r="AC299" s="93" t="str">
        <f t="shared" si="14"/>
        <v/>
      </c>
    </row>
    <row r="300" spans="1:29" x14ac:dyDescent="0.25">
      <c r="A300" s="92">
        <v>390</v>
      </c>
      <c r="B300" s="95" t="str">
        <f t="shared" si="12"/>
        <v>No</v>
      </c>
      <c r="H300" s="92" t="str">
        <f t="shared" si="13"/>
        <v/>
      </c>
      <c r="I300" s="98"/>
      <c r="J300" s="99"/>
      <c r="K300" s="99"/>
      <c r="L300" s="99"/>
      <c r="M300" s="99"/>
      <c r="N300" s="99"/>
      <c r="O300" s="99"/>
      <c r="P300" s="99"/>
      <c r="Q300" s="99"/>
      <c r="R300" s="99"/>
      <c r="S300" s="98"/>
      <c r="T300" s="93"/>
      <c r="U300" s="93"/>
      <c r="V300" s="93"/>
      <c r="W300" s="93"/>
      <c r="X300" s="93" t="str">
        <f>IF($B300="Yes",COUNTIF(Reference!P$52:P$67,$K300),"")</f>
        <v/>
      </c>
      <c r="Y300" s="93" t="str">
        <f>IF($B300="Yes",COUNTIF(Reference!Q$52:Q$67,$K300),"")</f>
        <v/>
      </c>
      <c r="Z300" s="93" t="str">
        <f>IF($B300="Yes",COUNTIF(Reference!R$52:R$67,$K300),"")</f>
        <v/>
      </c>
      <c r="AA300" s="93" t="str">
        <f>IF($B300="Yes",COUNTIF(Reference!S$52:S$67,$K300),"")</f>
        <v/>
      </c>
      <c r="AB300" s="93" t="str">
        <f>IF($B300="Yes",COUNTIF(Reference!T$52:T$67,$K300),"")</f>
        <v/>
      </c>
      <c r="AC300" s="93" t="str">
        <f t="shared" si="14"/>
        <v/>
      </c>
    </row>
    <row r="301" spans="1:29" x14ac:dyDescent="0.25">
      <c r="A301" s="92">
        <v>391</v>
      </c>
      <c r="B301" s="95" t="str">
        <f t="shared" si="12"/>
        <v>No</v>
      </c>
      <c r="H301" s="92" t="str">
        <f t="shared" si="13"/>
        <v/>
      </c>
      <c r="I301" s="98"/>
      <c r="J301" s="99"/>
      <c r="K301" s="99"/>
      <c r="L301" s="99"/>
      <c r="M301" s="99"/>
      <c r="N301" s="99"/>
      <c r="O301" s="99"/>
      <c r="P301" s="99"/>
      <c r="Q301" s="99"/>
      <c r="R301" s="99"/>
      <c r="S301" s="98"/>
      <c r="T301" s="93"/>
      <c r="U301" s="93"/>
      <c r="V301" s="93"/>
      <c r="W301" s="93"/>
      <c r="X301" s="93" t="str">
        <f>IF($B301="Yes",COUNTIF(Reference!P$52:P$67,$K301),"")</f>
        <v/>
      </c>
      <c r="Y301" s="93" t="str">
        <f>IF($B301="Yes",COUNTIF(Reference!Q$52:Q$67,$K301),"")</f>
        <v/>
      </c>
      <c r="Z301" s="93" t="str">
        <f>IF($B301="Yes",COUNTIF(Reference!R$52:R$67,$K301),"")</f>
        <v/>
      </c>
      <c r="AA301" s="93" t="str">
        <f>IF($B301="Yes",COUNTIF(Reference!S$52:S$67,$K301),"")</f>
        <v/>
      </c>
      <c r="AB301" s="93" t="str">
        <f>IF($B301="Yes",COUNTIF(Reference!T$52:T$67,$K301),"")</f>
        <v/>
      </c>
      <c r="AC301" s="93" t="str">
        <f t="shared" si="14"/>
        <v/>
      </c>
    </row>
    <row r="302" spans="1:29" x14ac:dyDescent="0.25">
      <c r="A302" s="92">
        <v>392</v>
      </c>
      <c r="B302" s="95" t="str">
        <f t="shared" si="12"/>
        <v>No</v>
      </c>
      <c r="H302" s="92" t="str">
        <f t="shared" si="13"/>
        <v/>
      </c>
      <c r="I302" s="98"/>
      <c r="J302" s="99"/>
      <c r="K302" s="99"/>
      <c r="L302" s="99"/>
      <c r="M302" s="99"/>
      <c r="N302" s="99"/>
      <c r="O302" s="99"/>
      <c r="P302" s="99"/>
      <c r="Q302" s="99"/>
      <c r="R302" s="99"/>
      <c r="S302" s="98"/>
      <c r="T302" s="93"/>
      <c r="U302" s="93"/>
      <c r="V302" s="93"/>
      <c r="W302" s="93"/>
      <c r="X302" s="93" t="str">
        <f>IF($B302="Yes",COUNTIF(Reference!P$52:P$67,$K302),"")</f>
        <v/>
      </c>
      <c r="Y302" s="93" t="str">
        <f>IF($B302="Yes",COUNTIF(Reference!Q$52:Q$67,$K302),"")</f>
        <v/>
      </c>
      <c r="Z302" s="93" t="str">
        <f>IF($B302="Yes",COUNTIF(Reference!R$52:R$67,$K302),"")</f>
        <v/>
      </c>
      <c r="AA302" s="93" t="str">
        <f>IF($B302="Yes",COUNTIF(Reference!S$52:S$67,$K302),"")</f>
        <v/>
      </c>
      <c r="AB302" s="93" t="str">
        <f>IF($B302="Yes",COUNTIF(Reference!T$52:T$67,$K302),"")</f>
        <v/>
      </c>
      <c r="AC302" s="93" t="str">
        <f t="shared" si="14"/>
        <v/>
      </c>
    </row>
    <row r="303" spans="1:29" x14ac:dyDescent="0.25">
      <c r="A303" s="92">
        <v>393</v>
      </c>
      <c r="B303" s="95" t="str">
        <f t="shared" si="12"/>
        <v>No</v>
      </c>
      <c r="H303" s="92" t="str">
        <f t="shared" si="13"/>
        <v/>
      </c>
      <c r="I303" s="98"/>
      <c r="J303" s="99"/>
      <c r="K303" s="99"/>
      <c r="L303" s="99"/>
      <c r="M303" s="99"/>
      <c r="N303" s="99"/>
      <c r="O303" s="99"/>
      <c r="P303" s="99"/>
      <c r="Q303" s="99"/>
      <c r="R303" s="99"/>
      <c r="S303" s="98"/>
      <c r="T303" s="93"/>
      <c r="U303" s="93"/>
      <c r="V303" s="93"/>
      <c r="W303" s="93"/>
      <c r="X303" s="93" t="str">
        <f>IF($B303="Yes",COUNTIF(Reference!P$52:P$67,$K303),"")</f>
        <v/>
      </c>
      <c r="Y303" s="93" t="str">
        <f>IF($B303="Yes",COUNTIF(Reference!Q$52:Q$67,$K303),"")</f>
        <v/>
      </c>
      <c r="Z303" s="93" t="str">
        <f>IF($B303="Yes",COUNTIF(Reference!R$52:R$67,$K303),"")</f>
        <v/>
      </c>
      <c r="AA303" s="93" t="str">
        <f>IF($B303="Yes",COUNTIF(Reference!S$52:S$67,$K303),"")</f>
        <v/>
      </c>
      <c r="AB303" s="93" t="str">
        <f>IF($B303="Yes",COUNTIF(Reference!T$52:T$67,$K303),"")</f>
        <v/>
      </c>
      <c r="AC303" s="93" t="str">
        <f t="shared" si="14"/>
        <v/>
      </c>
    </row>
    <row r="304" spans="1:29" x14ac:dyDescent="0.25">
      <c r="A304" s="92">
        <v>394</v>
      </c>
      <c r="B304" s="95" t="str">
        <f t="shared" si="12"/>
        <v>No</v>
      </c>
      <c r="H304" s="92" t="str">
        <f t="shared" si="13"/>
        <v/>
      </c>
      <c r="I304" s="98"/>
      <c r="J304" s="99"/>
      <c r="K304" s="99"/>
      <c r="L304" s="99"/>
      <c r="M304" s="99"/>
      <c r="N304" s="99"/>
      <c r="O304" s="99"/>
      <c r="P304" s="99"/>
      <c r="Q304" s="99"/>
      <c r="R304" s="99"/>
      <c r="S304" s="98"/>
      <c r="T304" s="93"/>
      <c r="U304" s="93"/>
      <c r="V304" s="93"/>
      <c r="W304" s="93"/>
      <c r="X304" s="93" t="str">
        <f>IF($B304="Yes",COUNTIF(Reference!P$52:P$67,$K304),"")</f>
        <v/>
      </c>
      <c r="Y304" s="93" t="str">
        <f>IF($B304="Yes",COUNTIF(Reference!Q$52:Q$67,$K304),"")</f>
        <v/>
      </c>
      <c r="Z304" s="93" t="str">
        <f>IF($B304="Yes",COUNTIF(Reference!R$52:R$67,$K304),"")</f>
        <v/>
      </c>
      <c r="AA304" s="93" t="str">
        <f>IF($B304="Yes",COUNTIF(Reference!S$52:S$67,$K304),"")</f>
        <v/>
      </c>
      <c r="AB304" s="93" t="str">
        <f>IF($B304="Yes",COUNTIF(Reference!T$52:T$67,$K304),"")</f>
        <v/>
      </c>
      <c r="AC304" s="93" t="str">
        <f t="shared" si="14"/>
        <v/>
      </c>
    </row>
    <row r="305" spans="1:29" x14ac:dyDescent="0.25">
      <c r="A305" s="92">
        <v>395</v>
      </c>
      <c r="B305" s="95" t="str">
        <f t="shared" si="12"/>
        <v>No</v>
      </c>
      <c r="H305" s="92" t="str">
        <f t="shared" si="13"/>
        <v/>
      </c>
      <c r="I305" s="98"/>
      <c r="J305" s="99"/>
      <c r="K305" s="99"/>
      <c r="L305" s="99"/>
      <c r="M305" s="99"/>
      <c r="N305" s="99"/>
      <c r="O305" s="99"/>
      <c r="P305" s="99"/>
      <c r="Q305" s="99"/>
      <c r="R305" s="99"/>
      <c r="S305" s="98"/>
      <c r="T305" s="93"/>
      <c r="U305" s="93"/>
      <c r="V305" s="93"/>
      <c r="W305" s="93"/>
      <c r="X305" s="93" t="str">
        <f>IF($B305="Yes",COUNTIF(Reference!P$52:P$67,$K305),"")</f>
        <v/>
      </c>
      <c r="Y305" s="93" t="str">
        <f>IF($B305="Yes",COUNTIF(Reference!Q$52:Q$67,$K305),"")</f>
        <v/>
      </c>
      <c r="Z305" s="93" t="str">
        <f>IF($B305="Yes",COUNTIF(Reference!R$52:R$67,$K305),"")</f>
        <v/>
      </c>
      <c r="AA305" s="93" t="str">
        <f>IF($B305="Yes",COUNTIF(Reference!S$52:S$67,$K305),"")</f>
        <v/>
      </c>
      <c r="AB305" s="93" t="str">
        <f>IF($B305="Yes",COUNTIF(Reference!T$52:T$67,$K305),"")</f>
        <v/>
      </c>
      <c r="AC305" s="93" t="str">
        <f t="shared" si="14"/>
        <v/>
      </c>
    </row>
    <row r="306" spans="1:29" x14ac:dyDescent="0.25">
      <c r="A306" s="92">
        <v>396</v>
      </c>
      <c r="B306" s="95" t="str">
        <f t="shared" si="12"/>
        <v>No</v>
      </c>
      <c r="H306" s="92" t="str">
        <f t="shared" si="13"/>
        <v/>
      </c>
      <c r="I306" s="98"/>
      <c r="J306" s="99"/>
      <c r="K306" s="99"/>
      <c r="L306" s="99"/>
      <c r="M306" s="99"/>
      <c r="N306" s="99"/>
      <c r="O306" s="99"/>
      <c r="P306" s="99"/>
      <c r="Q306" s="99"/>
      <c r="R306" s="99"/>
      <c r="S306" s="98"/>
      <c r="T306" s="93"/>
      <c r="U306" s="93"/>
      <c r="V306" s="93"/>
      <c r="W306" s="93"/>
      <c r="X306" s="93" t="str">
        <f>IF($B306="Yes",COUNTIF(Reference!P$52:P$67,$K306),"")</f>
        <v/>
      </c>
      <c r="Y306" s="93" t="str">
        <f>IF($B306="Yes",COUNTIF(Reference!Q$52:Q$67,$K306),"")</f>
        <v/>
      </c>
      <c r="Z306" s="93" t="str">
        <f>IF($B306="Yes",COUNTIF(Reference!R$52:R$67,$K306),"")</f>
        <v/>
      </c>
      <c r="AA306" s="93" t="str">
        <f>IF($B306="Yes",COUNTIF(Reference!S$52:S$67,$K306),"")</f>
        <v/>
      </c>
      <c r="AB306" s="93" t="str">
        <f>IF($B306="Yes",COUNTIF(Reference!T$52:T$67,$K306),"")</f>
        <v/>
      </c>
      <c r="AC306" s="93" t="str">
        <f t="shared" si="14"/>
        <v/>
      </c>
    </row>
    <row r="307" spans="1:29" x14ac:dyDescent="0.25">
      <c r="A307" s="92">
        <v>397</v>
      </c>
      <c r="B307" s="95" t="str">
        <f t="shared" si="12"/>
        <v>No</v>
      </c>
      <c r="H307" s="92" t="str">
        <f t="shared" si="13"/>
        <v/>
      </c>
      <c r="I307" s="98"/>
      <c r="J307" s="99"/>
      <c r="K307" s="99"/>
      <c r="L307" s="99"/>
      <c r="M307" s="99"/>
      <c r="N307" s="99"/>
      <c r="O307" s="99"/>
      <c r="P307" s="99"/>
      <c r="Q307" s="99"/>
      <c r="R307" s="99"/>
      <c r="S307" s="98"/>
      <c r="T307" s="93"/>
      <c r="U307" s="93"/>
      <c r="V307" s="93"/>
      <c r="W307" s="93"/>
      <c r="X307" s="93" t="str">
        <f>IF($B307="Yes",COUNTIF(Reference!P$52:P$67,$K307),"")</f>
        <v/>
      </c>
      <c r="Y307" s="93" t="str">
        <f>IF($B307="Yes",COUNTIF(Reference!Q$52:Q$67,$K307),"")</f>
        <v/>
      </c>
      <c r="Z307" s="93" t="str">
        <f>IF($B307="Yes",COUNTIF(Reference!R$52:R$67,$K307),"")</f>
        <v/>
      </c>
      <c r="AA307" s="93" t="str">
        <f>IF($B307="Yes",COUNTIF(Reference!S$52:S$67,$K307),"")</f>
        <v/>
      </c>
      <c r="AB307" s="93" t="str">
        <f>IF($B307="Yes",COUNTIF(Reference!T$52:T$67,$K307),"")</f>
        <v/>
      </c>
      <c r="AC307" s="93" t="str">
        <f t="shared" si="14"/>
        <v/>
      </c>
    </row>
    <row r="308" spans="1:29" x14ac:dyDescent="0.25">
      <c r="A308" s="92">
        <v>398</v>
      </c>
      <c r="B308" s="95" t="str">
        <f t="shared" si="12"/>
        <v>No</v>
      </c>
      <c r="H308" s="92" t="str">
        <f t="shared" si="13"/>
        <v/>
      </c>
      <c r="I308" s="98"/>
      <c r="J308" s="99"/>
      <c r="K308" s="99"/>
      <c r="L308" s="99"/>
      <c r="M308" s="99"/>
      <c r="N308" s="99"/>
      <c r="O308" s="99"/>
      <c r="P308" s="99"/>
      <c r="Q308" s="99"/>
      <c r="R308" s="99"/>
      <c r="S308" s="98"/>
      <c r="T308" s="93"/>
      <c r="U308" s="93"/>
      <c r="V308" s="93"/>
      <c r="W308" s="93"/>
      <c r="X308" s="93" t="str">
        <f>IF($B308="Yes",COUNTIF(Reference!P$52:P$67,$K308),"")</f>
        <v/>
      </c>
      <c r="Y308" s="93" t="str">
        <f>IF($B308="Yes",COUNTIF(Reference!Q$52:Q$67,$K308),"")</f>
        <v/>
      </c>
      <c r="Z308" s="93" t="str">
        <f>IF($B308="Yes",COUNTIF(Reference!R$52:R$67,$K308),"")</f>
        <v/>
      </c>
      <c r="AA308" s="93" t="str">
        <f>IF($B308="Yes",COUNTIF(Reference!S$52:S$67,$K308),"")</f>
        <v/>
      </c>
      <c r="AB308" s="93" t="str">
        <f>IF($B308="Yes",COUNTIF(Reference!T$52:T$67,$K308),"")</f>
        <v/>
      </c>
      <c r="AC308" s="93" t="str">
        <f t="shared" si="14"/>
        <v/>
      </c>
    </row>
    <row r="309" spans="1:29" x14ac:dyDescent="0.25">
      <c r="A309" s="92">
        <v>399</v>
      </c>
      <c r="B309" s="95" t="str">
        <f t="shared" si="12"/>
        <v>No</v>
      </c>
      <c r="H309" s="92" t="str">
        <f t="shared" si="13"/>
        <v/>
      </c>
      <c r="I309" s="98"/>
      <c r="J309" s="99"/>
      <c r="K309" s="99"/>
      <c r="L309" s="99"/>
      <c r="M309" s="99"/>
      <c r="N309" s="99"/>
      <c r="O309" s="99"/>
      <c r="P309" s="99"/>
      <c r="Q309" s="99"/>
      <c r="R309" s="99"/>
      <c r="S309" s="98"/>
      <c r="T309" s="93"/>
      <c r="U309" s="93"/>
      <c r="V309" s="93"/>
      <c r="W309" s="93"/>
      <c r="X309" s="93" t="str">
        <f>IF($B309="Yes",COUNTIF(Reference!P$52:P$67,$K309),"")</f>
        <v/>
      </c>
      <c r="Y309" s="93" t="str">
        <f>IF($B309="Yes",COUNTIF(Reference!Q$52:Q$67,$K309),"")</f>
        <v/>
      </c>
      <c r="Z309" s="93" t="str">
        <f>IF($B309="Yes",COUNTIF(Reference!R$52:R$67,$K309),"")</f>
        <v/>
      </c>
      <c r="AA309" s="93" t="str">
        <f>IF($B309="Yes",COUNTIF(Reference!S$52:S$67,$K309),"")</f>
        <v/>
      </c>
      <c r="AB309" s="93" t="str">
        <f>IF($B309="Yes",COUNTIF(Reference!T$52:T$67,$K309),"")</f>
        <v/>
      </c>
      <c r="AC309" s="93" t="str">
        <f t="shared" si="14"/>
        <v/>
      </c>
    </row>
    <row r="310" spans="1:29" x14ac:dyDescent="0.25">
      <c r="A310" s="92">
        <v>400</v>
      </c>
      <c r="B310" s="95" t="str">
        <f t="shared" si="12"/>
        <v>No</v>
      </c>
      <c r="H310" s="92" t="str">
        <f t="shared" si="13"/>
        <v/>
      </c>
      <c r="I310" s="98"/>
      <c r="J310" s="99"/>
      <c r="K310" s="99"/>
      <c r="L310" s="99"/>
      <c r="M310" s="99"/>
      <c r="N310" s="99"/>
      <c r="O310" s="99"/>
      <c r="P310" s="99"/>
      <c r="Q310" s="99"/>
      <c r="R310" s="99"/>
      <c r="S310" s="98"/>
      <c r="T310" s="93"/>
      <c r="U310" s="93"/>
      <c r="V310" s="93"/>
      <c r="W310" s="93"/>
      <c r="X310" s="93" t="str">
        <f>IF($B310="Yes",COUNTIF(Reference!P$52:P$67,$K310),"")</f>
        <v/>
      </c>
      <c r="Y310" s="93" t="str">
        <f>IF($B310="Yes",COUNTIF(Reference!Q$52:Q$67,$K310),"")</f>
        <v/>
      </c>
      <c r="Z310" s="93" t="str">
        <f>IF($B310="Yes",COUNTIF(Reference!R$52:R$67,$K310),"")</f>
        <v/>
      </c>
      <c r="AA310" s="93" t="str">
        <f>IF($B310="Yes",COUNTIF(Reference!S$52:S$67,$K310),"")</f>
        <v/>
      </c>
      <c r="AB310" s="93" t="str">
        <f>IF($B310="Yes",COUNTIF(Reference!T$52:T$67,$K310),"")</f>
        <v/>
      </c>
      <c r="AC310" s="93" t="str">
        <f t="shared" si="14"/>
        <v/>
      </c>
    </row>
    <row r="311" spans="1:29" x14ac:dyDescent="0.25">
      <c r="A311" s="92">
        <v>401</v>
      </c>
      <c r="B311" s="95" t="str">
        <f t="shared" si="12"/>
        <v>No</v>
      </c>
      <c r="H311" s="92" t="str">
        <f t="shared" si="13"/>
        <v/>
      </c>
      <c r="I311" s="98"/>
      <c r="J311" s="99"/>
      <c r="K311" s="99"/>
      <c r="L311" s="99"/>
      <c r="M311" s="99"/>
      <c r="N311" s="99"/>
      <c r="O311" s="99"/>
      <c r="P311" s="99"/>
      <c r="Q311" s="99"/>
      <c r="R311" s="99"/>
      <c r="S311" s="98"/>
      <c r="T311" s="93"/>
      <c r="U311" s="93"/>
      <c r="V311" s="93"/>
      <c r="W311" s="93"/>
      <c r="X311" s="93" t="str">
        <f>IF($B311="Yes",COUNTIF(Reference!P$52:P$67,$K311),"")</f>
        <v/>
      </c>
      <c r="Y311" s="93" t="str">
        <f>IF($B311="Yes",COUNTIF(Reference!Q$52:Q$67,$K311),"")</f>
        <v/>
      </c>
      <c r="Z311" s="93" t="str">
        <f>IF($B311="Yes",COUNTIF(Reference!R$52:R$67,$K311),"")</f>
        <v/>
      </c>
      <c r="AA311" s="93" t="str">
        <f>IF($B311="Yes",COUNTIF(Reference!S$52:S$67,$K311),"")</f>
        <v/>
      </c>
      <c r="AB311" s="93" t="str">
        <f>IF($B311="Yes",COUNTIF(Reference!T$52:T$67,$K311),"")</f>
        <v/>
      </c>
      <c r="AC311" s="93" t="str">
        <f t="shared" si="14"/>
        <v/>
      </c>
    </row>
    <row r="312" spans="1:29" x14ac:dyDescent="0.25">
      <c r="A312" s="92">
        <v>402</v>
      </c>
      <c r="B312" s="95" t="str">
        <f t="shared" si="12"/>
        <v>No</v>
      </c>
      <c r="H312" s="92" t="str">
        <f t="shared" si="13"/>
        <v/>
      </c>
      <c r="I312" s="98"/>
      <c r="J312" s="99"/>
      <c r="K312" s="99"/>
      <c r="L312" s="99"/>
      <c r="M312" s="99"/>
      <c r="N312" s="99"/>
      <c r="O312" s="99"/>
      <c r="P312" s="99"/>
      <c r="Q312" s="99"/>
      <c r="R312" s="99"/>
      <c r="S312" s="98"/>
      <c r="T312" s="93"/>
      <c r="U312" s="93"/>
      <c r="V312" s="93"/>
      <c r="W312" s="93"/>
      <c r="X312" s="93" t="str">
        <f>IF($B312="Yes",COUNTIF(Reference!P$52:P$67,$K312),"")</f>
        <v/>
      </c>
      <c r="Y312" s="93" t="str">
        <f>IF($B312="Yes",COUNTIF(Reference!Q$52:Q$67,$K312),"")</f>
        <v/>
      </c>
      <c r="Z312" s="93" t="str">
        <f>IF($B312="Yes",COUNTIF(Reference!R$52:R$67,$K312),"")</f>
        <v/>
      </c>
      <c r="AA312" s="93" t="str">
        <f>IF($B312="Yes",COUNTIF(Reference!S$52:S$67,$K312),"")</f>
        <v/>
      </c>
      <c r="AB312" s="93" t="str">
        <f>IF($B312="Yes",COUNTIF(Reference!T$52:T$67,$K312),"")</f>
        <v/>
      </c>
      <c r="AC312" s="93" t="str">
        <f t="shared" si="14"/>
        <v/>
      </c>
    </row>
    <row r="313" spans="1:29" x14ac:dyDescent="0.25">
      <c r="A313" s="92">
        <v>403</v>
      </c>
      <c r="B313" s="95" t="str">
        <f t="shared" si="12"/>
        <v>No</v>
      </c>
      <c r="H313" s="92" t="str">
        <f t="shared" si="13"/>
        <v/>
      </c>
      <c r="I313" s="98"/>
      <c r="J313" s="99"/>
      <c r="K313" s="99"/>
      <c r="L313" s="99"/>
      <c r="M313" s="99"/>
      <c r="N313" s="99"/>
      <c r="O313" s="99"/>
      <c r="P313" s="99"/>
      <c r="Q313" s="99"/>
      <c r="R313" s="99"/>
      <c r="S313" s="98"/>
      <c r="T313" s="93"/>
      <c r="U313" s="93"/>
      <c r="V313" s="93"/>
      <c r="W313" s="93"/>
      <c r="X313" s="93" t="str">
        <f>IF($B313="Yes",COUNTIF(Reference!P$52:P$67,$K313),"")</f>
        <v/>
      </c>
      <c r="Y313" s="93" t="str">
        <f>IF($B313="Yes",COUNTIF(Reference!Q$52:Q$67,$K313),"")</f>
        <v/>
      </c>
      <c r="Z313" s="93" t="str">
        <f>IF($B313="Yes",COUNTIF(Reference!R$52:R$67,$K313),"")</f>
        <v/>
      </c>
      <c r="AA313" s="93" t="str">
        <f>IF($B313="Yes",COUNTIF(Reference!S$52:S$67,$K313),"")</f>
        <v/>
      </c>
      <c r="AB313" s="93" t="str">
        <f>IF($B313="Yes",COUNTIF(Reference!T$52:T$67,$K313),"")</f>
        <v/>
      </c>
      <c r="AC313" s="93" t="str">
        <f t="shared" si="14"/>
        <v/>
      </c>
    </row>
    <row r="314" spans="1:29" x14ac:dyDescent="0.25">
      <c r="A314" s="92">
        <v>404</v>
      </c>
      <c r="B314" s="95" t="str">
        <f t="shared" si="12"/>
        <v>No</v>
      </c>
      <c r="H314" s="92" t="str">
        <f t="shared" si="13"/>
        <v/>
      </c>
      <c r="I314" s="98"/>
      <c r="J314" s="99"/>
      <c r="K314" s="99"/>
      <c r="L314" s="99"/>
      <c r="M314" s="99"/>
      <c r="N314" s="99"/>
      <c r="O314" s="99"/>
      <c r="P314" s="99"/>
      <c r="Q314" s="99"/>
      <c r="R314" s="99"/>
      <c r="S314" s="98"/>
      <c r="T314" s="93"/>
      <c r="U314" s="93"/>
      <c r="V314" s="93"/>
      <c r="W314" s="93"/>
      <c r="X314" s="93" t="str">
        <f>IF($B314="Yes",COUNTIF(Reference!P$52:P$67,$K314),"")</f>
        <v/>
      </c>
      <c r="Y314" s="93" t="str">
        <f>IF($B314="Yes",COUNTIF(Reference!Q$52:Q$67,$K314),"")</f>
        <v/>
      </c>
      <c r="Z314" s="93" t="str">
        <f>IF($B314="Yes",COUNTIF(Reference!R$52:R$67,$K314),"")</f>
        <v/>
      </c>
      <c r="AA314" s="93" t="str">
        <f>IF($B314="Yes",COUNTIF(Reference!S$52:S$67,$K314),"")</f>
        <v/>
      </c>
      <c r="AB314" s="93" t="str">
        <f>IF($B314="Yes",COUNTIF(Reference!T$52:T$67,$K314),"")</f>
        <v/>
      </c>
      <c r="AC314" s="93" t="str">
        <f t="shared" si="14"/>
        <v/>
      </c>
    </row>
    <row r="315" spans="1:29" x14ac:dyDescent="0.25">
      <c r="A315" s="92">
        <v>405</v>
      </c>
      <c r="B315" s="95" t="str">
        <f t="shared" si="12"/>
        <v>No</v>
      </c>
      <c r="H315" s="92" t="str">
        <f t="shared" si="13"/>
        <v/>
      </c>
      <c r="I315" s="98"/>
      <c r="J315" s="99"/>
      <c r="K315" s="99"/>
      <c r="L315" s="99"/>
      <c r="M315" s="99"/>
      <c r="N315" s="99"/>
      <c r="O315" s="99"/>
      <c r="P315" s="99"/>
      <c r="Q315" s="99"/>
      <c r="R315" s="99"/>
      <c r="S315" s="98"/>
      <c r="T315" s="93"/>
      <c r="U315" s="93"/>
      <c r="V315" s="93"/>
      <c r="W315" s="93"/>
      <c r="X315" s="93" t="str">
        <f>IF($B315="Yes",COUNTIF(Reference!P$52:P$67,$K315),"")</f>
        <v/>
      </c>
      <c r="Y315" s="93" t="str">
        <f>IF($B315="Yes",COUNTIF(Reference!Q$52:Q$67,$K315),"")</f>
        <v/>
      </c>
      <c r="Z315" s="93" t="str">
        <f>IF($B315="Yes",COUNTIF(Reference!R$52:R$67,$K315),"")</f>
        <v/>
      </c>
      <c r="AA315" s="93" t="str">
        <f>IF($B315="Yes",COUNTIF(Reference!S$52:S$67,$K315),"")</f>
        <v/>
      </c>
      <c r="AB315" s="93" t="str">
        <f>IF($B315="Yes",COUNTIF(Reference!T$52:T$67,$K315),"")</f>
        <v/>
      </c>
      <c r="AC315" s="93" t="str">
        <f t="shared" si="14"/>
        <v/>
      </c>
    </row>
    <row r="316" spans="1:29" x14ac:dyDescent="0.25">
      <c r="A316" s="92">
        <v>406</v>
      </c>
      <c r="B316" s="95" t="str">
        <f t="shared" si="12"/>
        <v>No</v>
      </c>
      <c r="H316" s="92" t="str">
        <f t="shared" si="13"/>
        <v/>
      </c>
      <c r="I316" s="98"/>
      <c r="J316" s="99"/>
      <c r="K316" s="99"/>
      <c r="L316" s="99"/>
      <c r="M316" s="99"/>
      <c r="N316" s="99"/>
      <c r="O316" s="99"/>
      <c r="P316" s="99"/>
      <c r="Q316" s="99"/>
      <c r="R316" s="99"/>
      <c r="S316" s="98"/>
      <c r="T316" s="93"/>
      <c r="U316" s="93"/>
      <c r="V316" s="93"/>
      <c r="W316" s="93"/>
      <c r="X316" s="93" t="str">
        <f>IF($B316="Yes",COUNTIF(Reference!P$52:P$67,$K316),"")</f>
        <v/>
      </c>
      <c r="Y316" s="93" t="str">
        <f>IF($B316="Yes",COUNTIF(Reference!Q$52:Q$67,$K316),"")</f>
        <v/>
      </c>
      <c r="Z316" s="93" t="str">
        <f>IF($B316="Yes",COUNTIF(Reference!R$52:R$67,$K316),"")</f>
        <v/>
      </c>
      <c r="AA316" s="93" t="str">
        <f>IF($B316="Yes",COUNTIF(Reference!S$52:S$67,$K316),"")</f>
        <v/>
      </c>
      <c r="AB316" s="93" t="str">
        <f>IF($B316="Yes",COUNTIF(Reference!T$52:T$67,$K316),"")</f>
        <v/>
      </c>
      <c r="AC316" s="93" t="str">
        <f t="shared" si="14"/>
        <v/>
      </c>
    </row>
    <row r="317" spans="1:29" x14ac:dyDescent="0.25">
      <c r="A317" s="92">
        <v>407</v>
      </c>
      <c r="B317" s="95" t="str">
        <f t="shared" si="12"/>
        <v>No</v>
      </c>
      <c r="H317" s="92" t="str">
        <f t="shared" si="13"/>
        <v/>
      </c>
      <c r="I317" s="98"/>
      <c r="J317" s="99"/>
      <c r="K317" s="99"/>
      <c r="L317" s="99"/>
      <c r="M317" s="99"/>
      <c r="N317" s="99"/>
      <c r="O317" s="99"/>
      <c r="P317" s="99"/>
      <c r="Q317" s="99"/>
      <c r="R317" s="99"/>
      <c r="S317" s="98"/>
      <c r="T317" s="93"/>
      <c r="U317" s="93"/>
      <c r="V317" s="93"/>
      <c r="W317" s="93"/>
      <c r="X317" s="93" t="str">
        <f>IF($B317="Yes",COUNTIF(Reference!P$52:P$67,$K317),"")</f>
        <v/>
      </c>
      <c r="Y317" s="93" t="str">
        <f>IF($B317="Yes",COUNTIF(Reference!Q$52:Q$67,$K317),"")</f>
        <v/>
      </c>
      <c r="Z317" s="93" t="str">
        <f>IF($B317="Yes",COUNTIF(Reference!R$52:R$67,$K317),"")</f>
        <v/>
      </c>
      <c r="AA317" s="93" t="str">
        <f>IF($B317="Yes",COUNTIF(Reference!S$52:S$67,$K317),"")</f>
        <v/>
      </c>
      <c r="AB317" s="93" t="str">
        <f>IF($B317="Yes",COUNTIF(Reference!T$52:T$67,$K317),"")</f>
        <v/>
      </c>
      <c r="AC317" s="93" t="str">
        <f t="shared" si="14"/>
        <v/>
      </c>
    </row>
    <row r="318" spans="1:29" x14ac:dyDescent="0.25">
      <c r="A318" s="92">
        <v>408</v>
      </c>
      <c r="B318" s="95" t="str">
        <f t="shared" si="12"/>
        <v>No</v>
      </c>
      <c r="H318" s="92" t="str">
        <f t="shared" si="13"/>
        <v/>
      </c>
      <c r="I318" s="98"/>
      <c r="J318" s="99"/>
      <c r="K318" s="99"/>
      <c r="L318" s="99"/>
      <c r="M318" s="99"/>
      <c r="N318" s="99"/>
      <c r="O318" s="99"/>
      <c r="P318" s="99"/>
      <c r="Q318" s="99"/>
      <c r="R318" s="99"/>
      <c r="S318" s="98"/>
      <c r="T318" s="93"/>
      <c r="U318" s="93"/>
      <c r="V318" s="93"/>
      <c r="W318" s="93"/>
      <c r="X318" s="93" t="str">
        <f>IF($B318="Yes",COUNTIF(Reference!P$52:P$67,$K318),"")</f>
        <v/>
      </c>
      <c r="Y318" s="93" t="str">
        <f>IF($B318="Yes",COUNTIF(Reference!Q$52:Q$67,$K318),"")</f>
        <v/>
      </c>
      <c r="Z318" s="93" t="str">
        <f>IF($B318="Yes",COUNTIF(Reference!R$52:R$67,$K318),"")</f>
        <v/>
      </c>
      <c r="AA318" s="93" t="str">
        <f>IF($B318="Yes",COUNTIF(Reference!S$52:S$67,$K318),"")</f>
        <v/>
      </c>
      <c r="AB318" s="93" t="str">
        <f>IF($B318="Yes",COUNTIF(Reference!T$52:T$67,$K318),"")</f>
        <v/>
      </c>
      <c r="AC318" s="93" t="str">
        <f t="shared" si="14"/>
        <v/>
      </c>
    </row>
    <row r="319" spans="1:29" x14ac:dyDescent="0.25">
      <c r="A319" s="92">
        <v>409</v>
      </c>
      <c r="B319" s="95" t="str">
        <f t="shared" si="12"/>
        <v>No</v>
      </c>
      <c r="H319" s="92" t="str">
        <f t="shared" si="13"/>
        <v/>
      </c>
      <c r="I319" s="98"/>
      <c r="J319" s="99"/>
      <c r="K319" s="99"/>
      <c r="L319" s="99"/>
      <c r="M319" s="99"/>
      <c r="N319" s="99"/>
      <c r="O319" s="99"/>
      <c r="P319" s="99"/>
      <c r="Q319" s="99"/>
      <c r="R319" s="99"/>
      <c r="S319" s="98"/>
      <c r="T319" s="93"/>
      <c r="U319" s="93"/>
      <c r="V319" s="93"/>
      <c r="W319" s="93"/>
      <c r="X319" s="93" t="str">
        <f>IF($B319="Yes",COUNTIF(Reference!P$52:P$67,$K319),"")</f>
        <v/>
      </c>
      <c r="Y319" s="93" t="str">
        <f>IF($B319="Yes",COUNTIF(Reference!Q$52:Q$67,$K319),"")</f>
        <v/>
      </c>
      <c r="Z319" s="93" t="str">
        <f>IF($B319="Yes",COUNTIF(Reference!R$52:R$67,$K319),"")</f>
        <v/>
      </c>
      <c r="AA319" s="93" t="str">
        <f>IF($B319="Yes",COUNTIF(Reference!S$52:S$67,$K319),"")</f>
        <v/>
      </c>
      <c r="AB319" s="93" t="str">
        <f>IF($B319="Yes",COUNTIF(Reference!T$52:T$67,$K319),"")</f>
        <v/>
      </c>
      <c r="AC319" s="93" t="str">
        <f t="shared" si="14"/>
        <v/>
      </c>
    </row>
    <row r="320" spans="1:29" x14ac:dyDescent="0.25">
      <c r="A320" s="92">
        <v>410</v>
      </c>
      <c r="B320" s="95" t="str">
        <f t="shared" si="12"/>
        <v>No</v>
      </c>
      <c r="H320" s="92" t="str">
        <f t="shared" si="13"/>
        <v/>
      </c>
      <c r="I320" s="98"/>
      <c r="J320" s="99"/>
      <c r="K320" s="99"/>
      <c r="L320" s="99"/>
      <c r="M320" s="99"/>
      <c r="N320" s="99"/>
      <c r="O320" s="99"/>
      <c r="P320" s="99"/>
      <c r="Q320" s="99"/>
      <c r="R320" s="99"/>
      <c r="S320" s="98"/>
      <c r="T320" s="93"/>
      <c r="U320" s="93"/>
      <c r="V320" s="93"/>
      <c r="W320" s="93"/>
      <c r="X320" s="93" t="str">
        <f>IF($B320="Yes",COUNTIF(Reference!P$52:P$67,$K320),"")</f>
        <v/>
      </c>
      <c r="Y320" s="93" t="str">
        <f>IF($B320="Yes",COUNTIF(Reference!Q$52:Q$67,$K320),"")</f>
        <v/>
      </c>
      <c r="Z320" s="93" t="str">
        <f>IF($B320="Yes",COUNTIF(Reference!R$52:R$67,$K320),"")</f>
        <v/>
      </c>
      <c r="AA320" s="93" t="str">
        <f>IF($B320="Yes",COUNTIF(Reference!S$52:S$67,$K320),"")</f>
        <v/>
      </c>
      <c r="AB320" s="93" t="str">
        <f>IF($B320="Yes",COUNTIF(Reference!T$52:T$67,$K320),"")</f>
        <v/>
      </c>
      <c r="AC320" s="93" t="str">
        <f t="shared" si="14"/>
        <v/>
      </c>
    </row>
    <row r="321" spans="1:29" x14ac:dyDescent="0.25">
      <c r="A321" s="92">
        <v>411</v>
      </c>
      <c r="B321" s="95" t="str">
        <f t="shared" si="12"/>
        <v>No</v>
      </c>
      <c r="H321" s="92" t="str">
        <f t="shared" si="13"/>
        <v/>
      </c>
      <c r="I321" s="98"/>
      <c r="J321" s="99"/>
      <c r="K321" s="99"/>
      <c r="L321" s="99"/>
      <c r="M321" s="99"/>
      <c r="N321" s="99"/>
      <c r="O321" s="99"/>
      <c r="P321" s="99"/>
      <c r="Q321" s="99"/>
      <c r="R321" s="99"/>
      <c r="S321" s="98"/>
      <c r="T321" s="93"/>
      <c r="U321" s="93"/>
      <c r="V321" s="93"/>
      <c r="W321" s="93"/>
      <c r="X321" s="93" t="str">
        <f>IF($B321="Yes",COUNTIF(Reference!P$52:P$67,$K321),"")</f>
        <v/>
      </c>
      <c r="Y321" s="93" t="str">
        <f>IF($B321="Yes",COUNTIF(Reference!Q$52:Q$67,$K321),"")</f>
        <v/>
      </c>
      <c r="Z321" s="93" t="str">
        <f>IF($B321="Yes",COUNTIF(Reference!R$52:R$67,$K321),"")</f>
        <v/>
      </c>
      <c r="AA321" s="93" t="str">
        <f>IF($B321="Yes",COUNTIF(Reference!S$52:S$67,$K321),"")</f>
        <v/>
      </c>
      <c r="AB321" s="93" t="str">
        <f>IF($B321="Yes",COUNTIF(Reference!T$52:T$67,$K321),"")</f>
        <v/>
      </c>
      <c r="AC321" s="93" t="str">
        <f t="shared" si="14"/>
        <v/>
      </c>
    </row>
    <row r="322" spans="1:29" x14ac:dyDescent="0.25">
      <c r="A322" s="92">
        <v>412</v>
      </c>
      <c r="B322" s="95" t="str">
        <f t="shared" si="12"/>
        <v>No</v>
      </c>
      <c r="H322" s="92" t="str">
        <f t="shared" si="13"/>
        <v/>
      </c>
      <c r="I322" s="98"/>
      <c r="J322" s="99"/>
      <c r="K322" s="99"/>
      <c r="L322" s="99"/>
      <c r="M322" s="99"/>
      <c r="N322" s="99"/>
      <c r="O322" s="99"/>
      <c r="P322" s="99"/>
      <c r="Q322" s="99"/>
      <c r="R322" s="99"/>
      <c r="S322" s="98"/>
      <c r="T322" s="93"/>
      <c r="U322" s="93"/>
      <c r="V322" s="93"/>
      <c r="W322" s="93"/>
      <c r="X322" s="93" t="str">
        <f>IF($B322="Yes",COUNTIF(Reference!P$52:P$67,$K322),"")</f>
        <v/>
      </c>
      <c r="Y322" s="93" t="str">
        <f>IF($B322="Yes",COUNTIF(Reference!Q$52:Q$67,$K322),"")</f>
        <v/>
      </c>
      <c r="Z322" s="93" t="str">
        <f>IF($B322="Yes",COUNTIF(Reference!R$52:R$67,$K322),"")</f>
        <v/>
      </c>
      <c r="AA322" s="93" t="str">
        <f>IF($B322="Yes",COUNTIF(Reference!S$52:S$67,$K322),"")</f>
        <v/>
      </c>
      <c r="AB322" s="93" t="str">
        <f>IF($B322="Yes",COUNTIF(Reference!T$52:T$67,$K322),"")</f>
        <v/>
      </c>
      <c r="AC322" s="93" t="str">
        <f t="shared" si="14"/>
        <v/>
      </c>
    </row>
    <row r="323" spans="1:29" x14ac:dyDescent="0.25">
      <c r="A323" s="92">
        <v>413</v>
      </c>
      <c r="B323" s="95" t="str">
        <f t="shared" si="12"/>
        <v>No</v>
      </c>
      <c r="H323" s="92" t="str">
        <f t="shared" si="13"/>
        <v/>
      </c>
      <c r="I323" s="98"/>
      <c r="J323" s="99"/>
      <c r="K323" s="99"/>
      <c r="L323" s="99"/>
      <c r="M323" s="99"/>
      <c r="N323" s="99"/>
      <c r="O323" s="99"/>
      <c r="P323" s="99"/>
      <c r="Q323" s="99"/>
      <c r="R323" s="99"/>
      <c r="S323" s="98"/>
      <c r="T323" s="93"/>
      <c r="U323" s="93"/>
      <c r="V323" s="93"/>
      <c r="W323" s="93"/>
      <c r="X323" s="93" t="str">
        <f>IF($B323="Yes",COUNTIF(Reference!P$52:P$67,$K323),"")</f>
        <v/>
      </c>
      <c r="Y323" s="93" t="str">
        <f>IF($B323="Yes",COUNTIF(Reference!Q$52:Q$67,$K323),"")</f>
        <v/>
      </c>
      <c r="Z323" s="93" t="str">
        <f>IF($B323="Yes",COUNTIF(Reference!R$52:R$67,$K323),"")</f>
        <v/>
      </c>
      <c r="AA323" s="93" t="str">
        <f>IF($B323="Yes",COUNTIF(Reference!S$52:S$67,$K323),"")</f>
        <v/>
      </c>
      <c r="AB323" s="93" t="str">
        <f>IF($B323="Yes",COUNTIF(Reference!T$52:T$67,$K323),"")</f>
        <v/>
      </c>
      <c r="AC323" s="93" t="str">
        <f t="shared" si="14"/>
        <v/>
      </c>
    </row>
    <row r="324" spans="1:29" x14ac:dyDescent="0.25">
      <c r="A324" s="92">
        <v>414</v>
      </c>
      <c r="B324" s="95" t="str">
        <f t="shared" si="12"/>
        <v>No</v>
      </c>
      <c r="H324" s="92" t="str">
        <f t="shared" si="13"/>
        <v/>
      </c>
      <c r="I324" s="98"/>
      <c r="J324" s="99"/>
      <c r="K324" s="99"/>
      <c r="L324" s="99"/>
      <c r="M324" s="99"/>
      <c r="N324" s="99"/>
      <c r="O324" s="99"/>
      <c r="P324" s="99"/>
      <c r="Q324" s="99"/>
      <c r="R324" s="99"/>
      <c r="S324" s="98"/>
      <c r="T324" s="93"/>
      <c r="U324" s="93"/>
      <c r="V324" s="93"/>
      <c r="W324" s="93"/>
      <c r="X324" s="93" t="str">
        <f>IF($B324="Yes",COUNTIF(Reference!P$52:P$67,$K324),"")</f>
        <v/>
      </c>
      <c r="Y324" s="93" t="str">
        <f>IF($B324="Yes",COUNTIF(Reference!Q$52:Q$67,$K324),"")</f>
        <v/>
      </c>
      <c r="Z324" s="93" t="str">
        <f>IF($B324="Yes",COUNTIF(Reference!R$52:R$67,$K324),"")</f>
        <v/>
      </c>
      <c r="AA324" s="93" t="str">
        <f>IF($B324="Yes",COUNTIF(Reference!S$52:S$67,$K324),"")</f>
        <v/>
      </c>
      <c r="AB324" s="93" t="str">
        <f>IF($B324="Yes",COUNTIF(Reference!T$52:T$67,$K324),"")</f>
        <v/>
      </c>
      <c r="AC324" s="93" t="str">
        <f t="shared" si="14"/>
        <v/>
      </c>
    </row>
    <row r="325" spans="1:29" x14ac:dyDescent="0.25">
      <c r="A325" s="92">
        <v>415</v>
      </c>
      <c r="B325" s="95" t="str">
        <f t="shared" si="12"/>
        <v>No</v>
      </c>
      <c r="H325" s="92" t="str">
        <f t="shared" si="13"/>
        <v/>
      </c>
      <c r="I325" s="98"/>
      <c r="J325" s="99"/>
      <c r="K325" s="99"/>
      <c r="L325" s="99"/>
      <c r="M325" s="99"/>
      <c r="N325" s="99"/>
      <c r="O325" s="99"/>
      <c r="P325" s="99"/>
      <c r="Q325" s="99"/>
      <c r="R325" s="99"/>
      <c r="S325" s="98"/>
      <c r="T325" s="93"/>
      <c r="U325" s="93"/>
      <c r="V325" s="93"/>
      <c r="W325" s="93"/>
      <c r="X325" s="93" t="str">
        <f>IF($B325="Yes",COUNTIF(Reference!P$52:P$67,$K325),"")</f>
        <v/>
      </c>
      <c r="Y325" s="93" t="str">
        <f>IF($B325="Yes",COUNTIF(Reference!Q$52:Q$67,$K325),"")</f>
        <v/>
      </c>
      <c r="Z325" s="93" t="str">
        <f>IF($B325="Yes",COUNTIF(Reference!R$52:R$67,$K325),"")</f>
        <v/>
      </c>
      <c r="AA325" s="93" t="str">
        <f>IF($B325="Yes",COUNTIF(Reference!S$52:S$67,$K325),"")</f>
        <v/>
      </c>
      <c r="AB325" s="93" t="str">
        <f>IF($B325="Yes",COUNTIF(Reference!T$52:T$67,$K325),"")</f>
        <v/>
      </c>
      <c r="AC325" s="93" t="str">
        <f t="shared" si="14"/>
        <v/>
      </c>
    </row>
    <row r="326" spans="1:29" x14ac:dyDescent="0.25">
      <c r="A326" s="92">
        <v>416</v>
      </c>
      <c r="B326" s="95" t="str">
        <f t="shared" si="12"/>
        <v>No</v>
      </c>
      <c r="H326" s="92" t="str">
        <f t="shared" si="13"/>
        <v/>
      </c>
      <c r="I326" s="98"/>
      <c r="J326" s="99"/>
      <c r="K326" s="99"/>
      <c r="L326" s="99"/>
      <c r="M326" s="99"/>
      <c r="N326" s="99"/>
      <c r="O326" s="99"/>
      <c r="P326" s="99"/>
      <c r="Q326" s="99"/>
      <c r="R326" s="99"/>
      <c r="S326" s="98"/>
      <c r="T326" s="93"/>
      <c r="U326" s="93"/>
      <c r="V326" s="93"/>
      <c r="W326" s="93"/>
      <c r="X326" s="93" t="str">
        <f>IF($B326="Yes",COUNTIF(Reference!P$52:P$67,$K326),"")</f>
        <v/>
      </c>
      <c r="Y326" s="93" t="str">
        <f>IF($B326="Yes",COUNTIF(Reference!Q$52:Q$67,$K326),"")</f>
        <v/>
      </c>
      <c r="Z326" s="93" t="str">
        <f>IF($B326="Yes",COUNTIF(Reference!R$52:R$67,$K326),"")</f>
        <v/>
      </c>
      <c r="AA326" s="93" t="str">
        <f>IF($B326="Yes",COUNTIF(Reference!S$52:S$67,$K326),"")</f>
        <v/>
      </c>
      <c r="AB326" s="93" t="str">
        <f>IF($B326="Yes",COUNTIF(Reference!T$52:T$67,$K326),"")</f>
        <v/>
      </c>
      <c r="AC326" s="93" t="str">
        <f t="shared" si="14"/>
        <v/>
      </c>
    </row>
    <row r="327" spans="1:29" x14ac:dyDescent="0.25">
      <c r="A327" s="92">
        <v>417</v>
      </c>
      <c r="B327" s="95" t="str">
        <f t="shared" si="12"/>
        <v>No</v>
      </c>
      <c r="H327" s="92" t="str">
        <f t="shared" si="13"/>
        <v/>
      </c>
      <c r="I327" s="98"/>
      <c r="J327" s="99"/>
      <c r="K327" s="99"/>
      <c r="L327" s="99"/>
      <c r="M327" s="99"/>
      <c r="N327" s="99"/>
      <c r="O327" s="99"/>
      <c r="P327" s="99"/>
      <c r="Q327" s="99"/>
      <c r="R327" s="99"/>
      <c r="S327" s="98"/>
      <c r="T327" s="93"/>
      <c r="U327" s="93"/>
      <c r="V327" s="93"/>
      <c r="W327" s="93"/>
      <c r="X327" s="93" t="str">
        <f>IF($B327="Yes",COUNTIF(Reference!P$52:P$67,$K327),"")</f>
        <v/>
      </c>
      <c r="Y327" s="93" t="str">
        <f>IF($B327="Yes",COUNTIF(Reference!Q$52:Q$67,$K327),"")</f>
        <v/>
      </c>
      <c r="Z327" s="93" t="str">
        <f>IF($B327="Yes",COUNTIF(Reference!R$52:R$67,$K327),"")</f>
        <v/>
      </c>
      <c r="AA327" s="93" t="str">
        <f>IF($B327="Yes",COUNTIF(Reference!S$52:S$67,$K327),"")</f>
        <v/>
      </c>
      <c r="AB327" s="93" t="str">
        <f>IF($B327="Yes",COUNTIF(Reference!T$52:T$67,$K327),"")</f>
        <v/>
      </c>
      <c r="AC327" s="93" t="str">
        <f t="shared" si="14"/>
        <v/>
      </c>
    </row>
    <row r="328" spans="1:29" x14ac:dyDescent="0.25">
      <c r="A328" s="92">
        <v>418</v>
      </c>
      <c r="B328" s="95" t="str">
        <f t="shared" si="12"/>
        <v>No</v>
      </c>
      <c r="H328" s="92" t="str">
        <f t="shared" si="13"/>
        <v/>
      </c>
      <c r="I328" s="98"/>
      <c r="J328" s="99"/>
      <c r="K328" s="99"/>
      <c r="L328" s="99"/>
      <c r="M328" s="99"/>
      <c r="N328" s="99"/>
      <c r="O328" s="99"/>
      <c r="P328" s="99"/>
      <c r="Q328" s="99"/>
      <c r="R328" s="99"/>
      <c r="S328" s="98"/>
      <c r="T328" s="93"/>
      <c r="U328" s="93"/>
      <c r="V328" s="93"/>
      <c r="W328" s="93"/>
      <c r="X328" s="93" t="str">
        <f>IF($B328="Yes",COUNTIF(Reference!P$52:P$67,$K328),"")</f>
        <v/>
      </c>
      <c r="Y328" s="93" t="str">
        <f>IF($B328="Yes",COUNTIF(Reference!Q$52:Q$67,$K328),"")</f>
        <v/>
      </c>
      <c r="Z328" s="93" t="str">
        <f>IF($B328="Yes",COUNTIF(Reference!R$52:R$67,$K328),"")</f>
        <v/>
      </c>
      <c r="AA328" s="93" t="str">
        <f>IF($B328="Yes",COUNTIF(Reference!S$52:S$67,$K328),"")</f>
        <v/>
      </c>
      <c r="AB328" s="93" t="str">
        <f>IF($B328="Yes",COUNTIF(Reference!T$52:T$67,$K328),"")</f>
        <v/>
      </c>
      <c r="AC328" s="93" t="str">
        <f t="shared" si="14"/>
        <v/>
      </c>
    </row>
    <row r="329" spans="1:29" x14ac:dyDescent="0.25">
      <c r="A329" s="92">
        <v>419</v>
      </c>
      <c r="B329" s="95" t="str">
        <f t="shared" si="12"/>
        <v>No</v>
      </c>
      <c r="H329" s="92" t="str">
        <f t="shared" si="13"/>
        <v/>
      </c>
      <c r="I329" s="98"/>
      <c r="J329" s="99"/>
      <c r="K329" s="99"/>
      <c r="L329" s="99"/>
      <c r="M329" s="99"/>
      <c r="N329" s="99"/>
      <c r="O329" s="99"/>
      <c r="P329" s="99"/>
      <c r="Q329" s="99"/>
      <c r="R329" s="99"/>
      <c r="S329" s="98"/>
      <c r="T329" s="93"/>
      <c r="U329" s="93"/>
      <c r="V329" s="93"/>
      <c r="W329" s="93"/>
      <c r="X329" s="93" t="str">
        <f>IF($B329="Yes",COUNTIF(Reference!P$52:P$67,$K329),"")</f>
        <v/>
      </c>
      <c r="Y329" s="93" t="str">
        <f>IF($B329="Yes",COUNTIF(Reference!Q$52:Q$67,$K329),"")</f>
        <v/>
      </c>
      <c r="Z329" s="93" t="str">
        <f>IF($B329="Yes",COUNTIF(Reference!R$52:R$67,$K329),"")</f>
        <v/>
      </c>
      <c r="AA329" s="93" t="str">
        <f>IF($B329="Yes",COUNTIF(Reference!S$52:S$67,$K329),"")</f>
        <v/>
      </c>
      <c r="AB329" s="93" t="str">
        <f>IF($B329="Yes",COUNTIF(Reference!T$52:T$67,$K329),"")</f>
        <v/>
      </c>
      <c r="AC329" s="93" t="str">
        <f t="shared" si="14"/>
        <v/>
      </c>
    </row>
    <row r="330" spans="1:29" x14ac:dyDescent="0.25">
      <c r="A330" s="92">
        <v>420</v>
      </c>
      <c r="B330" s="95" t="str">
        <f t="shared" si="12"/>
        <v>No</v>
      </c>
      <c r="H330" s="92" t="str">
        <f t="shared" si="13"/>
        <v/>
      </c>
      <c r="I330" s="98"/>
      <c r="J330" s="99"/>
      <c r="K330" s="99"/>
      <c r="L330" s="99"/>
      <c r="M330" s="99"/>
      <c r="N330" s="99"/>
      <c r="O330" s="99"/>
      <c r="P330" s="99"/>
      <c r="Q330" s="99"/>
      <c r="R330" s="99"/>
      <c r="S330" s="98"/>
      <c r="T330" s="93"/>
      <c r="U330" s="93"/>
      <c r="V330" s="93"/>
      <c r="W330" s="93"/>
      <c r="X330" s="93" t="str">
        <f>IF($B330="Yes",COUNTIF(Reference!P$52:P$67,$K330),"")</f>
        <v/>
      </c>
      <c r="Y330" s="93" t="str">
        <f>IF($B330="Yes",COUNTIF(Reference!Q$52:Q$67,$K330),"")</f>
        <v/>
      </c>
      <c r="Z330" s="93" t="str">
        <f>IF($B330="Yes",COUNTIF(Reference!R$52:R$67,$K330),"")</f>
        <v/>
      </c>
      <c r="AA330" s="93" t="str">
        <f>IF($B330="Yes",COUNTIF(Reference!S$52:S$67,$K330),"")</f>
        <v/>
      </c>
      <c r="AB330" s="93" t="str">
        <f>IF($B330="Yes",COUNTIF(Reference!T$52:T$67,$K330),"")</f>
        <v/>
      </c>
      <c r="AC330" s="93" t="str">
        <f t="shared" si="14"/>
        <v/>
      </c>
    </row>
    <row r="331" spans="1:29" x14ac:dyDescent="0.25">
      <c r="A331" s="92">
        <v>421</v>
      </c>
      <c r="B331" s="95" t="str">
        <f t="shared" ref="B331:B394" si="15">IF(COUNTBLANK(J331:M331)=0,"Yes","No")</f>
        <v>No</v>
      </c>
      <c r="H331" s="92" t="str">
        <f t="shared" ref="H331:H394" si="16">IF(J331="","",$A$1&amp;"-"&amp;A331)</f>
        <v/>
      </c>
      <c r="I331" s="98"/>
      <c r="J331" s="99"/>
      <c r="K331" s="99"/>
      <c r="L331" s="99"/>
      <c r="M331" s="99"/>
      <c r="N331" s="99"/>
      <c r="O331" s="99"/>
      <c r="P331" s="99"/>
      <c r="Q331" s="99"/>
      <c r="R331" s="99"/>
      <c r="S331" s="98"/>
      <c r="T331" s="93"/>
      <c r="U331" s="93"/>
      <c r="V331" s="93"/>
      <c r="W331" s="93"/>
      <c r="X331" s="93" t="str">
        <f>IF($B331="Yes",COUNTIF(Reference!P$52:P$67,$K331),"")</f>
        <v/>
      </c>
      <c r="Y331" s="93" t="str">
        <f>IF($B331="Yes",COUNTIF(Reference!Q$52:Q$67,$K331),"")</f>
        <v/>
      </c>
      <c r="Z331" s="93" t="str">
        <f>IF($B331="Yes",COUNTIF(Reference!R$52:R$67,$K331),"")</f>
        <v/>
      </c>
      <c r="AA331" s="93" t="str">
        <f>IF($B331="Yes",COUNTIF(Reference!S$52:S$67,$K331),"")</f>
        <v/>
      </c>
      <c r="AB331" s="93" t="str">
        <f>IF($B331="Yes",COUNTIF(Reference!T$52:T$67,$K331),"")</f>
        <v/>
      </c>
      <c r="AC331" s="93" t="str">
        <f t="shared" ref="AC331:AC394" si="17">IF($B331="Yes",COUNTIF(K331,"N"),"")</f>
        <v/>
      </c>
    </row>
    <row r="332" spans="1:29" x14ac:dyDescent="0.25">
      <c r="A332" s="92">
        <v>422</v>
      </c>
      <c r="B332" s="95" t="str">
        <f t="shared" si="15"/>
        <v>No</v>
      </c>
      <c r="H332" s="92" t="str">
        <f t="shared" si="16"/>
        <v/>
      </c>
      <c r="I332" s="98"/>
      <c r="J332" s="99"/>
      <c r="K332" s="99"/>
      <c r="L332" s="99"/>
      <c r="M332" s="99"/>
      <c r="N332" s="99"/>
      <c r="O332" s="99"/>
      <c r="P332" s="99"/>
      <c r="Q332" s="99"/>
      <c r="R332" s="99"/>
      <c r="S332" s="98"/>
      <c r="T332" s="93"/>
      <c r="U332" s="93"/>
      <c r="V332" s="93"/>
      <c r="W332" s="93"/>
      <c r="X332" s="93" t="str">
        <f>IF($B332="Yes",COUNTIF(Reference!P$52:P$67,$K332),"")</f>
        <v/>
      </c>
      <c r="Y332" s="93" t="str">
        <f>IF($B332="Yes",COUNTIF(Reference!Q$52:Q$67,$K332),"")</f>
        <v/>
      </c>
      <c r="Z332" s="93" t="str">
        <f>IF($B332="Yes",COUNTIF(Reference!R$52:R$67,$K332),"")</f>
        <v/>
      </c>
      <c r="AA332" s="93" t="str">
        <f>IF($B332="Yes",COUNTIF(Reference!S$52:S$67,$K332),"")</f>
        <v/>
      </c>
      <c r="AB332" s="93" t="str">
        <f>IF($B332="Yes",COUNTIF(Reference!T$52:T$67,$K332),"")</f>
        <v/>
      </c>
      <c r="AC332" s="93" t="str">
        <f t="shared" si="17"/>
        <v/>
      </c>
    </row>
    <row r="333" spans="1:29" x14ac:dyDescent="0.25">
      <c r="A333" s="92">
        <v>423</v>
      </c>
      <c r="B333" s="95" t="str">
        <f t="shared" si="15"/>
        <v>No</v>
      </c>
      <c r="H333" s="92" t="str">
        <f t="shared" si="16"/>
        <v/>
      </c>
      <c r="I333" s="98"/>
      <c r="J333" s="99"/>
      <c r="K333" s="99"/>
      <c r="L333" s="99"/>
      <c r="M333" s="99"/>
      <c r="N333" s="99"/>
      <c r="O333" s="99"/>
      <c r="P333" s="99"/>
      <c r="Q333" s="99"/>
      <c r="R333" s="99"/>
      <c r="S333" s="98"/>
      <c r="T333" s="93"/>
      <c r="U333" s="93"/>
      <c r="V333" s="93"/>
      <c r="W333" s="93"/>
      <c r="X333" s="93" t="str">
        <f>IF($B333="Yes",COUNTIF(Reference!P$52:P$67,$K333),"")</f>
        <v/>
      </c>
      <c r="Y333" s="93" t="str">
        <f>IF($B333="Yes",COUNTIF(Reference!Q$52:Q$67,$K333),"")</f>
        <v/>
      </c>
      <c r="Z333" s="93" t="str">
        <f>IF($B333="Yes",COUNTIF(Reference!R$52:R$67,$K333),"")</f>
        <v/>
      </c>
      <c r="AA333" s="93" t="str">
        <f>IF($B333="Yes",COUNTIF(Reference!S$52:S$67,$K333),"")</f>
        <v/>
      </c>
      <c r="AB333" s="93" t="str">
        <f>IF($B333="Yes",COUNTIF(Reference!T$52:T$67,$K333),"")</f>
        <v/>
      </c>
      <c r="AC333" s="93" t="str">
        <f t="shared" si="17"/>
        <v/>
      </c>
    </row>
    <row r="334" spans="1:29" x14ac:dyDescent="0.25">
      <c r="A334" s="92">
        <v>424</v>
      </c>
      <c r="B334" s="95" t="str">
        <f t="shared" si="15"/>
        <v>No</v>
      </c>
      <c r="H334" s="92" t="str">
        <f t="shared" si="16"/>
        <v/>
      </c>
      <c r="I334" s="98"/>
      <c r="J334" s="99"/>
      <c r="K334" s="99"/>
      <c r="L334" s="99"/>
      <c r="M334" s="99"/>
      <c r="N334" s="99"/>
      <c r="O334" s="99"/>
      <c r="P334" s="99"/>
      <c r="Q334" s="99"/>
      <c r="R334" s="99"/>
      <c r="S334" s="98"/>
      <c r="T334" s="93"/>
      <c r="U334" s="93"/>
      <c r="V334" s="93"/>
      <c r="W334" s="93"/>
      <c r="X334" s="93" t="str">
        <f>IF($B334="Yes",COUNTIF(Reference!P$52:P$67,$K334),"")</f>
        <v/>
      </c>
      <c r="Y334" s="93" t="str">
        <f>IF($B334="Yes",COUNTIF(Reference!Q$52:Q$67,$K334),"")</f>
        <v/>
      </c>
      <c r="Z334" s="93" t="str">
        <f>IF($B334="Yes",COUNTIF(Reference!R$52:R$67,$K334),"")</f>
        <v/>
      </c>
      <c r="AA334" s="93" t="str">
        <f>IF($B334="Yes",COUNTIF(Reference!S$52:S$67,$K334),"")</f>
        <v/>
      </c>
      <c r="AB334" s="93" t="str">
        <f>IF($B334="Yes",COUNTIF(Reference!T$52:T$67,$K334),"")</f>
        <v/>
      </c>
      <c r="AC334" s="93" t="str">
        <f t="shared" si="17"/>
        <v/>
      </c>
    </row>
    <row r="335" spans="1:29" x14ac:dyDescent="0.25">
      <c r="A335" s="92">
        <v>425</v>
      </c>
      <c r="B335" s="95" t="str">
        <f t="shared" si="15"/>
        <v>No</v>
      </c>
      <c r="H335" s="92" t="str">
        <f t="shared" si="16"/>
        <v/>
      </c>
      <c r="I335" s="98"/>
      <c r="J335" s="99"/>
      <c r="K335" s="99"/>
      <c r="L335" s="99"/>
      <c r="M335" s="99"/>
      <c r="N335" s="99"/>
      <c r="O335" s="99"/>
      <c r="P335" s="99"/>
      <c r="Q335" s="99"/>
      <c r="R335" s="99"/>
      <c r="S335" s="98"/>
      <c r="T335" s="93"/>
      <c r="U335" s="93"/>
      <c r="V335" s="93"/>
      <c r="W335" s="93"/>
      <c r="X335" s="93" t="str">
        <f>IF($B335="Yes",COUNTIF(Reference!P$52:P$67,$K335),"")</f>
        <v/>
      </c>
      <c r="Y335" s="93" t="str">
        <f>IF($B335="Yes",COUNTIF(Reference!Q$52:Q$67,$K335),"")</f>
        <v/>
      </c>
      <c r="Z335" s="93" t="str">
        <f>IF($B335="Yes",COUNTIF(Reference!R$52:R$67,$K335),"")</f>
        <v/>
      </c>
      <c r="AA335" s="93" t="str">
        <f>IF($B335="Yes",COUNTIF(Reference!S$52:S$67,$K335),"")</f>
        <v/>
      </c>
      <c r="AB335" s="93" t="str">
        <f>IF($B335="Yes",COUNTIF(Reference!T$52:T$67,$K335),"")</f>
        <v/>
      </c>
      <c r="AC335" s="93" t="str">
        <f t="shared" si="17"/>
        <v/>
      </c>
    </row>
    <row r="336" spans="1:29" x14ac:dyDescent="0.25">
      <c r="A336" s="92">
        <v>426</v>
      </c>
      <c r="B336" s="95" t="str">
        <f t="shared" si="15"/>
        <v>No</v>
      </c>
      <c r="H336" s="92" t="str">
        <f t="shared" si="16"/>
        <v/>
      </c>
      <c r="I336" s="98"/>
      <c r="J336" s="99"/>
      <c r="K336" s="99"/>
      <c r="L336" s="99"/>
      <c r="M336" s="99"/>
      <c r="N336" s="99"/>
      <c r="O336" s="99"/>
      <c r="P336" s="99"/>
      <c r="Q336" s="99"/>
      <c r="R336" s="99"/>
      <c r="S336" s="98"/>
      <c r="T336" s="93"/>
      <c r="U336" s="93"/>
      <c r="V336" s="93"/>
      <c r="W336" s="93"/>
      <c r="X336" s="93" t="str">
        <f>IF($B336="Yes",COUNTIF(Reference!P$52:P$67,$K336),"")</f>
        <v/>
      </c>
      <c r="Y336" s="93" t="str">
        <f>IF($B336="Yes",COUNTIF(Reference!Q$52:Q$67,$K336),"")</f>
        <v/>
      </c>
      <c r="Z336" s="93" t="str">
        <f>IF($B336="Yes",COUNTIF(Reference!R$52:R$67,$K336),"")</f>
        <v/>
      </c>
      <c r="AA336" s="93" t="str">
        <f>IF($B336="Yes",COUNTIF(Reference!S$52:S$67,$K336),"")</f>
        <v/>
      </c>
      <c r="AB336" s="93" t="str">
        <f>IF($B336="Yes",COUNTIF(Reference!T$52:T$67,$K336),"")</f>
        <v/>
      </c>
      <c r="AC336" s="93" t="str">
        <f t="shared" si="17"/>
        <v/>
      </c>
    </row>
    <row r="337" spans="1:29" x14ac:dyDescent="0.25">
      <c r="A337" s="92">
        <v>427</v>
      </c>
      <c r="B337" s="95" t="str">
        <f t="shared" si="15"/>
        <v>No</v>
      </c>
      <c r="H337" s="92" t="str">
        <f t="shared" si="16"/>
        <v/>
      </c>
      <c r="I337" s="98"/>
      <c r="J337" s="99"/>
      <c r="K337" s="99"/>
      <c r="L337" s="99"/>
      <c r="M337" s="99"/>
      <c r="N337" s="99"/>
      <c r="O337" s="99"/>
      <c r="P337" s="99"/>
      <c r="Q337" s="99"/>
      <c r="R337" s="99"/>
      <c r="S337" s="98"/>
      <c r="T337" s="93"/>
      <c r="U337" s="93"/>
      <c r="V337" s="93"/>
      <c r="W337" s="93"/>
      <c r="X337" s="93" t="str">
        <f>IF($B337="Yes",COUNTIF(Reference!P$52:P$67,$K337),"")</f>
        <v/>
      </c>
      <c r="Y337" s="93" t="str">
        <f>IF($B337="Yes",COUNTIF(Reference!Q$52:Q$67,$K337),"")</f>
        <v/>
      </c>
      <c r="Z337" s="93" t="str">
        <f>IF($B337="Yes",COUNTIF(Reference!R$52:R$67,$K337),"")</f>
        <v/>
      </c>
      <c r="AA337" s="93" t="str">
        <f>IF($B337="Yes",COUNTIF(Reference!S$52:S$67,$K337),"")</f>
        <v/>
      </c>
      <c r="AB337" s="93" t="str">
        <f>IF($B337="Yes",COUNTIF(Reference!T$52:T$67,$K337),"")</f>
        <v/>
      </c>
      <c r="AC337" s="93" t="str">
        <f t="shared" si="17"/>
        <v/>
      </c>
    </row>
    <row r="338" spans="1:29" x14ac:dyDescent="0.25">
      <c r="A338" s="92">
        <v>428</v>
      </c>
      <c r="B338" s="95" t="str">
        <f t="shared" si="15"/>
        <v>No</v>
      </c>
      <c r="H338" s="92" t="str">
        <f t="shared" si="16"/>
        <v/>
      </c>
      <c r="I338" s="98"/>
      <c r="J338" s="99"/>
      <c r="K338" s="99"/>
      <c r="L338" s="99"/>
      <c r="M338" s="99"/>
      <c r="N338" s="99"/>
      <c r="O338" s="99"/>
      <c r="P338" s="99"/>
      <c r="Q338" s="99"/>
      <c r="R338" s="99"/>
      <c r="S338" s="98"/>
      <c r="T338" s="93"/>
      <c r="U338" s="93"/>
      <c r="V338" s="93"/>
      <c r="W338" s="93"/>
      <c r="X338" s="93" t="str">
        <f>IF($B338="Yes",COUNTIF(Reference!P$52:P$67,$K338),"")</f>
        <v/>
      </c>
      <c r="Y338" s="93" t="str">
        <f>IF($B338="Yes",COUNTIF(Reference!Q$52:Q$67,$K338),"")</f>
        <v/>
      </c>
      <c r="Z338" s="93" t="str">
        <f>IF($B338="Yes",COUNTIF(Reference!R$52:R$67,$K338),"")</f>
        <v/>
      </c>
      <c r="AA338" s="93" t="str">
        <f>IF($B338="Yes",COUNTIF(Reference!S$52:S$67,$K338),"")</f>
        <v/>
      </c>
      <c r="AB338" s="93" t="str">
        <f>IF($B338="Yes",COUNTIF(Reference!T$52:T$67,$K338),"")</f>
        <v/>
      </c>
      <c r="AC338" s="93" t="str">
        <f t="shared" si="17"/>
        <v/>
      </c>
    </row>
    <row r="339" spans="1:29" x14ac:dyDescent="0.25">
      <c r="A339" s="92">
        <v>429</v>
      </c>
      <c r="B339" s="95" t="str">
        <f t="shared" si="15"/>
        <v>No</v>
      </c>
      <c r="H339" s="92" t="str">
        <f t="shared" si="16"/>
        <v/>
      </c>
      <c r="I339" s="98"/>
      <c r="J339" s="99"/>
      <c r="K339" s="99"/>
      <c r="L339" s="99"/>
      <c r="M339" s="99"/>
      <c r="N339" s="99"/>
      <c r="O339" s="99"/>
      <c r="P339" s="99"/>
      <c r="Q339" s="99"/>
      <c r="R339" s="99"/>
      <c r="S339" s="98"/>
      <c r="T339" s="93"/>
      <c r="U339" s="93"/>
      <c r="V339" s="93"/>
      <c r="W339" s="93"/>
      <c r="X339" s="93" t="str">
        <f>IF($B339="Yes",COUNTIF(Reference!P$52:P$67,$K339),"")</f>
        <v/>
      </c>
      <c r="Y339" s="93" t="str">
        <f>IF($B339="Yes",COUNTIF(Reference!Q$52:Q$67,$K339),"")</f>
        <v/>
      </c>
      <c r="Z339" s="93" t="str">
        <f>IF($B339="Yes",COUNTIF(Reference!R$52:R$67,$K339),"")</f>
        <v/>
      </c>
      <c r="AA339" s="93" t="str">
        <f>IF($B339="Yes",COUNTIF(Reference!S$52:S$67,$K339),"")</f>
        <v/>
      </c>
      <c r="AB339" s="93" t="str">
        <f>IF($B339="Yes",COUNTIF(Reference!T$52:T$67,$K339),"")</f>
        <v/>
      </c>
      <c r="AC339" s="93" t="str">
        <f t="shared" si="17"/>
        <v/>
      </c>
    </row>
    <row r="340" spans="1:29" x14ac:dyDescent="0.25">
      <c r="A340" s="92">
        <v>430</v>
      </c>
      <c r="B340" s="95" t="str">
        <f t="shared" si="15"/>
        <v>No</v>
      </c>
      <c r="H340" s="92" t="str">
        <f t="shared" si="16"/>
        <v/>
      </c>
      <c r="I340" s="98"/>
      <c r="J340" s="99"/>
      <c r="K340" s="99"/>
      <c r="L340" s="99"/>
      <c r="M340" s="99"/>
      <c r="N340" s="99"/>
      <c r="O340" s="99"/>
      <c r="P340" s="99"/>
      <c r="Q340" s="99"/>
      <c r="R340" s="99"/>
      <c r="S340" s="98"/>
      <c r="T340" s="93"/>
      <c r="U340" s="93"/>
      <c r="V340" s="93"/>
      <c r="W340" s="93"/>
      <c r="X340" s="93" t="str">
        <f>IF($B340="Yes",COUNTIF(Reference!P$52:P$67,$K340),"")</f>
        <v/>
      </c>
      <c r="Y340" s="93" t="str">
        <f>IF($B340="Yes",COUNTIF(Reference!Q$52:Q$67,$K340),"")</f>
        <v/>
      </c>
      <c r="Z340" s="93" t="str">
        <f>IF($B340="Yes",COUNTIF(Reference!R$52:R$67,$K340),"")</f>
        <v/>
      </c>
      <c r="AA340" s="93" t="str">
        <f>IF($B340="Yes",COUNTIF(Reference!S$52:S$67,$K340),"")</f>
        <v/>
      </c>
      <c r="AB340" s="93" t="str">
        <f>IF($B340="Yes",COUNTIF(Reference!T$52:T$67,$K340),"")</f>
        <v/>
      </c>
      <c r="AC340" s="93" t="str">
        <f t="shared" si="17"/>
        <v/>
      </c>
    </row>
    <row r="341" spans="1:29" x14ac:dyDescent="0.25">
      <c r="A341" s="92">
        <v>431</v>
      </c>
      <c r="B341" s="95" t="str">
        <f t="shared" si="15"/>
        <v>No</v>
      </c>
      <c r="H341" s="92" t="str">
        <f t="shared" si="16"/>
        <v/>
      </c>
      <c r="I341" s="98"/>
      <c r="J341" s="99"/>
      <c r="K341" s="99"/>
      <c r="L341" s="99"/>
      <c r="M341" s="99"/>
      <c r="N341" s="99"/>
      <c r="O341" s="99"/>
      <c r="P341" s="99"/>
      <c r="Q341" s="99"/>
      <c r="R341" s="99"/>
      <c r="S341" s="98"/>
      <c r="T341" s="93"/>
      <c r="U341" s="93"/>
      <c r="V341" s="93"/>
      <c r="W341" s="93"/>
      <c r="X341" s="93" t="str">
        <f>IF($B341="Yes",COUNTIF(Reference!P$52:P$67,$K341),"")</f>
        <v/>
      </c>
      <c r="Y341" s="93" t="str">
        <f>IF($B341="Yes",COUNTIF(Reference!Q$52:Q$67,$K341),"")</f>
        <v/>
      </c>
      <c r="Z341" s="93" t="str">
        <f>IF($B341="Yes",COUNTIF(Reference!R$52:R$67,$K341),"")</f>
        <v/>
      </c>
      <c r="AA341" s="93" t="str">
        <f>IF($B341="Yes",COUNTIF(Reference!S$52:S$67,$K341),"")</f>
        <v/>
      </c>
      <c r="AB341" s="93" t="str">
        <f>IF($B341="Yes",COUNTIF(Reference!T$52:T$67,$K341),"")</f>
        <v/>
      </c>
      <c r="AC341" s="93" t="str">
        <f t="shared" si="17"/>
        <v/>
      </c>
    </row>
    <row r="342" spans="1:29" x14ac:dyDescent="0.25">
      <c r="A342" s="92">
        <v>432</v>
      </c>
      <c r="B342" s="95" t="str">
        <f t="shared" si="15"/>
        <v>No</v>
      </c>
      <c r="H342" s="92" t="str">
        <f t="shared" si="16"/>
        <v/>
      </c>
      <c r="I342" s="98"/>
      <c r="J342" s="99"/>
      <c r="K342" s="99"/>
      <c r="L342" s="99"/>
      <c r="M342" s="99"/>
      <c r="N342" s="99"/>
      <c r="O342" s="99"/>
      <c r="P342" s="99"/>
      <c r="Q342" s="99"/>
      <c r="R342" s="99"/>
      <c r="S342" s="98"/>
      <c r="T342" s="93"/>
      <c r="U342" s="93"/>
      <c r="V342" s="93"/>
      <c r="W342" s="93"/>
      <c r="X342" s="93" t="str">
        <f>IF($B342="Yes",COUNTIF(Reference!P$52:P$67,$K342),"")</f>
        <v/>
      </c>
      <c r="Y342" s="93" t="str">
        <f>IF($B342="Yes",COUNTIF(Reference!Q$52:Q$67,$K342),"")</f>
        <v/>
      </c>
      <c r="Z342" s="93" t="str">
        <f>IF($B342="Yes",COUNTIF(Reference!R$52:R$67,$K342),"")</f>
        <v/>
      </c>
      <c r="AA342" s="93" t="str">
        <f>IF($B342="Yes",COUNTIF(Reference!S$52:S$67,$K342),"")</f>
        <v/>
      </c>
      <c r="AB342" s="93" t="str">
        <f>IF($B342="Yes",COUNTIF(Reference!T$52:T$67,$K342),"")</f>
        <v/>
      </c>
      <c r="AC342" s="93" t="str">
        <f t="shared" si="17"/>
        <v/>
      </c>
    </row>
    <row r="343" spans="1:29" x14ac:dyDescent="0.25">
      <c r="A343" s="92">
        <v>433</v>
      </c>
      <c r="B343" s="95" t="str">
        <f t="shared" si="15"/>
        <v>No</v>
      </c>
      <c r="H343" s="92" t="str">
        <f t="shared" si="16"/>
        <v/>
      </c>
      <c r="I343" s="98"/>
      <c r="J343" s="99"/>
      <c r="K343" s="99"/>
      <c r="L343" s="99"/>
      <c r="M343" s="99"/>
      <c r="N343" s="99"/>
      <c r="O343" s="99"/>
      <c r="P343" s="99"/>
      <c r="Q343" s="99"/>
      <c r="R343" s="99"/>
      <c r="S343" s="98"/>
      <c r="T343" s="93"/>
      <c r="U343" s="93"/>
      <c r="V343" s="93"/>
      <c r="W343" s="93"/>
      <c r="X343" s="93" t="str">
        <f>IF($B343="Yes",COUNTIF(Reference!P$52:P$67,$K343),"")</f>
        <v/>
      </c>
      <c r="Y343" s="93" t="str">
        <f>IF($B343="Yes",COUNTIF(Reference!Q$52:Q$67,$K343),"")</f>
        <v/>
      </c>
      <c r="Z343" s="93" t="str">
        <f>IF($B343="Yes",COUNTIF(Reference!R$52:R$67,$K343),"")</f>
        <v/>
      </c>
      <c r="AA343" s="93" t="str">
        <f>IF($B343="Yes",COUNTIF(Reference!S$52:S$67,$K343),"")</f>
        <v/>
      </c>
      <c r="AB343" s="93" t="str">
        <f>IF($B343="Yes",COUNTIF(Reference!T$52:T$67,$K343),"")</f>
        <v/>
      </c>
      <c r="AC343" s="93" t="str">
        <f t="shared" si="17"/>
        <v/>
      </c>
    </row>
    <row r="344" spans="1:29" x14ac:dyDescent="0.25">
      <c r="A344" s="92">
        <v>434</v>
      </c>
      <c r="B344" s="95" t="str">
        <f t="shared" si="15"/>
        <v>No</v>
      </c>
      <c r="H344" s="92" t="str">
        <f t="shared" si="16"/>
        <v/>
      </c>
      <c r="I344" s="98"/>
      <c r="J344" s="99"/>
      <c r="K344" s="99"/>
      <c r="L344" s="99"/>
      <c r="M344" s="99"/>
      <c r="N344" s="99"/>
      <c r="O344" s="99"/>
      <c r="P344" s="99"/>
      <c r="Q344" s="99"/>
      <c r="R344" s="99"/>
      <c r="S344" s="98"/>
      <c r="T344" s="93"/>
      <c r="U344" s="93"/>
      <c r="V344" s="93"/>
      <c r="W344" s="93"/>
      <c r="X344" s="93" t="str">
        <f>IF($B344="Yes",COUNTIF(Reference!P$52:P$67,$K344),"")</f>
        <v/>
      </c>
      <c r="Y344" s="93" t="str">
        <f>IF($B344="Yes",COUNTIF(Reference!Q$52:Q$67,$K344),"")</f>
        <v/>
      </c>
      <c r="Z344" s="93" t="str">
        <f>IF($B344="Yes",COUNTIF(Reference!R$52:R$67,$K344),"")</f>
        <v/>
      </c>
      <c r="AA344" s="93" t="str">
        <f>IF($B344="Yes",COUNTIF(Reference!S$52:S$67,$K344),"")</f>
        <v/>
      </c>
      <c r="AB344" s="93" t="str">
        <f>IF($B344="Yes",COUNTIF(Reference!T$52:T$67,$K344),"")</f>
        <v/>
      </c>
      <c r="AC344" s="93" t="str">
        <f t="shared" si="17"/>
        <v/>
      </c>
    </row>
    <row r="345" spans="1:29" x14ac:dyDescent="0.25">
      <c r="A345" s="92">
        <v>435</v>
      </c>
      <c r="B345" s="95" t="str">
        <f t="shared" si="15"/>
        <v>No</v>
      </c>
      <c r="H345" s="92" t="str">
        <f t="shared" si="16"/>
        <v/>
      </c>
      <c r="I345" s="98"/>
      <c r="J345" s="99"/>
      <c r="K345" s="99"/>
      <c r="L345" s="99"/>
      <c r="M345" s="99"/>
      <c r="N345" s="99"/>
      <c r="O345" s="99"/>
      <c r="P345" s="99"/>
      <c r="Q345" s="99"/>
      <c r="R345" s="99"/>
      <c r="S345" s="98"/>
      <c r="T345" s="93"/>
      <c r="U345" s="93"/>
      <c r="V345" s="93"/>
      <c r="W345" s="93"/>
      <c r="X345" s="93" t="str">
        <f>IF($B345="Yes",COUNTIF(Reference!P$52:P$67,$K345),"")</f>
        <v/>
      </c>
      <c r="Y345" s="93" t="str">
        <f>IF($B345="Yes",COUNTIF(Reference!Q$52:Q$67,$K345),"")</f>
        <v/>
      </c>
      <c r="Z345" s="93" t="str">
        <f>IF($B345="Yes",COUNTIF(Reference!R$52:R$67,$K345),"")</f>
        <v/>
      </c>
      <c r="AA345" s="93" t="str">
        <f>IF($B345="Yes",COUNTIF(Reference!S$52:S$67,$K345),"")</f>
        <v/>
      </c>
      <c r="AB345" s="93" t="str">
        <f>IF($B345="Yes",COUNTIF(Reference!T$52:T$67,$K345),"")</f>
        <v/>
      </c>
      <c r="AC345" s="93" t="str">
        <f t="shared" si="17"/>
        <v/>
      </c>
    </row>
    <row r="346" spans="1:29" x14ac:dyDescent="0.25">
      <c r="A346" s="92">
        <v>436</v>
      </c>
      <c r="B346" s="95" t="str">
        <f t="shared" si="15"/>
        <v>No</v>
      </c>
      <c r="H346" s="92" t="str">
        <f t="shared" si="16"/>
        <v/>
      </c>
      <c r="I346" s="98"/>
      <c r="J346" s="99"/>
      <c r="K346" s="99"/>
      <c r="L346" s="99"/>
      <c r="M346" s="99"/>
      <c r="N346" s="99"/>
      <c r="O346" s="99"/>
      <c r="P346" s="99"/>
      <c r="Q346" s="99"/>
      <c r="R346" s="99"/>
      <c r="S346" s="98"/>
      <c r="T346" s="93"/>
      <c r="U346" s="93"/>
      <c r="V346" s="93"/>
      <c r="W346" s="93"/>
      <c r="X346" s="93" t="str">
        <f>IF($B346="Yes",COUNTIF(Reference!P$52:P$67,$K346),"")</f>
        <v/>
      </c>
      <c r="Y346" s="93" t="str">
        <f>IF($B346="Yes",COUNTIF(Reference!Q$52:Q$67,$K346),"")</f>
        <v/>
      </c>
      <c r="Z346" s="93" t="str">
        <f>IF($B346="Yes",COUNTIF(Reference!R$52:R$67,$K346),"")</f>
        <v/>
      </c>
      <c r="AA346" s="93" t="str">
        <f>IF($B346="Yes",COUNTIF(Reference!S$52:S$67,$K346),"")</f>
        <v/>
      </c>
      <c r="AB346" s="93" t="str">
        <f>IF($B346="Yes",COUNTIF(Reference!T$52:T$67,$K346),"")</f>
        <v/>
      </c>
      <c r="AC346" s="93" t="str">
        <f t="shared" si="17"/>
        <v/>
      </c>
    </row>
    <row r="347" spans="1:29" x14ac:dyDescent="0.25">
      <c r="A347" s="92">
        <v>437</v>
      </c>
      <c r="B347" s="95" t="str">
        <f t="shared" si="15"/>
        <v>No</v>
      </c>
      <c r="H347" s="92" t="str">
        <f t="shared" si="16"/>
        <v/>
      </c>
      <c r="I347" s="98"/>
      <c r="J347" s="99"/>
      <c r="K347" s="99"/>
      <c r="L347" s="99"/>
      <c r="M347" s="99"/>
      <c r="N347" s="99"/>
      <c r="O347" s="99"/>
      <c r="P347" s="99"/>
      <c r="Q347" s="99"/>
      <c r="R347" s="99"/>
      <c r="S347" s="98"/>
      <c r="T347" s="93"/>
      <c r="U347" s="93"/>
      <c r="V347" s="93"/>
      <c r="W347" s="93"/>
      <c r="X347" s="93" t="str">
        <f>IF($B347="Yes",COUNTIF(Reference!P$52:P$67,$K347),"")</f>
        <v/>
      </c>
      <c r="Y347" s="93" t="str">
        <f>IF($B347="Yes",COUNTIF(Reference!Q$52:Q$67,$K347),"")</f>
        <v/>
      </c>
      <c r="Z347" s="93" t="str">
        <f>IF($B347="Yes",COUNTIF(Reference!R$52:R$67,$K347),"")</f>
        <v/>
      </c>
      <c r="AA347" s="93" t="str">
        <f>IF($B347="Yes",COUNTIF(Reference!S$52:S$67,$K347),"")</f>
        <v/>
      </c>
      <c r="AB347" s="93" t="str">
        <f>IF($B347="Yes",COUNTIF(Reference!T$52:T$67,$K347),"")</f>
        <v/>
      </c>
      <c r="AC347" s="93" t="str">
        <f t="shared" si="17"/>
        <v/>
      </c>
    </row>
    <row r="348" spans="1:29" x14ac:dyDescent="0.25">
      <c r="A348" s="92">
        <v>438</v>
      </c>
      <c r="B348" s="95" t="str">
        <f t="shared" si="15"/>
        <v>No</v>
      </c>
      <c r="H348" s="92" t="str">
        <f t="shared" si="16"/>
        <v/>
      </c>
      <c r="I348" s="98"/>
      <c r="J348" s="99"/>
      <c r="K348" s="99"/>
      <c r="L348" s="99"/>
      <c r="M348" s="99"/>
      <c r="N348" s="99"/>
      <c r="O348" s="99"/>
      <c r="P348" s="99"/>
      <c r="Q348" s="99"/>
      <c r="R348" s="99"/>
      <c r="S348" s="98"/>
      <c r="T348" s="93"/>
      <c r="U348" s="93"/>
      <c r="V348" s="93"/>
      <c r="W348" s="93"/>
      <c r="X348" s="93" t="str">
        <f>IF($B348="Yes",COUNTIF(Reference!P$52:P$67,$K348),"")</f>
        <v/>
      </c>
      <c r="Y348" s="93" t="str">
        <f>IF($B348="Yes",COUNTIF(Reference!Q$52:Q$67,$K348),"")</f>
        <v/>
      </c>
      <c r="Z348" s="93" t="str">
        <f>IF($B348="Yes",COUNTIF(Reference!R$52:R$67,$K348),"")</f>
        <v/>
      </c>
      <c r="AA348" s="93" t="str">
        <f>IF($B348="Yes",COUNTIF(Reference!S$52:S$67,$K348),"")</f>
        <v/>
      </c>
      <c r="AB348" s="93" t="str">
        <f>IF($B348="Yes",COUNTIF(Reference!T$52:T$67,$K348),"")</f>
        <v/>
      </c>
      <c r="AC348" s="93" t="str">
        <f t="shared" si="17"/>
        <v/>
      </c>
    </row>
    <row r="349" spans="1:29" x14ac:dyDescent="0.25">
      <c r="A349" s="92">
        <v>439</v>
      </c>
      <c r="B349" s="95" t="str">
        <f t="shared" si="15"/>
        <v>No</v>
      </c>
      <c r="H349" s="92" t="str">
        <f t="shared" si="16"/>
        <v/>
      </c>
      <c r="I349" s="98"/>
      <c r="J349" s="99"/>
      <c r="K349" s="99"/>
      <c r="L349" s="99"/>
      <c r="M349" s="99"/>
      <c r="N349" s="99"/>
      <c r="O349" s="99"/>
      <c r="P349" s="99"/>
      <c r="Q349" s="99"/>
      <c r="R349" s="99"/>
      <c r="S349" s="98"/>
      <c r="T349" s="93"/>
      <c r="U349" s="93"/>
      <c r="V349" s="93"/>
      <c r="W349" s="93"/>
      <c r="X349" s="93" t="str">
        <f>IF($B349="Yes",COUNTIF(Reference!P$52:P$67,$K349),"")</f>
        <v/>
      </c>
      <c r="Y349" s="93" t="str">
        <f>IF($B349="Yes",COUNTIF(Reference!Q$52:Q$67,$K349),"")</f>
        <v/>
      </c>
      <c r="Z349" s="93" t="str">
        <f>IF($B349="Yes",COUNTIF(Reference!R$52:R$67,$K349),"")</f>
        <v/>
      </c>
      <c r="AA349" s="93" t="str">
        <f>IF($B349="Yes",COUNTIF(Reference!S$52:S$67,$K349),"")</f>
        <v/>
      </c>
      <c r="AB349" s="93" t="str">
        <f>IF($B349="Yes",COUNTIF(Reference!T$52:T$67,$K349),"")</f>
        <v/>
      </c>
      <c r="AC349" s="93" t="str">
        <f t="shared" si="17"/>
        <v/>
      </c>
    </row>
    <row r="350" spans="1:29" x14ac:dyDescent="0.25">
      <c r="A350" s="92">
        <v>440</v>
      </c>
      <c r="B350" s="95" t="str">
        <f t="shared" si="15"/>
        <v>No</v>
      </c>
      <c r="H350" s="92" t="str">
        <f t="shared" si="16"/>
        <v/>
      </c>
      <c r="I350" s="98"/>
      <c r="J350" s="99"/>
      <c r="K350" s="99"/>
      <c r="L350" s="99"/>
      <c r="M350" s="99"/>
      <c r="N350" s="99"/>
      <c r="O350" s="99"/>
      <c r="P350" s="99"/>
      <c r="Q350" s="99"/>
      <c r="R350" s="99"/>
      <c r="S350" s="98"/>
      <c r="T350" s="93"/>
      <c r="U350" s="93"/>
      <c r="V350" s="93"/>
      <c r="W350" s="93"/>
      <c r="X350" s="93" t="str">
        <f>IF($B350="Yes",COUNTIF(Reference!P$52:P$67,$K350),"")</f>
        <v/>
      </c>
      <c r="Y350" s="93" t="str">
        <f>IF($B350="Yes",COUNTIF(Reference!Q$52:Q$67,$K350),"")</f>
        <v/>
      </c>
      <c r="Z350" s="93" t="str">
        <f>IF($B350="Yes",COUNTIF(Reference!R$52:R$67,$K350),"")</f>
        <v/>
      </c>
      <c r="AA350" s="93" t="str">
        <f>IF($B350="Yes",COUNTIF(Reference!S$52:S$67,$K350),"")</f>
        <v/>
      </c>
      <c r="AB350" s="93" t="str">
        <f>IF($B350="Yes",COUNTIF(Reference!T$52:T$67,$K350),"")</f>
        <v/>
      </c>
      <c r="AC350" s="93" t="str">
        <f t="shared" si="17"/>
        <v/>
      </c>
    </row>
    <row r="351" spans="1:29" x14ac:dyDescent="0.25">
      <c r="A351" s="92">
        <v>441</v>
      </c>
      <c r="B351" s="95" t="str">
        <f t="shared" si="15"/>
        <v>No</v>
      </c>
      <c r="H351" s="92" t="str">
        <f t="shared" si="16"/>
        <v/>
      </c>
      <c r="I351" s="98"/>
      <c r="J351" s="99"/>
      <c r="K351" s="99"/>
      <c r="L351" s="99"/>
      <c r="M351" s="99"/>
      <c r="N351" s="99"/>
      <c r="O351" s="99"/>
      <c r="P351" s="99"/>
      <c r="Q351" s="99"/>
      <c r="R351" s="99"/>
      <c r="S351" s="98"/>
      <c r="T351" s="93"/>
      <c r="U351" s="93"/>
      <c r="V351" s="93"/>
      <c r="W351" s="93"/>
      <c r="X351" s="93" t="str">
        <f>IF($B351="Yes",COUNTIF(Reference!P$52:P$67,$K351),"")</f>
        <v/>
      </c>
      <c r="Y351" s="93" t="str">
        <f>IF($B351="Yes",COUNTIF(Reference!Q$52:Q$67,$K351),"")</f>
        <v/>
      </c>
      <c r="Z351" s="93" t="str">
        <f>IF($B351="Yes",COUNTIF(Reference!R$52:R$67,$K351),"")</f>
        <v/>
      </c>
      <c r="AA351" s="93" t="str">
        <f>IF($B351="Yes",COUNTIF(Reference!S$52:S$67,$K351),"")</f>
        <v/>
      </c>
      <c r="AB351" s="93" t="str">
        <f>IF($B351="Yes",COUNTIF(Reference!T$52:T$67,$K351),"")</f>
        <v/>
      </c>
      <c r="AC351" s="93" t="str">
        <f t="shared" si="17"/>
        <v/>
      </c>
    </row>
    <row r="352" spans="1:29" x14ac:dyDescent="0.25">
      <c r="A352" s="92">
        <v>442</v>
      </c>
      <c r="B352" s="95" t="str">
        <f t="shared" si="15"/>
        <v>No</v>
      </c>
      <c r="H352" s="92" t="str">
        <f t="shared" si="16"/>
        <v/>
      </c>
      <c r="I352" s="98"/>
      <c r="J352" s="99"/>
      <c r="K352" s="99"/>
      <c r="L352" s="99"/>
      <c r="M352" s="99"/>
      <c r="N352" s="99"/>
      <c r="O352" s="99"/>
      <c r="P352" s="99"/>
      <c r="Q352" s="99"/>
      <c r="R352" s="99"/>
      <c r="S352" s="98"/>
      <c r="T352" s="93"/>
      <c r="U352" s="93"/>
      <c r="V352" s="93"/>
      <c r="W352" s="93"/>
      <c r="X352" s="93" t="str">
        <f>IF($B352="Yes",COUNTIF(Reference!P$52:P$67,$K352),"")</f>
        <v/>
      </c>
      <c r="Y352" s="93" t="str">
        <f>IF($B352="Yes",COUNTIF(Reference!Q$52:Q$67,$K352),"")</f>
        <v/>
      </c>
      <c r="Z352" s="93" t="str">
        <f>IF($B352="Yes",COUNTIF(Reference!R$52:R$67,$K352),"")</f>
        <v/>
      </c>
      <c r="AA352" s="93" t="str">
        <f>IF($B352="Yes",COUNTIF(Reference!S$52:S$67,$K352),"")</f>
        <v/>
      </c>
      <c r="AB352" s="93" t="str">
        <f>IF($B352="Yes",COUNTIF(Reference!T$52:T$67,$K352),"")</f>
        <v/>
      </c>
      <c r="AC352" s="93" t="str">
        <f t="shared" si="17"/>
        <v/>
      </c>
    </row>
    <row r="353" spans="1:29" x14ac:dyDescent="0.25">
      <c r="A353" s="92">
        <v>443</v>
      </c>
      <c r="B353" s="95" t="str">
        <f t="shared" si="15"/>
        <v>No</v>
      </c>
      <c r="H353" s="92" t="str">
        <f t="shared" si="16"/>
        <v/>
      </c>
      <c r="I353" s="98"/>
      <c r="J353" s="99"/>
      <c r="K353" s="99"/>
      <c r="L353" s="99"/>
      <c r="M353" s="99"/>
      <c r="N353" s="99"/>
      <c r="O353" s="99"/>
      <c r="P353" s="99"/>
      <c r="Q353" s="99"/>
      <c r="R353" s="99"/>
      <c r="S353" s="98"/>
      <c r="T353" s="93"/>
      <c r="U353" s="93"/>
      <c r="V353" s="93"/>
      <c r="W353" s="93"/>
      <c r="X353" s="93" t="str">
        <f>IF($B353="Yes",COUNTIF(Reference!P$52:P$67,$K353),"")</f>
        <v/>
      </c>
      <c r="Y353" s="93" t="str">
        <f>IF($B353="Yes",COUNTIF(Reference!Q$52:Q$67,$K353),"")</f>
        <v/>
      </c>
      <c r="Z353" s="93" t="str">
        <f>IF($B353="Yes",COUNTIF(Reference!R$52:R$67,$K353),"")</f>
        <v/>
      </c>
      <c r="AA353" s="93" t="str">
        <f>IF($B353="Yes",COUNTIF(Reference!S$52:S$67,$K353),"")</f>
        <v/>
      </c>
      <c r="AB353" s="93" t="str">
        <f>IF($B353="Yes",COUNTIF(Reference!T$52:T$67,$K353),"")</f>
        <v/>
      </c>
      <c r="AC353" s="93" t="str">
        <f t="shared" si="17"/>
        <v/>
      </c>
    </row>
    <row r="354" spans="1:29" x14ac:dyDescent="0.25">
      <c r="A354" s="92">
        <v>444</v>
      </c>
      <c r="B354" s="95" t="str">
        <f t="shared" si="15"/>
        <v>No</v>
      </c>
      <c r="H354" s="92" t="str">
        <f t="shared" si="16"/>
        <v/>
      </c>
      <c r="I354" s="98"/>
      <c r="J354" s="99"/>
      <c r="K354" s="99"/>
      <c r="L354" s="99"/>
      <c r="M354" s="99"/>
      <c r="N354" s="99"/>
      <c r="O354" s="99"/>
      <c r="P354" s="99"/>
      <c r="Q354" s="99"/>
      <c r="R354" s="99"/>
      <c r="S354" s="98"/>
      <c r="T354" s="93"/>
      <c r="U354" s="93"/>
      <c r="V354" s="93"/>
      <c r="W354" s="93"/>
      <c r="X354" s="93" t="str">
        <f>IF($B354="Yes",COUNTIF(Reference!P$52:P$67,$K354),"")</f>
        <v/>
      </c>
      <c r="Y354" s="93" t="str">
        <f>IF($B354="Yes",COUNTIF(Reference!Q$52:Q$67,$K354),"")</f>
        <v/>
      </c>
      <c r="Z354" s="93" t="str">
        <f>IF($B354="Yes",COUNTIF(Reference!R$52:R$67,$K354),"")</f>
        <v/>
      </c>
      <c r="AA354" s="93" t="str">
        <f>IF($B354="Yes",COUNTIF(Reference!S$52:S$67,$K354),"")</f>
        <v/>
      </c>
      <c r="AB354" s="93" t="str">
        <f>IF($B354="Yes",COUNTIF(Reference!T$52:T$67,$K354),"")</f>
        <v/>
      </c>
      <c r="AC354" s="93" t="str">
        <f t="shared" si="17"/>
        <v/>
      </c>
    </row>
    <row r="355" spans="1:29" x14ac:dyDescent="0.25">
      <c r="A355" s="92">
        <v>445</v>
      </c>
      <c r="B355" s="95" t="str">
        <f t="shared" si="15"/>
        <v>No</v>
      </c>
      <c r="H355" s="92" t="str">
        <f t="shared" si="16"/>
        <v/>
      </c>
      <c r="I355" s="98"/>
      <c r="J355" s="99"/>
      <c r="K355" s="99"/>
      <c r="L355" s="99"/>
      <c r="M355" s="99"/>
      <c r="N355" s="99"/>
      <c r="O355" s="99"/>
      <c r="P355" s="99"/>
      <c r="Q355" s="99"/>
      <c r="R355" s="99"/>
      <c r="S355" s="98"/>
      <c r="T355" s="93"/>
      <c r="U355" s="93"/>
      <c r="V355" s="93"/>
      <c r="W355" s="93"/>
      <c r="X355" s="93" t="str">
        <f>IF($B355="Yes",COUNTIF(Reference!P$52:P$67,$K355),"")</f>
        <v/>
      </c>
      <c r="Y355" s="93" t="str">
        <f>IF($B355="Yes",COUNTIF(Reference!Q$52:Q$67,$K355),"")</f>
        <v/>
      </c>
      <c r="Z355" s="93" t="str">
        <f>IF($B355="Yes",COUNTIF(Reference!R$52:R$67,$K355),"")</f>
        <v/>
      </c>
      <c r="AA355" s="93" t="str">
        <f>IF($B355="Yes",COUNTIF(Reference!S$52:S$67,$K355),"")</f>
        <v/>
      </c>
      <c r="AB355" s="93" t="str">
        <f>IF($B355="Yes",COUNTIF(Reference!T$52:T$67,$K355),"")</f>
        <v/>
      </c>
      <c r="AC355" s="93" t="str">
        <f t="shared" si="17"/>
        <v/>
      </c>
    </row>
    <row r="356" spans="1:29" x14ac:dyDescent="0.25">
      <c r="A356" s="92">
        <v>446</v>
      </c>
      <c r="B356" s="95" t="str">
        <f t="shared" si="15"/>
        <v>No</v>
      </c>
      <c r="H356" s="92" t="str">
        <f t="shared" si="16"/>
        <v/>
      </c>
      <c r="I356" s="98"/>
      <c r="J356" s="99"/>
      <c r="K356" s="99"/>
      <c r="L356" s="99"/>
      <c r="M356" s="99"/>
      <c r="N356" s="99"/>
      <c r="O356" s="99"/>
      <c r="P356" s="99"/>
      <c r="Q356" s="99"/>
      <c r="R356" s="99"/>
      <c r="S356" s="98"/>
      <c r="T356" s="93"/>
      <c r="U356" s="93"/>
      <c r="V356" s="93"/>
      <c r="W356" s="93"/>
      <c r="X356" s="93" t="str">
        <f>IF($B356="Yes",COUNTIF(Reference!P$52:P$67,$K356),"")</f>
        <v/>
      </c>
      <c r="Y356" s="93" t="str">
        <f>IF($B356="Yes",COUNTIF(Reference!Q$52:Q$67,$K356),"")</f>
        <v/>
      </c>
      <c r="Z356" s="93" t="str">
        <f>IF($B356="Yes",COUNTIF(Reference!R$52:R$67,$K356),"")</f>
        <v/>
      </c>
      <c r="AA356" s="93" t="str">
        <f>IF($B356="Yes",COUNTIF(Reference!S$52:S$67,$K356),"")</f>
        <v/>
      </c>
      <c r="AB356" s="93" t="str">
        <f>IF($B356="Yes",COUNTIF(Reference!T$52:T$67,$K356),"")</f>
        <v/>
      </c>
      <c r="AC356" s="93" t="str">
        <f t="shared" si="17"/>
        <v/>
      </c>
    </row>
    <row r="357" spans="1:29" x14ac:dyDescent="0.25">
      <c r="A357" s="92">
        <v>447</v>
      </c>
      <c r="B357" s="95" t="str">
        <f t="shared" si="15"/>
        <v>No</v>
      </c>
      <c r="H357" s="92" t="str">
        <f t="shared" si="16"/>
        <v/>
      </c>
      <c r="I357" s="98"/>
      <c r="J357" s="99"/>
      <c r="K357" s="99"/>
      <c r="L357" s="99"/>
      <c r="M357" s="99"/>
      <c r="N357" s="99"/>
      <c r="O357" s="99"/>
      <c r="P357" s="99"/>
      <c r="Q357" s="99"/>
      <c r="R357" s="99"/>
      <c r="S357" s="98"/>
      <c r="T357" s="93"/>
      <c r="U357" s="93"/>
      <c r="V357" s="93"/>
      <c r="W357" s="93"/>
      <c r="X357" s="93" t="str">
        <f>IF($B357="Yes",COUNTIF(Reference!P$52:P$67,$K357),"")</f>
        <v/>
      </c>
      <c r="Y357" s="93" t="str">
        <f>IF($B357="Yes",COUNTIF(Reference!Q$52:Q$67,$K357),"")</f>
        <v/>
      </c>
      <c r="Z357" s="93" t="str">
        <f>IF($B357="Yes",COUNTIF(Reference!R$52:R$67,$K357),"")</f>
        <v/>
      </c>
      <c r="AA357" s="93" t="str">
        <f>IF($B357="Yes",COUNTIF(Reference!S$52:S$67,$K357),"")</f>
        <v/>
      </c>
      <c r="AB357" s="93" t="str">
        <f>IF($B357="Yes",COUNTIF(Reference!T$52:T$67,$K357),"")</f>
        <v/>
      </c>
      <c r="AC357" s="93" t="str">
        <f t="shared" si="17"/>
        <v/>
      </c>
    </row>
    <row r="358" spans="1:29" x14ac:dyDescent="0.25">
      <c r="A358" s="92">
        <v>448</v>
      </c>
      <c r="B358" s="95" t="str">
        <f t="shared" si="15"/>
        <v>No</v>
      </c>
      <c r="H358" s="92" t="str">
        <f t="shared" si="16"/>
        <v/>
      </c>
      <c r="I358" s="98"/>
      <c r="J358" s="99"/>
      <c r="K358" s="99"/>
      <c r="L358" s="99"/>
      <c r="M358" s="99"/>
      <c r="N358" s="99"/>
      <c r="O358" s="99"/>
      <c r="P358" s="99"/>
      <c r="Q358" s="99"/>
      <c r="R358" s="99"/>
      <c r="S358" s="98"/>
      <c r="T358" s="93"/>
      <c r="U358" s="93"/>
      <c r="V358" s="93"/>
      <c r="W358" s="93"/>
      <c r="X358" s="93" t="str">
        <f>IF($B358="Yes",COUNTIF(Reference!P$52:P$67,$K358),"")</f>
        <v/>
      </c>
      <c r="Y358" s="93" t="str">
        <f>IF($B358="Yes",COUNTIF(Reference!Q$52:Q$67,$K358),"")</f>
        <v/>
      </c>
      <c r="Z358" s="93" t="str">
        <f>IF($B358="Yes",COUNTIF(Reference!R$52:R$67,$K358),"")</f>
        <v/>
      </c>
      <c r="AA358" s="93" t="str">
        <f>IF($B358="Yes",COUNTIF(Reference!S$52:S$67,$K358),"")</f>
        <v/>
      </c>
      <c r="AB358" s="93" t="str">
        <f>IF($B358="Yes",COUNTIF(Reference!T$52:T$67,$K358),"")</f>
        <v/>
      </c>
      <c r="AC358" s="93" t="str">
        <f t="shared" si="17"/>
        <v/>
      </c>
    </row>
    <row r="359" spans="1:29" x14ac:dyDescent="0.25">
      <c r="A359" s="92">
        <v>449</v>
      </c>
      <c r="B359" s="95" t="str">
        <f t="shared" si="15"/>
        <v>No</v>
      </c>
      <c r="H359" s="92" t="str">
        <f t="shared" si="16"/>
        <v/>
      </c>
      <c r="I359" s="98"/>
      <c r="J359" s="99"/>
      <c r="K359" s="99"/>
      <c r="L359" s="99"/>
      <c r="M359" s="99"/>
      <c r="N359" s="99"/>
      <c r="O359" s="99"/>
      <c r="P359" s="99"/>
      <c r="Q359" s="99"/>
      <c r="R359" s="99"/>
      <c r="S359" s="98"/>
      <c r="T359" s="93"/>
      <c r="U359" s="93"/>
      <c r="V359" s="93"/>
      <c r="W359" s="93"/>
      <c r="X359" s="93" t="str">
        <f>IF($B359="Yes",COUNTIF(Reference!P$52:P$67,$K359),"")</f>
        <v/>
      </c>
      <c r="Y359" s="93" t="str">
        <f>IF($B359="Yes",COUNTIF(Reference!Q$52:Q$67,$K359),"")</f>
        <v/>
      </c>
      <c r="Z359" s="93" t="str">
        <f>IF($B359="Yes",COUNTIF(Reference!R$52:R$67,$K359),"")</f>
        <v/>
      </c>
      <c r="AA359" s="93" t="str">
        <f>IF($B359="Yes",COUNTIF(Reference!S$52:S$67,$K359),"")</f>
        <v/>
      </c>
      <c r="AB359" s="93" t="str">
        <f>IF($B359="Yes",COUNTIF(Reference!T$52:T$67,$K359),"")</f>
        <v/>
      </c>
      <c r="AC359" s="93" t="str">
        <f t="shared" si="17"/>
        <v/>
      </c>
    </row>
    <row r="360" spans="1:29" x14ac:dyDescent="0.25">
      <c r="A360" s="92">
        <v>450</v>
      </c>
      <c r="B360" s="95" t="str">
        <f t="shared" si="15"/>
        <v>No</v>
      </c>
      <c r="H360" s="92" t="str">
        <f t="shared" si="16"/>
        <v/>
      </c>
      <c r="I360" s="98"/>
      <c r="J360" s="99"/>
      <c r="K360" s="99"/>
      <c r="L360" s="99"/>
      <c r="M360" s="99"/>
      <c r="N360" s="99"/>
      <c r="O360" s="99"/>
      <c r="P360" s="99"/>
      <c r="Q360" s="99"/>
      <c r="R360" s="99"/>
      <c r="S360" s="98"/>
      <c r="T360" s="93"/>
      <c r="U360" s="93"/>
      <c r="V360" s="93"/>
      <c r="W360" s="93"/>
      <c r="X360" s="93" t="str">
        <f>IF($B360="Yes",COUNTIF(Reference!P$52:P$67,$K360),"")</f>
        <v/>
      </c>
      <c r="Y360" s="93" t="str">
        <f>IF($B360="Yes",COUNTIF(Reference!Q$52:Q$67,$K360),"")</f>
        <v/>
      </c>
      <c r="Z360" s="93" t="str">
        <f>IF($B360="Yes",COUNTIF(Reference!R$52:R$67,$K360),"")</f>
        <v/>
      </c>
      <c r="AA360" s="93" t="str">
        <f>IF($B360="Yes",COUNTIF(Reference!S$52:S$67,$K360),"")</f>
        <v/>
      </c>
      <c r="AB360" s="93" t="str">
        <f>IF($B360="Yes",COUNTIF(Reference!T$52:T$67,$K360),"")</f>
        <v/>
      </c>
      <c r="AC360" s="93" t="str">
        <f t="shared" si="17"/>
        <v/>
      </c>
    </row>
    <row r="361" spans="1:29" x14ac:dyDescent="0.25">
      <c r="A361" s="92">
        <v>451</v>
      </c>
      <c r="B361" s="95" t="str">
        <f t="shared" si="15"/>
        <v>No</v>
      </c>
      <c r="H361" s="92" t="str">
        <f t="shared" si="16"/>
        <v/>
      </c>
      <c r="I361" s="98"/>
      <c r="J361" s="99"/>
      <c r="K361" s="99"/>
      <c r="L361" s="99"/>
      <c r="M361" s="99"/>
      <c r="N361" s="99"/>
      <c r="O361" s="99"/>
      <c r="P361" s="99"/>
      <c r="Q361" s="99"/>
      <c r="R361" s="99"/>
      <c r="S361" s="98"/>
      <c r="T361" s="93"/>
      <c r="U361" s="93"/>
      <c r="V361" s="93"/>
      <c r="W361" s="93"/>
      <c r="X361" s="93" t="str">
        <f>IF($B361="Yes",COUNTIF(Reference!P$52:P$67,$K361),"")</f>
        <v/>
      </c>
      <c r="Y361" s="93" t="str">
        <f>IF($B361="Yes",COUNTIF(Reference!Q$52:Q$67,$K361),"")</f>
        <v/>
      </c>
      <c r="Z361" s="93" t="str">
        <f>IF($B361="Yes",COUNTIF(Reference!R$52:R$67,$K361),"")</f>
        <v/>
      </c>
      <c r="AA361" s="93" t="str">
        <f>IF($B361="Yes",COUNTIF(Reference!S$52:S$67,$K361),"")</f>
        <v/>
      </c>
      <c r="AB361" s="93" t="str">
        <f>IF($B361="Yes",COUNTIF(Reference!T$52:T$67,$K361),"")</f>
        <v/>
      </c>
      <c r="AC361" s="93" t="str">
        <f t="shared" si="17"/>
        <v/>
      </c>
    </row>
    <row r="362" spans="1:29" x14ac:dyDescent="0.25">
      <c r="A362" s="92">
        <v>452</v>
      </c>
      <c r="B362" s="95" t="str">
        <f t="shared" si="15"/>
        <v>No</v>
      </c>
      <c r="H362" s="92" t="str">
        <f t="shared" si="16"/>
        <v/>
      </c>
      <c r="I362" s="98"/>
      <c r="J362" s="99"/>
      <c r="K362" s="99"/>
      <c r="L362" s="99"/>
      <c r="M362" s="99"/>
      <c r="N362" s="99"/>
      <c r="O362" s="99"/>
      <c r="P362" s="99"/>
      <c r="Q362" s="99"/>
      <c r="R362" s="99"/>
      <c r="S362" s="98"/>
      <c r="T362" s="93"/>
      <c r="U362" s="93"/>
      <c r="V362" s="93"/>
      <c r="W362" s="93"/>
      <c r="X362" s="93" t="str">
        <f>IF($B362="Yes",COUNTIF(Reference!P$52:P$67,$K362),"")</f>
        <v/>
      </c>
      <c r="Y362" s="93" t="str">
        <f>IF($B362="Yes",COUNTIF(Reference!Q$52:Q$67,$K362),"")</f>
        <v/>
      </c>
      <c r="Z362" s="93" t="str">
        <f>IF($B362="Yes",COUNTIF(Reference!R$52:R$67,$K362),"")</f>
        <v/>
      </c>
      <c r="AA362" s="93" t="str">
        <f>IF($B362="Yes",COUNTIF(Reference!S$52:S$67,$K362),"")</f>
        <v/>
      </c>
      <c r="AB362" s="93" t="str">
        <f>IF($B362="Yes",COUNTIF(Reference!T$52:T$67,$K362),"")</f>
        <v/>
      </c>
      <c r="AC362" s="93" t="str">
        <f t="shared" si="17"/>
        <v/>
      </c>
    </row>
    <row r="363" spans="1:29" x14ac:dyDescent="0.25">
      <c r="A363" s="92">
        <v>453</v>
      </c>
      <c r="B363" s="95" t="str">
        <f t="shared" si="15"/>
        <v>No</v>
      </c>
      <c r="H363" s="92" t="str">
        <f t="shared" si="16"/>
        <v/>
      </c>
      <c r="I363" s="98"/>
      <c r="J363" s="99"/>
      <c r="K363" s="99"/>
      <c r="L363" s="99"/>
      <c r="M363" s="99"/>
      <c r="N363" s="99"/>
      <c r="O363" s="99"/>
      <c r="P363" s="99"/>
      <c r="Q363" s="99"/>
      <c r="R363" s="99"/>
      <c r="S363" s="98"/>
      <c r="T363" s="93"/>
      <c r="U363" s="93"/>
      <c r="V363" s="93"/>
      <c r="W363" s="93"/>
      <c r="X363" s="93" t="str">
        <f>IF($B363="Yes",COUNTIF(Reference!P$52:P$67,$K363),"")</f>
        <v/>
      </c>
      <c r="Y363" s="93" t="str">
        <f>IF($B363="Yes",COUNTIF(Reference!Q$52:Q$67,$K363),"")</f>
        <v/>
      </c>
      <c r="Z363" s="93" t="str">
        <f>IF($B363="Yes",COUNTIF(Reference!R$52:R$67,$K363),"")</f>
        <v/>
      </c>
      <c r="AA363" s="93" t="str">
        <f>IF($B363="Yes",COUNTIF(Reference!S$52:S$67,$K363),"")</f>
        <v/>
      </c>
      <c r="AB363" s="93" t="str">
        <f>IF($B363="Yes",COUNTIF(Reference!T$52:T$67,$K363),"")</f>
        <v/>
      </c>
      <c r="AC363" s="93" t="str">
        <f t="shared" si="17"/>
        <v/>
      </c>
    </row>
    <row r="364" spans="1:29" x14ac:dyDescent="0.25">
      <c r="A364" s="92">
        <v>454</v>
      </c>
      <c r="B364" s="95" t="str">
        <f t="shared" si="15"/>
        <v>No</v>
      </c>
      <c r="H364" s="92" t="str">
        <f t="shared" si="16"/>
        <v/>
      </c>
      <c r="I364" s="98"/>
      <c r="J364" s="99"/>
      <c r="K364" s="99"/>
      <c r="L364" s="99"/>
      <c r="M364" s="99"/>
      <c r="N364" s="99"/>
      <c r="O364" s="99"/>
      <c r="P364" s="99"/>
      <c r="Q364" s="99"/>
      <c r="R364" s="99"/>
      <c r="S364" s="98"/>
      <c r="T364" s="93"/>
      <c r="U364" s="93"/>
      <c r="V364" s="93"/>
      <c r="W364" s="93"/>
      <c r="X364" s="93" t="str">
        <f>IF($B364="Yes",COUNTIF(Reference!P$52:P$67,$K364),"")</f>
        <v/>
      </c>
      <c r="Y364" s="93" t="str">
        <f>IF($B364="Yes",COUNTIF(Reference!Q$52:Q$67,$K364),"")</f>
        <v/>
      </c>
      <c r="Z364" s="93" t="str">
        <f>IF($B364="Yes",COUNTIF(Reference!R$52:R$67,$K364),"")</f>
        <v/>
      </c>
      <c r="AA364" s="93" t="str">
        <f>IF($B364="Yes",COUNTIF(Reference!S$52:S$67,$K364),"")</f>
        <v/>
      </c>
      <c r="AB364" s="93" t="str">
        <f>IF($B364="Yes",COUNTIF(Reference!T$52:T$67,$K364),"")</f>
        <v/>
      </c>
      <c r="AC364" s="93" t="str">
        <f t="shared" si="17"/>
        <v/>
      </c>
    </row>
    <row r="365" spans="1:29" x14ac:dyDescent="0.25">
      <c r="A365" s="92">
        <v>455</v>
      </c>
      <c r="B365" s="95" t="str">
        <f t="shared" si="15"/>
        <v>No</v>
      </c>
      <c r="H365" s="92" t="str">
        <f t="shared" si="16"/>
        <v/>
      </c>
      <c r="I365" s="98"/>
      <c r="J365" s="99"/>
      <c r="K365" s="99"/>
      <c r="L365" s="99"/>
      <c r="M365" s="99"/>
      <c r="N365" s="99"/>
      <c r="O365" s="99"/>
      <c r="P365" s="99"/>
      <c r="Q365" s="99"/>
      <c r="R365" s="99"/>
      <c r="S365" s="98"/>
      <c r="T365" s="93"/>
      <c r="U365" s="93"/>
      <c r="V365" s="93"/>
      <c r="W365" s="93"/>
      <c r="X365" s="93" t="str">
        <f>IF($B365="Yes",COUNTIF(Reference!P$52:P$67,$K365),"")</f>
        <v/>
      </c>
      <c r="Y365" s="93" t="str">
        <f>IF($B365="Yes",COUNTIF(Reference!Q$52:Q$67,$K365),"")</f>
        <v/>
      </c>
      <c r="Z365" s="93" t="str">
        <f>IF($B365="Yes",COUNTIF(Reference!R$52:R$67,$K365),"")</f>
        <v/>
      </c>
      <c r="AA365" s="93" t="str">
        <f>IF($B365="Yes",COUNTIF(Reference!S$52:S$67,$K365),"")</f>
        <v/>
      </c>
      <c r="AB365" s="93" t="str">
        <f>IF($B365="Yes",COUNTIF(Reference!T$52:T$67,$K365),"")</f>
        <v/>
      </c>
      <c r="AC365" s="93" t="str">
        <f t="shared" si="17"/>
        <v/>
      </c>
    </row>
    <row r="366" spans="1:29" x14ac:dyDescent="0.25">
      <c r="A366" s="92">
        <v>456</v>
      </c>
      <c r="B366" s="95" t="str">
        <f t="shared" si="15"/>
        <v>No</v>
      </c>
      <c r="H366" s="92" t="str">
        <f t="shared" si="16"/>
        <v/>
      </c>
      <c r="I366" s="98"/>
      <c r="J366" s="99"/>
      <c r="K366" s="99"/>
      <c r="L366" s="99"/>
      <c r="M366" s="99"/>
      <c r="N366" s="99"/>
      <c r="O366" s="99"/>
      <c r="P366" s="99"/>
      <c r="Q366" s="99"/>
      <c r="R366" s="99"/>
      <c r="S366" s="98"/>
      <c r="T366" s="93"/>
      <c r="U366" s="93"/>
      <c r="V366" s="93"/>
      <c r="W366" s="93"/>
      <c r="X366" s="93" t="str">
        <f>IF($B366="Yes",COUNTIF(Reference!P$52:P$67,$K366),"")</f>
        <v/>
      </c>
      <c r="Y366" s="93" t="str">
        <f>IF($B366="Yes",COUNTIF(Reference!Q$52:Q$67,$K366),"")</f>
        <v/>
      </c>
      <c r="Z366" s="93" t="str">
        <f>IF($B366="Yes",COUNTIF(Reference!R$52:R$67,$K366),"")</f>
        <v/>
      </c>
      <c r="AA366" s="93" t="str">
        <f>IF($B366="Yes",COUNTIF(Reference!S$52:S$67,$K366),"")</f>
        <v/>
      </c>
      <c r="AB366" s="93" t="str">
        <f>IF($B366="Yes",COUNTIF(Reference!T$52:T$67,$K366),"")</f>
        <v/>
      </c>
      <c r="AC366" s="93" t="str">
        <f t="shared" si="17"/>
        <v/>
      </c>
    </row>
    <row r="367" spans="1:29" x14ac:dyDescent="0.25">
      <c r="A367" s="92">
        <v>457</v>
      </c>
      <c r="B367" s="95" t="str">
        <f t="shared" si="15"/>
        <v>No</v>
      </c>
      <c r="H367" s="92" t="str">
        <f t="shared" si="16"/>
        <v/>
      </c>
      <c r="I367" s="98"/>
      <c r="J367" s="99"/>
      <c r="K367" s="99"/>
      <c r="L367" s="99"/>
      <c r="M367" s="99"/>
      <c r="N367" s="99"/>
      <c r="O367" s="99"/>
      <c r="P367" s="99"/>
      <c r="Q367" s="99"/>
      <c r="R367" s="99"/>
      <c r="S367" s="98"/>
      <c r="T367" s="93"/>
      <c r="U367" s="93"/>
      <c r="V367" s="93"/>
      <c r="W367" s="93"/>
      <c r="X367" s="93" t="str">
        <f>IF($B367="Yes",COUNTIF(Reference!P$52:P$67,$K367),"")</f>
        <v/>
      </c>
      <c r="Y367" s="93" t="str">
        <f>IF($B367="Yes",COUNTIF(Reference!Q$52:Q$67,$K367),"")</f>
        <v/>
      </c>
      <c r="Z367" s="93" t="str">
        <f>IF($B367="Yes",COUNTIF(Reference!R$52:R$67,$K367),"")</f>
        <v/>
      </c>
      <c r="AA367" s="93" t="str">
        <f>IF($B367="Yes",COUNTIF(Reference!S$52:S$67,$K367),"")</f>
        <v/>
      </c>
      <c r="AB367" s="93" t="str">
        <f>IF($B367="Yes",COUNTIF(Reference!T$52:T$67,$K367),"")</f>
        <v/>
      </c>
      <c r="AC367" s="93" t="str">
        <f t="shared" si="17"/>
        <v/>
      </c>
    </row>
    <row r="368" spans="1:29" x14ac:dyDescent="0.25">
      <c r="A368" s="92">
        <v>458</v>
      </c>
      <c r="B368" s="95" t="str">
        <f t="shared" si="15"/>
        <v>No</v>
      </c>
      <c r="H368" s="92" t="str">
        <f t="shared" si="16"/>
        <v/>
      </c>
      <c r="I368" s="98"/>
      <c r="J368" s="99"/>
      <c r="K368" s="99"/>
      <c r="L368" s="99"/>
      <c r="M368" s="99"/>
      <c r="N368" s="99"/>
      <c r="O368" s="99"/>
      <c r="P368" s="99"/>
      <c r="Q368" s="99"/>
      <c r="R368" s="99"/>
      <c r="S368" s="98"/>
      <c r="T368" s="93"/>
      <c r="U368" s="93"/>
      <c r="V368" s="93"/>
      <c r="W368" s="93"/>
      <c r="X368" s="93" t="str">
        <f>IF($B368="Yes",COUNTIF(Reference!P$52:P$67,$K368),"")</f>
        <v/>
      </c>
      <c r="Y368" s="93" t="str">
        <f>IF($B368="Yes",COUNTIF(Reference!Q$52:Q$67,$K368),"")</f>
        <v/>
      </c>
      <c r="Z368" s="93" t="str">
        <f>IF($B368="Yes",COUNTIF(Reference!R$52:R$67,$K368),"")</f>
        <v/>
      </c>
      <c r="AA368" s="93" t="str">
        <f>IF($B368="Yes",COUNTIF(Reference!S$52:S$67,$K368),"")</f>
        <v/>
      </c>
      <c r="AB368" s="93" t="str">
        <f>IF($B368="Yes",COUNTIF(Reference!T$52:T$67,$K368),"")</f>
        <v/>
      </c>
      <c r="AC368" s="93" t="str">
        <f t="shared" si="17"/>
        <v/>
      </c>
    </row>
    <row r="369" spans="1:29" x14ac:dyDescent="0.25">
      <c r="A369" s="92">
        <v>459</v>
      </c>
      <c r="B369" s="95" t="str">
        <f t="shared" si="15"/>
        <v>No</v>
      </c>
      <c r="H369" s="92" t="str">
        <f t="shared" si="16"/>
        <v/>
      </c>
      <c r="I369" s="98"/>
      <c r="J369" s="99"/>
      <c r="K369" s="99"/>
      <c r="L369" s="99"/>
      <c r="M369" s="99"/>
      <c r="N369" s="99"/>
      <c r="O369" s="99"/>
      <c r="P369" s="99"/>
      <c r="Q369" s="99"/>
      <c r="R369" s="99"/>
      <c r="S369" s="98"/>
      <c r="T369" s="93"/>
      <c r="U369" s="93"/>
      <c r="V369" s="93"/>
      <c r="W369" s="93"/>
      <c r="X369" s="93" t="str">
        <f>IF($B369="Yes",COUNTIF(Reference!P$52:P$67,$K369),"")</f>
        <v/>
      </c>
      <c r="Y369" s="93" t="str">
        <f>IF($B369="Yes",COUNTIF(Reference!Q$52:Q$67,$K369),"")</f>
        <v/>
      </c>
      <c r="Z369" s="93" t="str">
        <f>IF($B369="Yes",COUNTIF(Reference!R$52:R$67,$K369),"")</f>
        <v/>
      </c>
      <c r="AA369" s="93" t="str">
        <f>IF($B369="Yes",COUNTIF(Reference!S$52:S$67,$K369),"")</f>
        <v/>
      </c>
      <c r="AB369" s="93" t="str">
        <f>IF($B369="Yes",COUNTIF(Reference!T$52:T$67,$K369),"")</f>
        <v/>
      </c>
      <c r="AC369" s="93" t="str">
        <f t="shared" si="17"/>
        <v/>
      </c>
    </row>
    <row r="370" spans="1:29" x14ac:dyDescent="0.25">
      <c r="A370" s="92">
        <v>460</v>
      </c>
      <c r="B370" s="95" t="str">
        <f t="shared" si="15"/>
        <v>No</v>
      </c>
      <c r="H370" s="92" t="str">
        <f t="shared" si="16"/>
        <v/>
      </c>
      <c r="I370" s="98"/>
      <c r="J370" s="99"/>
      <c r="K370" s="99"/>
      <c r="L370" s="99"/>
      <c r="M370" s="99"/>
      <c r="N370" s="99"/>
      <c r="O370" s="99"/>
      <c r="P370" s="99"/>
      <c r="Q370" s="99"/>
      <c r="R370" s="99"/>
      <c r="S370" s="98"/>
      <c r="T370" s="93"/>
      <c r="U370" s="93"/>
      <c r="V370" s="93"/>
      <c r="W370" s="93"/>
      <c r="X370" s="93" t="str">
        <f>IF($B370="Yes",COUNTIF(Reference!P$52:P$67,$K370),"")</f>
        <v/>
      </c>
      <c r="Y370" s="93" t="str">
        <f>IF($B370="Yes",COUNTIF(Reference!Q$52:Q$67,$K370),"")</f>
        <v/>
      </c>
      <c r="Z370" s="93" t="str">
        <f>IF($B370="Yes",COUNTIF(Reference!R$52:R$67,$K370),"")</f>
        <v/>
      </c>
      <c r="AA370" s="93" t="str">
        <f>IF($B370="Yes",COUNTIF(Reference!S$52:S$67,$K370),"")</f>
        <v/>
      </c>
      <c r="AB370" s="93" t="str">
        <f>IF($B370="Yes",COUNTIF(Reference!T$52:T$67,$K370),"")</f>
        <v/>
      </c>
      <c r="AC370" s="93" t="str">
        <f t="shared" si="17"/>
        <v/>
      </c>
    </row>
    <row r="371" spans="1:29" x14ac:dyDescent="0.25">
      <c r="A371" s="92">
        <v>461</v>
      </c>
      <c r="B371" s="95" t="str">
        <f t="shared" si="15"/>
        <v>No</v>
      </c>
      <c r="H371" s="92" t="str">
        <f t="shared" si="16"/>
        <v/>
      </c>
      <c r="I371" s="98"/>
      <c r="J371" s="99"/>
      <c r="K371" s="99"/>
      <c r="L371" s="99"/>
      <c r="M371" s="99"/>
      <c r="N371" s="99"/>
      <c r="O371" s="99"/>
      <c r="P371" s="99"/>
      <c r="Q371" s="99"/>
      <c r="R371" s="99"/>
      <c r="S371" s="98"/>
      <c r="T371" s="93"/>
      <c r="U371" s="93"/>
      <c r="V371" s="93"/>
      <c r="W371" s="93"/>
      <c r="X371" s="93" t="str">
        <f>IF($B371="Yes",COUNTIF(Reference!P$52:P$67,$K371),"")</f>
        <v/>
      </c>
      <c r="Y371" s="93" t="str">
        <f>IF($B371="Yes",COUNTIF(Reference!Q$52:Q$67,$K371),"")</f>
        <v/>
      </c>
      <c r="Z371" s="93" t="str">
        <f>IF($B371="Yes",COUNTIF(Reference!R$52:R$67,$K371),"")</f>
        <v/>
      </c>
      <c r="AA371" s="93" t="str">
        <f>IF($B371="Yes",COUNTIF(Reference!S$52:S$67,$K371),"")</f>
        <v/>
      </c>
      <c r="AB371" s="93" t="str">
        <f>IF($B371="Yes",COUNTIF(Reference!T$52:T$67,$K371),"")</f>
        <v/>
      </c>
      <c r="AC371" s="93" t="str">
        <f t="shared" si="17"/>
        <v/>
      </c>
    </row>
    <row r="372" spans="1:29" x14ac:dyDescent="0.25">
      <c r="A372" s="92">
        <v>462</v>
      </c>
      <c r="B372" s="95" t="str">
        <f t="shared" si="15"/>
        <v>No</v>
      </c>
      <c r="H372" s="92" t="str">
        <f t="shared" si="16"/>
        <v/>
      </c>
      <c r="I372" s="98"/>
      <c r="J372" s="99"/>
      <c r="K372" s="99"/>
      <c r="L372" s="99"/>
      <c r="M372" s="99"/>
      <c r="N372" s="99"/>
      <c r="O372" s="99"/>
      <c r="P372" s="99"/>
      <c r="Q372" s="99"/>
      <c r="R372" s="99"/>
      <c r="S372" s="98"/>
      <c r="T372" s="93"/>
      <c r="U372" s="93"/>
      <c r="V372" s="93"/>
      <c r="W372" s="93"/>
      <c r="X372" s="93" t="str">
        <f>IF($B372="Yes",COUNTIF(Reference!P$52:P$67,$K372),"")</f>
        <v/>
      </c>
      <c r="Y372" s="93" t="str">
        <f>IF($B372="Yes",COUNTIF(Reference!Q$52:Q$67,$K372),"")</f>
        <v/>
      </c>
      <c r="Z372" s="93" t="str">
        <f>IF($B372="Yes",COUNTIF(Reference!R$52:R$67,$K372),"")</f>
        <v/>
      </c>
      <c r="AA372" s="93" t="str">
        <f>IF($B372="Yes",COUNTIF(Reference!S$52:S$67,$K372),"")</f>
        <v/>
      </c>
      <c r="AB372" s="93" t="str">
        <f>IF($B372="Yes",COUNTIF(Reference!T$52:T$67,$K372),"")</f>
        <v/>
      </c>
      <c r="AC372" s="93" t="str">
        <f t="shared" si="17"/>
        <v/>
      </c>
    </row>
    <row r="373" spans="1:29" x14ac:dyDescent="0.25">
      <c r="A373" s="92">
        <v>463</v>
      </c>
      <c r="B373" s="95" t="str">
        <f t="shared" si="15"/>
        <v>No</v>
      </c>
      <c r="H373" s="92" t="str">
        <f t="shared" si="16"/>
        <v/>
      </c>
      <c r="I373" s="98"/>
      <c r="J373" s="99"/>
      <c r="K373" s="99"/>
      <c r="L373" s="99"/>
      <c r="M373" s="99"/>
      <c r="N373" s="99"/>
      <c r="O373" s="99"/>
      <c r="P373" s="99"/>
      <c r="Q373" s="99"/>
      <c r="R373" s="99"/>
      <c r="S373" s="98"/>
      <c r="T373" s="93"/>
      <c r="U373" s="93"/>
      <c r="V373" s="93"/>
      <c r="W373" s="93"/>
      <c r="X373" s="93" t="str">
        <f>IF($B373="Yes",COUNTIF(Reference!P$52:P$67,$K373),"")</f>
        <v/>
      </c>
      <c r="Y373" s="93" t="str">
        <f>IF($B373="Yes",COUNTIF(Reference!Q$52:Q$67,$K373),"")</f>
        <v/>
      </c>
      <c r="Z373" s="93" t="str">
        <f>IF($B373="Yes",COUNTIF(Reference!R$52:R$67,$K373),"")</f>
        <v/>
      </c>
      <c r="AA373" s="93" t="str">
        <f>IF($B373="Yes",COUNTIF(Reference!S$52:S$67,$K373),"")</f>
        <v/>
      </c>
      <c r="AB373" s="93" t="str">
        <f>IF($B373="Yes",COUNTIF(Reference!T$52:T$67,$K373),"")</f>
        <v/>
      </c>
      <c r="AC373" s="93" t="str">
        <f t="shared" si="17"/>
        <v/>
      </c>
    </row>
    <row r="374" spans="1:29" x14ac:dyDescent="0.25">
      <c r="A374" s="92">
        <v>464</v>
      </c>
      <c r="B374" s="95" t="str">
        <f t="shared" si="15"/>
        <v>No</v>
      </c>
      <c r="H374" s="92" t="str">
        <f t="shared" si="16"/>
        <v/>
      </c>
      <c r="I374" s="98"/>
      <c r="J374" s="99"/>
      <c r="K374" s="99"/>
      <c r="L374" s="99"/>
      <c r="M374" s="99"/>
      <c r="N374" s="99"/>
      <c r="O374" s="99"/>
      <c r="P374" s="99"/>
      <c r="Q374" s="99"/>
      <c r="R374" s="99"/>
      <c r="S374" s="98"/>
      <c r="T374" s="93"/>
      <c r="U374" s="93"/>
      <c r="V374" s="93"/>
      <c r="W374" s="93"/>
      <c r="X374" s="93" t="str">
        <f>IF($B374="Yes",COUNTIF(Reference!P$52:P$67,$K374),"")</f>
        <v/>
      </c>
      <c r="Y374" s="93" t="str">
        <f>IF($B374="Yes",COUNTIF(Reference!Q$52:Q$67,$K374),"")</f>
        <v/>
      </c>
      <c r="Z374" s="93" t="str">
        <f>IF($B374="Yes",COUNTIF(Reference!R$52:R$67,$K374),"")</f>
        <v/>
      </c>
      <c r="AA374" s="93" t="str">
        <f>IF($B374="Yes",COUNTIF(Reference!S$52:S$67,$K374),"")</f>
        <v/>
      </c>
      <c r="AB374" s="93" t="str">
        <f>IF($B374="Yes",COUNTIF(Reference!T$52:T$67,$K374),"")</f>
        <v/>
      </c>
      <c r="AC374" s="93" t="str">
        <f t="shared" si="17"/>
        <v/>
      </c>
    </row>
    <row r="375" spans="1:29" x14ac:dyDescent="0.25">
      <c r="A375" s="92">
        <v>465</v>
      </c>
      <c r="B375" s="95" t="str">
        <f t="shared" si="15"/>
        <v>No</v>
      </c>
      <c r="H375" s="92" t="str">
        <f t="shared" si="16"/>
        <v/>
      </c>
      <c r="I375" s="98"/>
      <c r="J375" s="99"/>
      <c r="K375" s="99"/>
      <c r="L375" s="99"/>
      <c r="M375" s="99"/>
      <c r="N375" s="99"/>
      <c r="O375" s="99"/>
      <c r="P375" s="99"/>
      <c r="Q375" s="99"/>
      <c r="R375" s="99"/>
      <c r="S375" s="98"/>
      <c r="T375" s="93"/>
      <c r="U375" s="93"/>
      <c r="V375" s="93"/>
      <c r="W375" s="93"/>
      <c r="X375" s="93" t="str">
        <f>IF($B375="Yes",COUNTIF(Reference!P$52:P$67,$K375),"")</f>
        <v/>
      </c>
      <c r="Y375" s="93" t="str">
        <f>IF($B375="Yes",COUNTIF(Reference!Q$52:Q$67,$K375),"")</f>
        <v/>
      </c>
      <c r="Z375" s="93" t="str">
        <f>IF($B375="Yes",COUNTIF(Reference!R$52:R$67,$K375),"")</f>
        <v/>
      </c>
      <c r="AA375" s="93" t="str">
        <f>IF($B375="Yes",COUNTIF(Reference!S$52:S$67,$K375),"")</f>
        <v/>
      </c>
      <c r="AB375" s="93" t="str">
        <f>IF($B375="Yes",COUNTIF(Reference!T$52:T$67,$K375),"")</f>
        <v/>
      </c>
      <c r="AC375" s="93" t="str">
        <f t="shared" si="17"/>
        <v/>
      </c>
    </row>
    <row r="376" spans="1:29" x14ac:dyDescent="0.25">
      <c r="A376" s="92">
        <v>466</v>
      </c>
      <c r="B376" s="95" t="str">
        <f t="shared" si="15"/>
        <v>No</v>
      </c>
      <c r="H376" s="92" t="str">
        <f t="shared" si="16"/>
        <v/>
      </c>
      <c r="I376" s="98"/>
      <c r="J376" s="99"/>
      <c r="K376" s="99"/>
      <c r="L376" s="99"/>
      <c r="M376" s="99"/>
      <c r="N376" s="99"/>
      <c r="O376" s="99"/>
      <c r="P376" s="99"/>
      <c r="Q376" s="99"/>
      <c r="R376" s="99"/>
      <c r="S376" s="98"/>
      <c r="T376" s="93"/>
      <c r="U376" s="93"/>
      <c r="V376" s="93"/>
      <c r="W376" s="93"/>
      <c r="X376" s="93" t="str">
        <f>IF($B376="Yes",COUNTIF(Reference!P$52:P$67,$K376),"")</f>
        <v/>
      </c>
      <c r="Y376" s="93" t="str">
        <f>IF($B376="Yes",COUNTIF(Reference!Q$52:Q$67,$K376),"")</f>
        <v/>
      </c>
      <c r="Z376" s="93" t="str">
        <f>IF($B376="Yes",COUNTIF(Reference!R$52:R$67,$K376),"")</f>
        <v/>
      </c>
      <c r="AA376" s="93" t="str">
        <f>IF($B376="Yes",COUNTIF(Reference!S$52:S$67,$K376),"")</f>
        <v/>
      </c>
      <c r="AB376" s="93" t="str">
        <f>IF($B376="Yes",COUNTIF(Reference!T$52:T$67,$K376),"")</f>
        <v/>
      </c>
      <c r="AC376" s="93" t="str">
        <f t="shared" si="17"/>
        <v/>
      </c>
    </row>
    <row r="377" spans="1:29" x14ac:dyDescent="0.25">
      <c r="A377" s="92">
        <v>467</v>
      </c>
      <c r="B377" s="95" t="str">
        <f t="shared" si="15"/>
        <v>No</v>
      </c>
      <c r="H377" s="92" t="str">
        <f t="shared" si="16"/>
        <v/>
      </c>
      <c r="I377" s="98"/>
      <c r="J377" s="99"/>
      <c r="K377" s="99"/>
      <c r="L377" s="99"/>
      <c r="M377" s="99"/>
      <c r="N377" s="99"/>
      <c r="O377" s="99"/>
      <c r="P377" s="99"/>
      <c r="Q377" s="99"/>
      <c r="R377" s="99"/>
      <c r="S377" s="98"/>
      <c r="T377" s="93"/>
      <c r="U377" s="93"/>
      <c r="V377" s="93"/>
      <c r="W377" s="93"/>
      <c r="X377" s="93" t="str">
        <f>IF($B377="Yes",COUNTIF(Reference!P$52:P$67,$K377),"")</f>
        <v/>
      </c>
      <c r="Y377" s="93" t="str">
        <f>IF($B377="Yes",COUNTIF(Reference!Q$52:Q$67,$K377),"")</f>
        <v/>
      </c>
      <c r="Z377" s="93" t="str">
        <f>IF($B377="Yes",COUNTIF(Reference!R$52:R$67,$K377),"")</f>
        <v/>
      </c>
      <c r="AA377" s="93" t="str">
        <f>IF($B377="Yes",COUNTIF(Reference!S$52:S$67,$K377),"")</f>
        <v/>
      </c>
      <c r="AB377" s="93" t="str">
        <f>IF($B377="Yes",COUNTIF(Reference!T$52:T$67,$K377),"")</f>
        <v/>
      </c>
      <c r="AC377" s="93" t="str">
        <f t="shared" si="17"/>
        <v/>
      </c>
    </row>
    <row r="378" spans="1:29" x14ac:dyDescent="0.25">
      <c r="A378" s="92">
        <v>468</v>
      </c>
      <c r="B378" s="95" t="str">
        <f t="shared" si="15"/>
        <v>No</v>
      </c>
      <c r="H378" s="92" t="str">
        <f t="shared" si="16"/>
        <v/>
      </c>
      <c r="I378" s="98"/>
      <c r="J378" s="99"/>
      <c r="K378" s="99"/>
      <c r="L378" s="99"/>
      <c r="M378" s="99"/>
      <c r="N378" s="99"/>
      <c r="O378" s="99"/>
      <c r="P378" s="99"/>
      <c r="Q378" s="99"/>
      <c r="R378" s="99"/>
      <c r="S378" s="98"/>
      <c r="T378" s="93"/>
      <c r="U378" s="93"/>
      <c r="V378" s="93"/>
      <c r="W378" s="93"/>
      <c r="X378" s="93" t="str">
        <f>IF($B378="Yes",COUNTIF(Reference!P$52:P$67,$K378),"")</f>
        <v/>
      </c>
      <c r="Y378" s="93" t="str">
        <f>IF($B378="Yes",COUNTIF(Reference!Q$52:Q$67,$K378),"")</f>
        <v/>
      </c>
      <c r="Z378" s="93" t="str">
        <f>IF($B378="Yes",COUNTIF(Reference!R$52:R$67,$K378),"")</f>
        <v/>
      </c>
      <c r="AA378" s="93" t="str">
        <f>IF($B378="Yes",COUNTIF(Reference!S$52:S$67,$K378),"")</f>
        <v/>
      </c>
      <c r="AB378" s="93" t="str">
        <f>IF($B378="Yes",COUNTIF(Reference!T$52:T$67,$K378),"")</f>
        <v/>
      </c>
      <c r="AC378" s="93" t="str">
        <f t="shared" si="17"/>
        <v/>
      </c>
    </row>
    <row r="379" spans="1:29" x14ac:dyDescent="0.25">
      <c r="A379" s="92">
        <v>469</v>
      </c>
      <c r="B379" s="95" t="str">
        <f t="shared" si="15"/>
        <v>No</v>
      </c>
      <c r="H379" s="92" t="str">
        <f t="shared" si="16"/>
        <v/>
      </c>
      <c r="I379" s="98"/>
      <c r="J379" s="99"/>
      <c r="K379" s="99"/>
      <c r="L379" s="99"/>
      <c r="M379" s="99"/>
      <c r="N379" s="99"/>
      <c r="O379" s="99"/>
      <c r="P379" s="99"/>
      <c r="Q379" s="99"/>
      <c r="R379" s="99"/>
      <c r="S379" s="98"/>
      <c r="T379" s="93"/>
      <c r="U379" s="93"/>
      <c r="V379" s="93"/>
      <c r="W379" s="93"/>
      <c r="X379" s="93" t="str">
        <f>IF($B379="Yes",COUNTIF(Reference!P$52:P$67,$K379),"")</f>
        <v/>
      </c>
      <c r="Y379" s="93" t="str">
        <f>IF($B379="Yes",COUNTIF(Reference!Q$52:Q$67,$K379),"")</f>
        <v/>
      </c>
      <c r="Z379" s="93" t="str">
        <f>IF($B379="Yes",COUNTIF(Reference!R$52:R$67,$K379),"")</f>
        <v/>
      </c>
      <c r="AA379" s="93" t="str">
        <f>IF($B379="Yes",COUNTIF(Reference!S$52:S$67,$K379),"")</f>
        <v/>
      </c>
      <c r="AB379" s="93" t="str">
        <f>IF($B379="Yes",COUNTIF(Reference!T$52:T$67,$K379),"")</f>
        <v/>
      </c>
      <c r="AC379" s="93" t="str">
        <f t="shared" si="17"/>
        <v/>
      </c>
    </row>
    <row r="380" spans="1:29" x14ac:dyDescent="0.25">
      <c r="A380" s="92">
        <v>470</v>
      </c>
      <c r="B380" s="95" t="str">
        <f t="shared" si="15"/>
        <v>No</v>
      </c>
      <c r="H380" s="92" t="str">
        <f t="shared" si="16"/>
        <v/>
      </c>
      <c r="I380" s="98"/>
      <c r="J380" s="99"/>
      <c r="K380" s="99"/>
      <c r="L380" s="99"/>
      <c r="M380" s="99"/>
      <c r="N380" s="99"/>
      <c r="O380" s="99"/>
      <c r="P380" s="99"/>
      <c r="Q380" s="99"/>
      <c r="R380" s="99"/>
      <c r="S380" s="98"/>
      <c r="T380" s="93"/>
      <c r="U380" s="93"/>
      <c r="V380" s="93"/>
      <c r="W380" s="93"/>
      <c r="X380" s="93" t="str">
        <f>IF($B380="Yes",COUNTIF(Reference!P$52:P$67,$K380),"")</f>
        <v/>
      </c>
      <c r="Y380" s="93" t="str">
        <f>IF($B380="Yes",COUNTIF(Reference!Q$52:Q$67,$K380),"")</f>
        <v/>
      </c>
      <c r="Z380" s="93" t="str">
        <f>IF($B380="Yes",COUNTIF(Reference!R$52:R$67,$K380),"")</f>
        <v/>
      </c>
      <c r="AA380" s="93" t="str">
        <f>IF($B380="Yes",COUNTIF(Reference!S$52:S$67,$K380),"")</f>
        <v/>
      </c>
      <c r="AB380" s="93" t="str">
        <f>IF($B380="Yes",COUNTIF(Reference!T$52:T$67,$K380),"")</f>
        <v/>
      </c>
      <c r="AC380" s="93" t="str">
        <f t="shared" si="17"/>
        <v/>
      </c>
    </row>
    <row r="381" spans="1:29" x14ac:dyDescent="0.25">
      <c r="A381" s="92">
        <v>471</v>
      </c>
      <c r="B381" s="95" t="str">
        <f t="shared" si="15"/>
        <v>No</v>
      </c>
      <c r="H381" s="92" t="str">
        <f t="shared" si="16"/>
        <v/>
      </c>
      <c r="I381" s="98"/>
      <c r="J381" s="99"/>
      <c r="K381" s="99"/>
      <c r="L381" s="99"/>
      <c r="M381" s="99"/>
      <c r="N381" s="99"/>
      <c r="O381" s="99"/>
      <c r="P381" s="99"/>
      <c r="Q381" s="99"/>
      <c r="R381" s="99"/>
      <c r="S381" s="98"/>
      <c r="T381" s="93"/>
      <c r="U381" s="93"/>
      <c r="V381" s="93"/>
      <c r="W381" s="93"/>
      <c r="X381" s="93" t="str">
        <f>IF($B381="Yes",COUNTIF(Reference!P$52:P$67,$K381),"")</f>
        <v/>
      </c>
      <c r="Y381" s="93" t="str">
        <f>IF($B381="Yes",COUNTIF(Reference!Q$52:Q$67,$K381),"")</f>
        <v/>
      </c>
      <c r="Z381" s="93" t="str">
        <f>IF($B381="Yes",COUNTIF(Reference!R$52:R$67,$K381),"")</f>
        <v/>
      </c>
      <c r="AA381" s="93" t="str">
        <f>IF($B381="Yes",COUNTIF(Reference!S$52:S$67,$K381),"")</f>
        <v/>
      </c>
      <c r="AB381" s="93" t="str">
        <f>IF($B381="Yes",COUNTIF(Reference!T$52:T$67,$K381),"")</f>
        <v/>
      </c>
      <c r="AC381" s="93" t="str">
        <f t="shared" si="17"/>
        <v/>
      </c>
    </row>
    <row r="382" spans="1:29" x14ac:dyDescent="0.25">
      <c r="A382" s="92">
        <v>472</v>
      </c>
      <c r="B382" s="95" t="str">
        <f t="shared" si="15"/>
        <v>No</v>
      </c>
      <c r="H382" s="92" t="str">
        <f t="shared" si="16"/>
        <v/>
      </c>
      <c r="I382" s="98"/>
      <c r="J382" s="99"/>
      <c r="K382" s="99"/>
      <c r="L382" s="99"/>
      <c r="M382" s="99"/>
      <c r="N382" s="99"/>
      <c r="O382" s="99"/>
      <c r="P382" s="99"/>
      <c r="Q382" s="99"/>
      <c r="R382" s="99"/>
      <c r="S382" s="98"/>
      <c r="T382" s="93"/>
      <c r="U382" s="93"/>
      <c r="V382" s="93"/>
      <c r="W382" s="93"/>
      <c r="X382" s="93" t="str">
        <f>IF($B382="Yes",COUNTIF(Reference!P$52:P$67,$K382),"")</f>
        <v/>
      </c>
      <c r="Y382" s="93" t="str">
        <f>IF($B382="Yes",COUNTIF(Reference!Q$52:Q$67,$K382),"")</f>
        <v/>
      </c>
      <c r="Z382" s="93" t="str">
        <f>IF($B382="Yes",COUNTIF(Reference!R$52:R$67,$K382),"")</f>
        <v/>
      </c>
      <c r="AA382" s="93" t="str">
        <f>IF($B382="Yes",COUNTIF(Reference!S$52:S$67,$K382),"")</f>
        <v/>
      </c>
      <c r="AB382" s="93" t="str">
        <f>IF($B382="Yes",COUNTIF(Reference!T$52:T$67,$K382),"")</f>
        <v/>
      </c>
      <c r="AC382" s="93" t="str">
        <f t="shared" si="17"/>
        <v/>
      </c>
    </row>
    <row r="383" spans="1:29" x14ac:dyDescent="0.25">
      <c r="A383" s="92">
        <v>473</v>
      </c>
      <c r="B383" s="95" t="str">
        <f t="shared" si="15"/>
        <v>No</v>
      </c>
      <c r="H383" s="92" t="str">
        <f t="shared" si="16"/>
        <v/>
      </c>
      <c r="I383" s="98"/>
      <c r="J383" s="99"/>
      <c r="K383" s="99"/>
      <c r="L383" s="99"/>
      <c r="M383" s="99"/>
      <c r="N383" s="99"/>
      <c r="O383" s="99"/>
      <c r="P383" s="99"/>
      <c r="Q383" s="99"/>
      <c r="R383" s="99"/>
      <c r="S383" s="98"/>
      <c r="T383" s="93"/>
      <c r="U383" s="93"/>
      <c r="V383" s="93"/>
      <c r="W383" s="93"/>
      <c r="X383" s="93" t="str">
        <f>IF($B383="Yes",COUNTIF(Reference!P$52:P$67,$K383),"")</f>
        <v/>
      </c>
      <c r="Y383" s="93" t="str">
        <f>IF($B383="Yes",COUNTIF(Reference!Q$52:Q$67,$K383),"")</f>
        <v/>
      </c>
      <c r="Z383" s="93" t="str">
        <f>IF($B383="Yes",COUNTIF(Reference!R$52:R$67,$K383),"")</f>
        <v/>
      </c>
      <c r="AA383" s="93" t="str">
        <f>IF($B383="Yes",COUNTIF(Reference!S$52:S$67,$K383),"")</f>
        <v/>
      </c>
      <c r="AB383" s="93" t="str">
        <f>IF($B383="Yes",COUNTIF(Reference!T$52:T$67,$K383),"")</f>
        <v/>
      </c>
      <c r="AC383" s="93" t="str">
        <f t="shared" si="17"/>
        <v/>
      </c>
    </row>
    <row r="384" spans="1:29" x14ac:dyDescent="0.25">
      <c r="A384" s="92">
        <v>474</v>
      </c>
      <c r="B384" s="95" t="str">
        <f t="shared" si="15"/>
        <v>No</v>
      </c>
      <c r="H384" s="92" t="str">
        <f t="shared" si="16"/>
        <v/>
      </c>
      <c r="I384" s="98"/>
      <c r="J384" s="99"/>
      <c r="K384" s="99"/>
      <c r="L384" s="99"/>
      <c r="M384" s="99"/>
      <c r="N384" s="99"/>
      <c r="O384" s="99"/>
      <c r="P384" s="99"/>
      <c r="Q384" s="99"/>
      <c r="R384" s="99"/>
      <c r="S384" s="98"/>
      <c r="T384" s="93"/>
      <c r="U384" s="93"/>
      <c r="V384" s="93"/>
      <c r="W384" s="93"/>
      <c r="X384" s="93" t="str">
        <f>IF($B384="Yes",COUNTIF(Reference!P$52:P$67,$K384),"")</f>
        <v/>
      </c>
      <c r="Y384" s="93" t="str">
        <f>IF($B384="Yes",COUNTIF(Reference!Q$52:Q$67,$K384),"")</f>
        <v/>
      </c>
      <c r="Z384" s="93" t="str">
        <f>IF($B384="Yes",COUNTIF(Reference!R$52:R$67,$K384),"")</f>
        <v/>
      </c>
      <c r="AA384" s="93" t="str">
        <f>IF($B384="Yes",COUNTIF(Reference!S$52:S$67,$K384),"")</f>
        <v/>
      </c>
      <c r="AB384" s="93" t="str">
        <f>IF($B384="Yes",COUNTIF(Reference!T$52:T$67,$K384),"")</f>
        <v/>
      </c>
      <c r="AC384" s="93" t="str">
        <f t="shared" si="17"/>
        <v/>
      </c>
    </row>
    <row r="385" spans="1:29" x14ac:dyDescent="0.25">
      <c r="A385" s="92">
        <v>475</v>
      </c>
      <c r="B385" s="95" t="str">
        <f t="shared" si="15"/>
        <v>No</v>
      </c>
      <c r="H385" s="92" t="str">
        <f t="shared" si="16"/>
        <v/>
      </c>
      <c r="I385" s="98"/>
      <c r="J385" s="99"/>
      <c r="K385" s="99"/>
      <c r="L385" s="99"/>
      <c r="M385" s="99"/>
      <c r="N385" s="99"/>
      <c r="O385" s="99"/>
      <c r="P385" s="99"/>
      <c r="Q385" s="99"/>
      <c r="R385" s="99"/>
      <c r="S385" s="98"/>
      <c r="T385" s="93"/>
      <c r="U385" s="93"/>
      <c r="V385" s="93"/>
      <c r="W385" s="93"/>
      <c r="X385" s="93" t="str">
        <f>IF($B385="Yes",COUNTIF(Reference!P$52:P$67,$K385),"")</f>
        <v/>
      </c>
      <c r="Y385" s="93" t="str">
        <f>IF($B385="Yes",COUNTIF(Reference!Q$52:Q$67,$K385),"")</f>
        <v/>
      </c>
      <c r="Z385" s="93" t="str">
        <f>IF($B385="Yes",COUNTIF(Reference!R$52:R$67,$K385),"")</f>
        <v/>
      </c>
      <c r="AA385" s="93" t="str">
        <f>IF($B385="Yes",COUNTIF(Reference!S$52:S$67,$K385),"")</f>
        <v/>
      </c>
      <c r="AB385" s="93" t="str">
        <f>IF($B385="Yes",COUNTIF(Reference!T$52:T$67,$K385),"")</f>
        <v/>
      </c>
      <c r="AC385" s="93" t="str">
        <f t="shared" si="17"/>
        <v/>
      </c>
    </row>
    <row r="386" spans="1:29" x14ac:dyDescent="0.25">
      <c r="A386" s="92">
        <v>476</v>
      </c>
      <c r="B386" s="95" t="str">
        <f t="shared" si="15"/>
        <v>No</v>
      </c>
      <c r="H386" s="92" t="str">
        <f t="shared" si="16"/>
        <v/>
      </c>
      <c r="I386" s="98"/>
      <c r="J386" s="99"/>
      <c r="K386" s="99"/>
      <c r="L386" s="99"/>
      <c r="M386" s="99"/>
      <c r="N386" s="99"/>
      <c r="O386" s="99"/>
      <c r="P386" s="99"/>
      <c r="Q386" s="99"/>
      <c r="R386" s="99"/>
      <c r="S386" s="98"/>
      <c r="T386" s="93"/>
      <c r="U386" s="93"/>
      <c r="V386" s="93"/>
      <c r="W386" s="93"/>
      <c r="X386" s="93" t="str">
        <f>IF($B386="Yes",COUNTIF(Reference!P$52:P$67,$K386),"")</f>
        <v/>
      </c>
      <c r="Y386" s="93" t="str">
        <f>IF($B386="Yes",COUNTIF(Reference!Q$52:Q$67,$K386),"")</f>
        <v/>
      </c>
      <c r="Z386" s="93" t="str">
        <f>IF($B386="Yes",COUNTIF(Reference!R$52:R$67,$K386),"")</f>
        <v/>
      </c>
      <c r="AA386" s="93" t="str">
        <f>IF($B386="Yes",COUNTIF(Reference!S$52:S$67,$K386),"")</f>
        <v/>
      </c>
      <c r="AB386" s="93" t="str">
        <f>IF($B386="Yes",COUNTIF(Reference!T$52:T$67,$K386),"")</f>
        <v/>
      </c>
      <c r="AC386" s="93" t="str">
        <f t="shared" si="17"/>
        <v/>
      </c>
    </row>
    <row r="387" spans="1:29" x14ac:dyDescent="0.25">
      <c r="A387" s="92">
        <v>477</v>
      </c>
      <c r="B387" s="95" t="str">
        <f t="shared" si="15"/>
        <v>No</v>
      </c>
      <c r="H387" s="92" t="str">
        <f t="shared" si="16"/>
        <v/>
      </c>
      <c r="I387" s="98"/>
      <c r="J387" s="99"/>
      <c r="K387" s="99"/>
      <c r="L387" s="99"/>
      <c r="M387" s="99"/>
      <c r="N387" s="99"/>
      <c r="O387" s="99"/>
      <c r="P387" s="99"/>
      <c r="Q387" s="99"/>
      <c r="R387" s="99"/>
      <c r="S387" s="98"/>
      <c r="T387" s="93"/>
      <c r="U387" s="93"/>
      <c r="V387" s="93"/>
      <c r="W387" s="93"/>
      <c r="X387" s="93" t="str">
        <f>IF($B387="Yes",COUNTIF(Reference!P$52:P$67,$K387),"")</f>
        <v/>
      </c>
      <c r="Y387" s="93" t="str">
        <f>IF($B387="Yes",COUNTIF(Reference!Q$52:Q$67,$K387),"")</f>
        <v/>
      </c>
      <c r="Z387" s="93" t="str">
        <f>IF($B387="Yes",COUNTIF(Reference!R$52:R$67,$K387),"")</f>
        <v/>
      </c>
      <c r="AA387" s="93" t="str">
        <f>IF($B387="Yes",COUNTIF(Reference!S$52:S$67,$K387),"")</f>
        <v/>
      </c>
      <c r="AB387" s="93" t="str">
        <f>IF($B387="Yes",COUNTIF(Reference!T$52:T$67,$K387),"")</f>
        <v/>
      </c>
      <c r="AC387" s="93" t="str">
        <f t="shared" si="17"/>
        <v/>
      </c>
    </row>
    <row r="388" spans="1:29" x14ac:dyDescent="0.25">
      <c r="A388" s="92">
        <v>478</v>
      </c>
      <c r="B388" s="95" t="str">
        <f t="shared" si="15"/>
        <v>No</v>
      </c>
      <c r="H388" s="92" t="str">
        <f t="shared" si="16"/>
        <v/>
      </c>
      <c r="I388" s="98"/>
      <c r="J388" s="99"/>
      <c r="K388" s="99"/>
      <c r="L388" s="99"/>
      <c r="M388" s="99"/>
      <c r="N388" s="99"/>
      <c r="O388" s="99"/>
      <c r="P388" s="99"/>
      <c r="Q388" s="99"/>
      <c r="R388" s="99"/>
      <c r="S388" s="98"/>
      <c r="T388" s="93"/>
      <c r="U388" s="93"/>
      <c r="V388" s="93"/>
      <c r="W388" s="93"/>
      <c r="X388" s="93" t="str">
        <f>IF($B388="Yes",COUNTIF(Reference!P$52:P$67,$K388),"")</f>
        <v/>
      </c>
      <c r="Y388" s="93" t="str">
        <f>IF($B388="Yes",COUNTIF(Reference!Q$52:Q$67,$K388),"")</f>
        <v/>
      </c>
      <c r="Z388" s="93" t="str">
        <f>IF($B388="Yes",COUNTIF(Reference!R$52:R$67,$K388),"")</f>
        <v/>
      </c>
      <c r="AA388" s="93" t="str">
        <f>IF($B388="Yes",COUNTIF(Reference!S$52:S$67,$K388),"")</f>
        <v/>
      </c>
      <c r="AB388" s="93" t="str">
        <f>IF($B388="Yes",COUNTIF(Reference!T$52:T$67,$K388),"")</f>
        <v/>
      </c>
      <c r="AC388" s="93" t="str">
        <f t="shared" si="17"/>
        <v/>
      </c>
    </row>
    <row r="389" spans="1:29" x14ac:dyDescent="0.25">
      <c r="A389" s="92">
        <v>479</v>
      </c>
      <c r="B389" s="95" t="str">
        <f t="shared" si="15"/>
        <v>No</v>
      </c>
      <c r="H389" s="92" t="str">
        <f t="shared" si="16"/>
        <v/>
      </c>
      <c r="I389" s="98"/>
      <c r="J389" s="99"/>
      <c r="K389" s="99"/>
      <c r="L389" s="99"/>
      <c r="M389" s="99"/>
      <c r="N389" s="99"/>
      <c r="O389" s="99"/>
      <c r="P389" s="99"/>
      <c r="Q389" s="99"/>
      <c r="R389" s="99"/>
      <c r="S389" s="98"/>
      <c r="T389" s="93"/>
      <c r="U389" s="93"/>
      <c r="V389" s="93"/>
      <c r="W389" s="93"/>
      <c r="X389" s="93" t="str">
        <f>IF($B389="Yes",COUNTIF(Reference!P$52:P$67,$K389),"")</f>
        <v/>
      </c>
      <c r="Y389" s="93" t="str">
        <f>IF($B389="Yes",COUNTIF(Reference!Q$52:Q$67,$K389),"")</f>
        <v/>
      </c>
      <c r="Z389" s="93" t="str">
        <f>IF($B389="Yes",COUNTIF(Reference!R$52:R$67,$K389),"")</f>
        <v/>
      </c>
      <c r="AA389" s="93" t="str">
        <f>IF($B389="Yes",COUNTIF(Reference!S$52:S$67,$K389),"")</f>
        <v/>
      </c>
      <c r="AB389" s="93" t="str">
        <f>IF($B389="Yes",COUNTIF(Reference!T$52:T$67,$K389),"")</f>
        <v/>
      </c>
      <c r="AC389" s="93" t="str">
        <f t="shared" si="17"/>
        <v/>
      </c>
    </row>
    <row r="390" spans="1:29" x14ac:dyDescent="0.25">
      <c r="A390" s="92">
        <v>480</v>
      </c>
      <c r="B390" s="95" t="str">
        <f t="shared" si="15"/>
        <v>No</v>
      </c>
      <c r="H390" s="92" t="str">
        <f t="shared" si="16"/>
        <v/>
      </c>
      <c r="I390" s="98"/>
      <c r="J390" s="99"/>
      <c r="K390" s="99"/>
      <c r="L390" s="99"/>
      <c r="M390" s="99"/>
      <c r="N390" s="99"/>
      <c r="O390" s="99"/>
      <c r="P390" s="99"/>
      <c r="Q390" s="99"/>
      <c r="R390" s="99"/>
      <c r="S390" s="98"/>
      <c r="T390" s="93"/>
      <c r="U390" s="93"/>
      <c r="V390" s="93"/>
      <c r="W390" s="93"/>
      <c r="X390" s="93" t="str">
        <f>IF($B390="Yes",COUNTIF(Reference!P$52:P$67,$K390),"")</f>
        <v/>
      </c>
      <c r="Y390" s="93" t="str">
        <f>IF($B390="Yes",COUNTIF(Reference!Q$52:Q$67,$K390),"")</f>
        <v/>
      </c>
      <c r="Z390" s="93" t="str">
        <f>IF($B390="Yes",COUNTIF(Reference!R$52:R$67,$K390),"")</f>
        <v/>
      </c>
      <c r="AA390" s="93" t="str">
        <f>IF($B390="Yes",COUNTIF(Reference!S$52:S$67,$K390),"")</f>
        <v/>
      </c>
      <c r="AB390" s="93" t="str">
        <f>IF($B390="Yes",COUNTIF(Reference!T$52:T$67,$K390),"")</f>
        <v/>
      </c>
      <c r="AC390" s="93" t="str">
        <f t="shared" si="17"/>
        <v/>
      </c>
    </row>
    <row r="391" spans="1:29" x14ac:dyDescent="0.25">
      <c r="A391" s="92">
        <v>481</v>
      </c>
      <c r="B391" s="95" t="str">
        <f t="shared" si="15"/>
        <v>No</v>
      </c>
      <c r="H391" s="92" t="str">
        <f t="shared" si="16"/>
        <v/>
      </c>
      <c r="I391" s="98"/>
      <c r="J391" s="99"/>
      <c r="K391" s="99"/>
      <c r="L391" s="99"/>
      <c r="M391" s="99"/>
      <c r="N391" s="99"/>
      <c r="O391" s="99"/>
      <c r="P391" s="99"/>
      <c r="Q391" s="99"/>
      <c r="R391" s="99"/>
      <c r="S391" s="98"/>
      <c r="T391" s="93"/>
      <c r="U391" s="93"/>
      <c r="V391" s="93"/>
      <c r="W391" s="93"/>
      <c r="X391" s="93" t="str">
        <f>IF($B391="Yes",COUNTIF(Reference!P$52:P$67,$K391),"")</f>
        <v/>
      </c>
      <c r="Y391" s="93" t="str">
        <f>IF($B391="Yes",COUNTIF(Reference!Q$52:Q$67,$K391),"")</f>
        <v/>
      </c>
      <c r="Z391" s="93" t="str">
        <f>IF($B391="Yes",COUNTIF(Reference!R$52:R$67,$K391),"")</f>
        <v/>
      </c>
      <c r="AA391" s="93" t="str">
        <f>IF($B391="Yes",COUNTIF(Reference!S$52:S$67,$K391),"")</f>
        <v/>
      </c>
      <c r="AB391" s="93" t="str">
        <f>IF($B391="Yes",COUNTIF(Reference!T$52:T$67,$K391),"")</f>
        <v/>
      </c>
      <c r="AC391" s="93" t="str">
        <f t="shared" si="17"/>
        <v/>
      </c>
    </row>
    <row r="392" spans="1:29" x14ac:dyDescent="0.25">
      <c r="A392" s="92">
        <v>482</v>
      </c>
      <c r="B392" s="95" t="str">
        <f t="shared" si="15"/>
        <v>No</v>
      </c>
      <c r="H392" s="92" t="str">
        <f t="shared" si="16"/>
        <v/>
      </c>
      <c r="I392" s="98"/>
      <c r="J392" s="99"/>
      <c r="K392" s="99"/>
      <c r="L392" s="99"/>
      <c r="M392" s="99"/>
      <c r="N392" s="99"/>
      <c r="O392" s="99"/>
      <c r="P392" s="99"/>
      <c r="Q392" s="99"/>
      <c r="R392" s="99"/>
      <c r="S392" s="98"/>
      <c r="T392" s="93"/>
      <c r="U392" s="93"/>
      <c r="V392" s="93"/>
      <c r="W392" s="93"/>
      <c r="X392" s="93" t="str">
        <f>IF($B392="Yes",COUNTIF(Reference!P$52:P$67,$K392),"")</f>
        <v/>
      </c>
      <c r="Y392" s="93" t="str">
        <f>IF($B392="Yes",COUNTIF(Reference!Q$52:Q$67,$K392),"")</f>
        <v/>
      </c>
      <c r="Z392" s="93" t="str">
        <f>IF($B392="Yes",COUNTIF(Reference!R$52:R$67,$K392),"")</f>
        <v/>
      </c>
      <c r="AA392" s="93" t="str">
        <f>IF($B392="Yes",COUNTIF(Reference!S$52:S$67,$K392),"")</f>
        <v/>
      </c>
      <c r="AB392" s="93" t="str">
        <f>IF($B392="Yes",COUNTIF(Reference!T$52:T$67,$K392),"")</f>
        <v/>
      </c>
      <c r="AC392" s="93" t="str">
        <f t="shared" si="17"/>
        <v/>
      </c>
    </row>
    <row r="393" spans="1:29" x14ac:dyDescent="0.25">
      <c r="A393" s="92">
        <v>483</v>
      </c>
      <c r="B393" s="95" t="str">
        <f t="shared" si="15"/>
        <v>No</v>
      </c>
      <c r="H393" s="92" t="str">
        <f t="shared" si="16"/>
        <v/>
      </c>
      <c r="I393" s="98"/>
      <c r="J393" s="99"/>
      <c r="K393" s="99"/>
      <c r="L393" s="99"/>
      <c r="M393" s="99"/>
      <c r="N393" s="99"/>
      <c r="O393" s="99"/>
      <c r="P393" s="99"/>
      <c r="Q393" s="99"/>
      <c r="R393" s="99"/>
      <c r="S393" s="98"/>
      <c r="T393" s="93"/>
      <c r="U393" s="93"/>
      <c r="V393" s="93"/>
      <c r="W393" s="93"/>
      <c r="X393" s="93" t="str">
        <f>IF($B393="Yes",COUNTIF(Reference!P$52:P$67,$K393),"")</f>
        <v/>
      </c>
      <c r="Y393" s="93" t="str">
        <f>IF($B393="Yes",COUNTIF(Reference!Q$52:Q$67,$K393),"")</f>
        <v/>
      </c>
      <c r="Z393" s="93" t="str">
        <f>IF($B393="Yes",COUNTIF(Reference!R$52:R$67,$K393),"")</f>
        <v/>
      </c>
      <c r="AA393" s="93" t="str">
        <f>IF($B393="Yes",COUNTIF(Reference!S$52:S$67,$K393),"")</f>
        <v/>
      </c>
      <c r="AB393" s="93" t="str">
        <f>IF($B393="Yes",COUNTIF(Reference!T$52:T$67,$K393),"")</f>
        <v/>
      </c>
      <c r="AC393" s="93" t="str">
        <f t="shared" si="17"/>
        <v/>
      </c>
    </row>
    <row r="394" spans="1:29" x14ac:dyDescent="0.25">
      <c r="A394" s="92">
        <v>484</v>
      </c>
      <c r="B394" s="95" t="str">
        <f t="shared" si="15"/>
        <v>No</v>
      </c>
      <c r="H394" s="92" t="str">
        <f t="shared" si="16"/>
        <v/>
      </c>
      <c r="I394" s="98"/>
      <c r="J394" s="99"/>
      <c r="K394" s="99"/>
      <c r="L394" s="99"/>
      <c r="M394" s="99"/>
      <c r="N394" s="99"/>
      <c r="O394" s="99"/>
      <c r="P394" s="99"/>
      <c r="Q394" s="99"/>
      <c r="R394" s="99"/>
      <c r="S394" s="98"/>
      <c r="T394" s="93"/>
      <c r="U394" s="93"/>
      <c r="V394" s="93"/>
      <c r="W394" s="93"/>
      <c r="X394" s="93" t="str">
        <f>IF($B394="Yes",COUNTIF(Reference!P$52:P$67,$K394),"")</f>
        <v/>
      </c>
      <c r="Y394" s="93" t="str">
        <f>IF($B394="Yes",COUNTIF(Reference!Q$52:Q$67,$K394),"")</f>
        <v/>
      </c>
      <c r="Z394" s="93" t="str">
        <f>IF($B394="Yes",COUNTIF(Reference!R$52:R$67,$K394),"")</f>
        <v/>
      </c>
      <c r="AA394" s="93" t="str">
        <f>IF($B394="Yes",COUNTIF(Reference!S$52:S$67,$K394),"")</f>
        <v/>
      </c>
      <c r="AB394" s="93" t="str">
        <f>IF($B394="Yes",COUNTIF(Reference!T$52:T$67,$K394),"")</f>
        <v/>
      </c>
      <c r="AC394" s="93" t="str">
        <f t="shared" si="17"/>
        <v/>
      </c>
    </row>
    <row r="395" spans="1:29" x14ac:dyDescent="0.25">
      <c r="A395" s="92">
        <v>485</v>
      </c>
      <c r="B395" s="95" t="str">
        <f t="shared" ref="B395:B458" si="18">IF(COUNTBLANK(J395:M395)=0,"Yes","No")</f>
        <v>No</v>
      </c>
      <c r="H395" s="92" t="str">
        <f t="shared" ref="H395:H458" si="19">IF(J395="","",$A$1&amp;"-"&amp;A395)</f>
        <v/>
      </c>
      <c r="I395" s="98"/>
      <c r="J395" s="99"/>
      <c r="K395" s="99"/>
      <c r="L395" s="99"/>
      <c r="M395" s="99"/>
      <c r="N395" s="99"/>
      <c r="O395" s="99"/>
      <c r="P395" s="99"/>
      <c r="Q395" s="99"/>
      <c r="R395" s="99"/>
      <c r="S395" s="98"/>
      <c r="T395" s="93"/>
      <c r="U395" s="93"/>
      <c r="V395" s="93"/>
      <c r="W395" s="93"/>
      <c r="X395" s="93" t="str">
        <f>IF($B395="Yes",COUNTIF(Reference!P$52:P$67,$K395),"")</f>
        <v/>
      </c>
      <c r="Y395" s="93" t="str">
        <f>IF($B395="Yes",COUNTIF(Reference!Q$52:Q$67,$K395),"")</f>
        <v/>
      </c>
      <c r="Z395" s="93" t="str">
        <f>IF($B395="Yes",COUNTIF(Reference!R$52:R$67,$K395),"")</f>
        <v/>
      </c>
      <c r="AA395" s="93" t="str">
        <f>IF($B395="Yes",COUNTIF(Reference!S$52:S$67,$K395),"")</f>
        <v/>
      </c>
      <c r="AB395" s="93" t="str">
        <f>IF($B395="Yes",COUNTIF(Reference!T$52:T$67,$K395),"")</f>
        <v/>
      </c>
      <c r="AC395" s="93" t="str">
        <f t="shared" ref="AC395:AC458" si="20">IF($B395="Yes",COUNTIF(K395,"N"),"")</f>
        <v/>
      </c>
    </row>
    <row r="396" spans="1:29" x14ac:dyDescent="0.25">
      <c r="A396" s="92">
        <v>486</v>
      </c>
      <c r="B396" s="95" t="str">
        <f t="shared" si="18"/>
        <v>No</v>
      </c>
      <c r="H396" s="92" t="str">
        <f t="shared" si="19"/>
        <v/>
      </c>
      <c r="I396" s="98"/>
      <c r="J396" s="99"/>
      <c r="K396" s="99"/>
      <c r="L396" s="99"/>
      <c r="M396" s="99"/>
      <c r="N396" s="99"/>
      <c r="O396" s="99"/>
      <c r="P396" s="99"/>
      <c r="Q396" s="99"/>
      <c r="R396" s="99"/>
      <c r="S396" s="98"/>
      <c r="T396" s="93"/>
      <c r="U396" s="93"/>
      <c r="V396" s="93"/>
      <c r="W396" s="93"/>
      <c r="X396" s="93" t="str">
        <f>IF($B396="Yes",COUNTIF(Reference!P$52:P$67,$K396),"")</f>
        <v/>
      </c>
      <c r="Y396" s="93" t="str">
        <f>IF($B396="Yes",COUNTIF(Reference!Q$52:Q$67,$K396),"")</f>
        <v/>
      </c>
      <c r="Z396" s="93" t="str">
        <f>IF($B396="Yes",COUNTIF(Reference!R$52:R$67,$K396),"")</f>
        <v/>
      </c>
      <c r="AA396" s="93" t="str">
        <f>IF($B396="Yes",COUNTIF(Reference!S$52:S$67,$K396),"")</f>
        <v/>
      </c>
      <c r="AB396" s="93" t="str">
        <f>IF($B396="Yes",COUNTIF(Reference!T$52:T$67,$K396),"")</f>
        <v/>
      </c>
      <c r="AC396" s="93" t="str">
        <f t="shared" si="20"/>
        <v/>
      </c>
    </row>
    <row r="397" spans="1:29" x14ac:dyDescent="0.25">
      <c r="A397" s="92">
        <v>487</v>
      </c>
      <c r="B397" s="95" t="str">
        <f t="shared" si="18"/>
        <v>No</v>
      </c>
      <c r="H397" s="92" t="str">
        <f t="shared" si="19"/>
        <v/>
      </c>
      <c r="I397" s="98"/>
      <c r="J397" s="99"/>
      <c r="K397" s="99"/>
      <c r="L397" s="99"/>
      <c r="M397" s="99"/>
      <c r="N397" s="99"/>
      <c r="O397" s="99"/>
      <c r="P397" s="99"/>
      <c r="Q397" s="99"/>
      <c r="R397" s="99"/>
      <c r="S397" s="98"/>
      <c r="T397" s="93"/>
      <c r="U397" s="93"/>
      <c r="V397" s="93"/>
      <c r="W397" s="93"/>
      <c r="X397" s="93" t="str">
        <f>IF($B397="Yes",COUNTIF(Reference!P$52:P$67,$K397),"")</f>
        <v/>
      </c>
      <c r="Y397" s="93" t="str">
        <f>IF($B397="Yes",COUNTIF(Reference!Q$52:Q$67,$K397),"")</f>
        <v/>
      </c>
      <c r="Z397" s="93" t="str">
        <f>IF($B397="Yes",COUNTIF(Reference!R$52:R$67,$K397),"")</f>
        <v/>
      </c>
      <c r="AA397" s="93" t="str">
        <f>IF($B397="Yes",COUNTIF(Reference!S$52:S$67,$K397),"")</f>
        <v/>
      </c>
      <c r="AB397" s="93" t="str">
        <f>IF($B397="Yes",COUNTIF(Reference!T$52:T$67,$K397),"")</f>
        <v/>
      </c>
      <c r="AC397" s="93" t="str">
        <f t="shared" si="20"/>
        <v/>
      </c>
    </row>
    <row r="398" spans="1:29" x14ac:dyDescent="0.25">
      <c r="A398" s="92">
        <v>488</v>
      </c>
      <c r="B398" s="95" t="str">
        <f t="shared" si="18"/>
        <v>No</v>
      </c>
      <c r="H398" s="92" t="str">
        <f t="shared" si="19"/>
        <v/>
      </c>
      <c r="I398" s="98"/>
      <c r="J398" s="99"/>
      <c r="K398" s="99"/>
      <c r="L398" s="99"/>
      <c r="M398" s="99"/>
      <c r="N398" s="99"/>
      <c r="O398" s="99"/>
      <c r="P398" s="99"/>
      <c r="Q398" s="99"/>
      <c r="R398" s="99"/>
      <c r="S398" s="98"/>
      <c r="T398" s="93"/>
      <c r="U398" s="93"/>
      <c r="V398" s="93"/>
      <c r="W398" s="93"/>
      <c r="X398" s="93" t="str">
        <f>IF($B398="Yes",COUNTIF(Reference!P$52:P$67,$K398),"")</f>
        <v/>
      </c>
      <c r="Y398" s="93" t="str">
        <f>IF($B398="Yes",COUNTIF(Reference!Q$52:Q$67,$K398),"")</f>
        <v/>
      </c>
      <c r="Z398" s="93" t="str">
        <f>IF($B398="Yes",COUNTIF(Reference!R$52:R$67,$K398),"")</f>
        <v/>
      </c>
      <c r="AA398" s="93" t="str">
        <f>IF($B398="Yes",COUNTIF(Reference!S$52:S$67,$K398),"")</f>
        <v/>
      </c>
      <c r="AB398" s="93" t="str">
        <f>IF($B398="Yes",COUNTIF(Reference!T$52:T$67,$K398),"")</f>
        <v/>
      </c>
      <c r="AC398" s="93" t="str">
        <f t="shared" si="20"/>
        <v/>
      </c>
    </row>
    <row r="399" spans="1:29" x14ac:dyDescent="0.25">
      <c r="A399" s="92">
        <v>489</v>
      </c>
      <c r="B399" s="95" t="str">
        <f t="shared" si="18"/>
        <v>No</v>
      </c>
      <c r="H399" s="92" t="str">
        <f t="shared" si="19"/>
        <v/>
      </c>
      <c r="I399" s="98"/>
      <c r="J399" s="99"/>
      <c r="K399" s="99"/>
      <c r="L399" s="99"/>
      <c r="M399" s="99"/>
      <c r="N399" s="99"/>
      <c r="O399" s="99"/>
      <c r="P399" s="99"/>
      <c r="Q399" s="99"/>
      <c r="R399" s="99"/>
      <c r="S399" s="98"/>
      <c r="T399" s="93"/>
      <c r="U399" s="93"/>
      <c r="V399" s="93"/>
      <c r="W399" s="93"/>
      <c r="X399" s="93" t="str">
        <f>IF($B399="Yes",COUNTIF(Reference!P$52:P$67,$K399),"")</f>
        <v/>
      </c>
      <c r="Y399" s="93" t="str">
        <f>IF($B399="Yes",COUNTIF(Reference!Q$52:Q$67,$K399),"")</f>
        <v/>
      </c>
      <c r="Z399" s="93" t="str">
        <f>IF($B399="Yes",COUNTIF(Reference!R$52:R$67,$K399),"")</f>
        <v/>
      </c>
      <c r="AA399" s="93" t="str">
        <f>IF($B399="Yes",COUNTIF(Reference!S$52:S$67,$K399),"")</f>
        <v/>
      </c>
      <c r="AB399" s="93" t="str">
        <f>IF($B399="Yes",COUNTIF(Reference!T$52:T$67,$K399),"")</f>
        <v/>
      </c>
      <c r="AC399" s="93" t="str">
        <f t="shared" si="20"/>
        <v/>
      </c>
    </row>
    <row r="400" spans="1:29" x14ac:dyDescent="0.25">
      <c r="A400" s="92">
        <v>490</v>
      </c>
      <c r="B400" s="95" t="str">
        <f t="shared" si="18"/>
        <v>No</v>
      </c>
      <c r="H400" s="92" t="str">
        <f t="shared" si="19"/>
        <v/>
      </c>
      <c r="I400" s="98"/>
      <c r="J400" s="99"/>
      <c r="K400" s="99"/>
      <c r="L400" s="99"/>
      <c r="M400" s="99"/>
      <c r="N400" s="99"/>
      <c r="O400" s="99"/>
      <c r="P400" s="99"/>
      <c r="Q400" s="99"/>
      <c r="R400" s="99"/>
      <c r="S400" s="98"/>
      <c r="T400" s="93"/>
      <c r="U400" s="93"/>
      <c r="V400" s="93"/>
      <c r="W400" s="93"/>
      <c r="X400" s="93" t="str">
        <f>IF($B400="Yes",COUNTIF(Reference!P$52:P$67,$K400),"")</f>
        <v/>
      </c>
      <c r="Y400" s="93" t="str">
        <f>IF($B400="Yes",COUNTIF(Reference!Q$52:Q$67,$K400),"")</f>
        <v/>
      </c>
      <c r="Z400" s="93" t="str">
        <f>IF($B400="Yes",COUNTIF(Reference!R$52:R$67,$K400),"")</f>
        <v/>
      </c>
      <c r="AA400" s="93" t="str">
        <f>IF($B400="Yes",COUNTIF(Reference!S$52:S$67,$K400),"")</f>
        <v/>
      </c>
      <c r="AB400" s="93" t="str">
        <f>IF($B400="Yes",COUNTIF(Reference!T$52:T$67,$K400),"")</f>
        <v/>
      </c>
      <c r="AC400" s="93" t="str">
        <f t="shared" si="20"/>
        <v/>
      </c>
    </row>
    <row r="401" spans="1:29" x14ac:dyDescent="0.25">
      <c r="A401" s="92">
        <v>491</v>
      </c>
      <c r="B401" s="95" t="str">
        <f t="shared" si="18"/>
        <v>No</v>
      </c>
      <c r="H401" s="92" t="str">
        <f t="shared" si="19"/>
        <v/>
      </c>
      <c r="I401" s="98"/>
      <c r="J401" s="99"/>
      <c r="K401" s="99"/>
      <c r="L401" s="99"/>
      <c r="M401" s="99"/>
      <c r="N401" s="99"/>
      <c r="O401" s="99"/>
      <c r="P401" s="99"/>
      <c r="Q401" s="99"/>
      <c r="R401" s="99"/>
      <c r="S401" s="98"/>
      <c r="T401" s="93"/>
      <c r="U401" s="93"/>
      <c r="V401" s="93"/>
      <c r="W401" s="93"/>
      <c r="X401" s="93" t="str">
        <f>IF($B401="Yes",COUNTIF(Reference!P$52:P$67,$K401),"")</f>
        <v/>
      </c>
      <c r="Y401" s="93" t="str">
        <f>IF($B401="Yes",COUNTIF(Reference!Q$52:Q$67,$K401),"")</f>
        <v/>
      </c>
      <c r="Z401" s="93" t="str">
        <f>IF($B401="Yes",COUNTIF(Reference!R$52:R$67,$K401),"")</f>
        <v/>
      </c>
      <c r="AA401" s="93" t="str">
        <f>IF($B401="Yes",COUNTIF(Reference!S$52:S$67,$K401),"")</f>
        <v/>
      </c>
      <c r="AB401" s="93" t="str">
        <f>IF($B401="Yes",COUNTIF(Reference!T$52:T$67,$K401),"")</f>
        <v/>
      </c>
      <c r="AC401" s="93" t="str">
        <f t="shared" si="20"/>
        <v/>
      </c>
    </row>
    <row r="402" spans="1:29" x14ac:dyDescent="0.25">
      <c r="A402" s="92">
        <v>492</v>
      </c>
      <c r="B402" s="95" t="str">
        <f t="shared" si="18"/>
        <v>No</v>
      </c>
      <c r="H402" s="92" t="str">
        <f t="shared" si="19"/>
        <v/>
      </c>
      <c r="I402" s="98"/>
      <c r="J402" s="99"/>
      <c r="K402" s="99"/>
      <c r="L402" s="99"/>
      <c r="M402" s="99"/>
      <c r="N402" s="99"/>
      <c r="O402" s="99"/>
      <c r="P402" s="99"/>
      <c r="Q402" s="99"/>
      <c r="R402" s="99"/>
      <c r="S402" s="98"/>
      <c r="T402" s="93"/>
      <c r="U402" s="93"/>
      <c r="V402" s="93"/>
      <c r="W402" s="93"/>
      <c r="X402" s="93" t="str">
        <f>IF($B402="Yes",COUNTIF(Reference!P$52:P$67,$K402),"")</f>
        <v/>
      </c>
      <c r="Y402" s="93" t="str">
        <f>IF($B402="Yes",COUNTIF(Reference!Q$52:Q$67,$K402),"")</f>
        <v/>
      </c>
      <c r="Z402" s="93" t="str">
        <f>IF($B402="Yes",COUNTIF(Reference!R$52:R$67,$K402),"")</f>
        <v/>
      </c>
      <c r="AA402" s="93" t="str">
        <f>IF($B402="Yes",COUNTIF(Reference!S$52:S$67,$K402),"")</f>
        <v/>
      </c>
      <c r="AB402" s="93" t="str">
        <f>IF($B402="Yes",COUNTIF(Reference!T$52:T$67,$K402),"")</f>
        <v/>
      </c>
      <c r="AC402" s="93" t="str">
        <f t="shared" si="20"/>
        <v/>
      </c>
    </row>
    <row r="403" spans="1:29" x14ac:dyDescent="0.25">
      <c r="A403" s="92">
        <v>493</v>
      </c>
      <c r="B403" s="95" t="str">
        <f t="shared" si="18"/>
        <v>No</v>
      </c>
      <c r="H403" s="92" t="str">
        <f t="shared" si="19"/>
        <v/>
      </c>
      <c r="I403" s="98"/>
      <c r="J403" s="99"/>
      <c r="K403" s="99"/>
      <c r="L403" s="99"/>
      <c r="M403" s="99"/>
      <c r="N403" s="99"/>
      <c r="O403" s="99"/>
      <c r="P403" s="99"/>
      <c r="Q403" s="99"/>
      <c r="R403" s="99"/>
      <c r="S403" s="98"/>
      <c r="T403" s="93"/>
      <c r="U403" s="93"/>
      <c r="V403" s="93"/>
      <c r="W403" s="93"/>
      <c r="X403" s="93" t="str">
        <f>IF($B403="Yes",COUNTIF(Reference!P$52:P$67,$K403),"")</f>
        <v/>
      </c>
      <c r="Y403" s="93" t="str">
        <f>IF($B403="Yes",COUNTIF(Reference!Q$52:Q$67,$K403),"")</f>
        <v/>
      </c>
      <c r="Z403" s="93" t="str">
        <f>IF($B403="Yes",COUNTIF(Reference!R$52:R$67,$K403),"")</f>
        <v/>
      </c>
      <c r="AA403" s="93" t="str">
        <f>IF($B403="Yes",COUNTIF(Reference!S$52:S$67,$K403),"")</f>
        <v/>
      </c>
      <c r="AB403" s="93" t="str">
        <f>IF($B403="Yes",COUNTIF(Reference!T$52:T$67,$K403),"")</f>
        <v/>
      </c>
      <c r="AC403" s="93" t="str">
        <f t="shared" si="20"/>
        <v/>
      </c>
    </row>
    <row r="404" spans="1:29" x14ac:dyDescent="0.25">
      <c r="A404" s="92">
        <v>494</v>
      </c>
      <c r="B404" s="95" t="str">
        <f t="shared" si="18"/>
        <v>No</v>
      </c>
      <c r="H404" s="92" t="str">
        <f t="shared" si="19"/>
        <v/>
      </c>
      <c r="I404" s="98"/>
      <c r="J404" s="99"/>
      <c r="K404" s="99"/>
      <c r="L404" s="99"/>
      <c r="M404" s="99"/>
      <c r="N404" s="99"/>
      <c r="O404" s="99"/>
      <c r="P404" s="99"/>
      <c r="Q404" s="99"/>
      <c r="R404" s="99"/>
      <c r="S404" s="98"/>
      <c r="T404" s="93"/>
      <c r="U404" s="93"/>
      <c r="V404" s="93"/>
      <c r="W404" s="93"/>
      <c r="X404" s="93" t="str">
        <f>IF($B404="Yes",COUNTIF(Reference!P$52:P$67,$K404),"")</f>
        <v/>
      </c>
      <c r="Y404" s="93" t="str">
        <f>IF($B404="Yes",COUNTIF(Reference!Q$52:Q$67,$K404),"")</f>
        <v/>
      </c>
      <c r="Z404" s="93" t="str">
        <f>IF($B404="Yes",COUNTIF(Reference!R$52:R$67,$K404),"")</f>
        <v/>
      </c>
      <c r="AA404" s="93" t="str">
        <f>IF($B404="Yes",COUNTIF(Reference!S$52:S$67,$K404),"")</f>
        <v/>
      </c>
      <c r="AB404" s="93" t="str">
        <f>IF($B404="Yes",COUNTIF(Reference!T$52:T$67,$K404),"")</f>
        <v/>
      </c>
      <c r="AC404" s="93" t="str">
        <f t="shared" si="20"/>
        <v/>
      </c>
    </row>
    <row r="405" spans="1:29" x14ac:dyDescent="0.25">
      <c r="A405" s="92">
        <v>495</v>
      </c>
      <c r="B405" s="95" t="str">
        <f t="shared" si="18"/>
        <v>No</v>
      </c>
      <c r="H405" s="92" t="str">
        <f t="shared" si="19"/>
        <v/>
      </c>
      <c r="I405" s="98"/>
      <c r="J405" s="99"/>
      <c r="K405" s="99"/>
      <c r="L405" s="99"/>
      <c r="M405" s="99"/>
      <c r="N405" s="99"/>
      <c r="O405" s="99"/>
      <c r="P405" s="99"/>
      <c r="Q405" s="99"/>
      <c r="R405" s="99"/>
      <c r="S405" s="98"/>
      <c r="T405" s="93"/>
      <c r="U405" s="93"/>
      <c r="V405" s="93"/>
      <c r="W405" s="93"/>
      <c r="X405" s="93" t="str">
        <f>IF($B405="Yes",COUNTIF(Reference!P$52:P$67,$K405),"")</f>
        <v/>
      </c>
      <c r="Y405" s="93" t="str">
        <f>IF($B405="Yes",COUNTIF(Reference!Q$52:Q$67,$K405),"")</f>
        <v/>
      </c>
      <c r="Z405" s="93" t="str">
        <f>IF($B405="Yes",COUNTIF(Reference!R$52:R$67,$K405),"")</f>
        <v/>
      </c>
      <c r="AA405" s="93" t="str">
        <f>IF($B405="Yes",COUNTIF(Reference!S$52:S$67,$K405),"")</f>
        <v/>
      </c>
      <c r="AB405" s="93" t="str">
        <f>IF($B405="Yes",COUNTIF(Reference!T$52:T$67,$K405),"")</f>
        <v/>
      </c>
      <c r="AC405" s="93" t="str">
        <f t="shared" si="20"/>
        <v/>
      </c>
    </row>
    <row r="406" spans="1:29" x14ac:dyDescent="0.25">
      <c r="A406" s="92">
        <v>496</v>
      </c>
      <c r="B406" s="95" t="str">
        <f t="shared" si="18"/>
        <v>No</v>
      </c>
      <c r="H406" s="92" t="str">
        <f t="shared" si="19"/>
        <v/>
      </c>
      <c r="I406" s="98"/>
      <c r="J406" s="99"/>
      <c r="K406" s="99"/>
      <c r="L406" s="99"/>
      <c r="M406" s="99"/>
      <c r="N406" s="99"/>
      <c r="O406" s="99"/>
      <c r="P406" s="99"/>
      <c r="Q406" s="99"/>
      <c r="R406" s="99"/>
      <c r="S406" s="98"/>
      <c r="T406" s="93"/>
      <c r="U406" s="93"/>
      <c r="V406" s="93"/>
      <c r="W406" s="93"/>
      <c r="X406" s="93" t="str">
        <f>IF($B406="Yes",COUNTIF(Reference!P$52:P$67,$K406),"")</f>
        <v/>
      </c>
      <c r="Y406" s="93" t="str">
        <f>IF($B406="Yes",COUNTIF(Reference!Q$52:Q$67,$K406),"")</f>
        <v/>
      </c>
      <c r="Z406" s="93" t="str">
        <f>IF($B406="Yes",COUNTIF(Reference!R$52:R$67,$K406),"")</f>
        <v/>
      </c>
      <c r="AA406" s="93" t="str">
        <f>IF($B406="Yes",COUNTIF(Reference!S$52:S$67,$K406),"")</f>
        <v/>
      </c>
      <c r="AB406" s="93" t="str">
        <f>IF($B406="Yes",COUNTIF(Reference!T$52:T$67,$K406),"")</f>
        <v/>
      </c>
      <c r="AC406" s="93" t="str">
        <f t="shared" si="20"/>
        <v/>
      </c>
    </row>
    <row r="407" spans="1:29" x14ac:dyDescent="0.25">
      <c r="A407" s="92">
        <v>497</v>
      </c>
      <c r="B407" s="95" t="str">
        <f t="shared" si="18"/>
        <v>No</v>
      </c>
      <c r="H407" s="92" t="str">
        <f t="shared" si="19"/>
        <v/>
      </c>
      <c r="I407" s="98"/>
      <c r="J407" s="99"/>
      <c r="K407" s="99"/>
      <c r="L407" s="99"/>
      <c r="M407" s="99"/>
      <c r="N407" s="99"/>
      <c r="O407" s="99"/>
      <c r="P407" s="99"/>
      <c r="Q407" s="99"/>
      <c r="R407" s="99"/>
      <c r="S407" s="98"/>
      <c r="T407" s="93"/>
      <c r="U407" s="93"/>
      <c r="V407" s="93"/>
      <c r="W407" s="93"/>
      <c r="X407" s="93" t="str">
        <f>IF($B407="Yes",COUNTIF(Reference!P$52:P$67,$K407),"")</f>
        <v/>
      </c>
      <c r="Y407" s="93" t="str">
        <f>IF($B407="Yes",COUNTIF(Reference!Q$52:Q$67,$K407),"")</f>
        <v/>
      </c>
      <c r="Z407" s="93" t="str">
        <f>IF($B407="Yes",COUNTIF(Reference!R$52:R$67,$K407),"")</f>
        <v/>
      </c>
      <c r="AA407" s="93" t="str">
        <f>IF($B407="Yes",COUNTIF(Reference!S$52:S$67,$K407),"")</f>
        <v/>
      </c>
      <c r="AB407" s="93" t="str">
        <f>IF($B407="Yes",COUNTIF(Reference!T$52:T$67,$K407),"")</f>
        <v/>
      </c>
      <c r="AC407" s="93" t="str">
        <f t="shared" si="20"/>
        <v/>
      </c>
    </row>
    <row r="408" spans="1:29" x14ac:dyDescent="0.25">
      <c r="A408" s="92">
        <v>498</v>
      </c>
      <c r="B408" s="95" t="str">
        <f t="shared" si="18"/>
        <v>No</v>
      </c>
      <c r="H408" s="92" t="str">
        <f t="shared" si="19"/>
        <v/>
      </c>
      <c r="I408" s="98"/>
      <c r="J408" s="99"/>
      <c r="K408" s="99"/>
      <c r="L408" s="99"/>
      <c r="M408" s="99"/>
      <c r="N408" s="99"/>
      <c r="O408" s="99"/>
      <c r="P408" s="99"/>
      <c r="Q408" s="99"/>
      <c r="R408" s="99"/>
      <c r="S408" s="98"/>
      <c r="T408" s="93"/>
      <c r="U408" s="93"/>
      <c r="V408" s="93"/>
      <c r="W408" s="93"/>
      <c r="X408" s="93" t="str">
        <f>IF($B408="Yes",COUNTIF(Reference!P$52:P$67,$K408),"")</f>
        <v/>
      </c>
      <c r="Y408" s="93" t="str">
        <f>IF($B408="Yes",COUNTIF(Reference!Q$52:Q$67,$K408),"")</f>
        <v/>
      </c>
      <c r="Z408" s="93" t="str">
        <f>IF($B408="Yes",COUNTIF(Reference!R$52:R$67,$K408),"")</f>
        <v/>
      </c>
      <c r="AA408" s="93" t="str">
        <f>IF($B408="Yes",COUNTIF(Reference!S$52:S$67,$K408),"")</f>
        <v/>
      </c>
      <c r="AB408" s="93" t="str">
        <f>IF($B408="Yes",COUNTIF(Reference!T$52:T$67,$K408),"")</f>
        <v/>
      </c>
      <c r="AC408" s="93" t="str">
        <f t="shared" si="20"/>
        <v/>
      </c>
    </row>
    <row r="409" spans="1:29" x14ac:dyDescent="0.25">
      <c r="A409" s="92">
        <v>499</v>
      </c>
      <c r="B409" s="95" t="str">
        <f t="shared" si="18"/>
        <v>No</v>
      </c>
      <c r="H409" s="92" t="str">
        <f t="shared" si="19"/>
        <v/>
      </c>
      <c r="I409" s="98"/>
      <c r="J409" s="99"/>
      <c r="K409" s="99"/>
      <c r="L409" s="99"/>
      <c r="M409" s="99"/>
      <c r="N409" s="99"/>
      <c r="O409" s="99"/>
      <c r="P409" s="99"/>
      <c r="Q409" s="99"/>
      <c r="R409" s="99"/>
      <c r="S409" s="98"/>
      <c r="T409" s="93"/>
      <c r="U409" s="93"/>
      <c r="V409" s="93"/>
      <c r="W409" s="93"/>
      <c r="X409" s="93" t="str">
        <f>IF($B409="Yes",COUNTIF(Reference!P$52:P$67,$K409),"")</f>
        <v/>
      </c>
      <c r="Y409" s="93" t="str">
        <f>IF($B409="Yes",COUNTIF(Reference!Q$52:Q$67,$K409),"")</f>
        <v/>
      </c>
      <c r="Z409" s="93" t="str">
        <f>IF($B409="Yes",COUNTIF(Reference!R$52:R$67,$K409),"")</f>
        <v/>
      </c>
      <c r="AA409" s="93" t="str">
        <f>IF($B409="Yes",COUNTIF(Reference!S$52:S$67,$K409),"")</f>
        <v/>
      </c>
      <c r="AB409" s="93" t="str">
        <f>IF($B409="Yes",COUNTIF(Reference!T$52:T$67,$K409),"")</f>
        <v/>
      </c>
      <c r="AC409" s="93" t="str">
        <f t="shared" si="20"/>
        <v/>
      </c>
    </row>
    <row r="410" spans="1:29" x14ac:dyDescent="0.25">
      <c r="A410" s="92">
        <v>500</v>
      </c>
      <c r="B410" s="95" t="str">
        <f t="shared" si="18"/>
        <v>No</v>
      </c>
      <c r="H410" s="92" t="str">
        <f t="shared" si="19"/>
        <v/>
      </c>
      <c r="I410" s="98"/>
      <c r="J410" s="99"/>
      <c r="K410" s="99"/>
      <c r="L410" s="99"/>
      <c r="M410" s="99"/>
      <c r="N410" s="99"/>
      <c r="O410" s="99"/>
      <c r="P410" s="99"/>
      <c r="Q410" s="99"/>
      <c r="R410" s="99"/>
      <c r="S410" s="98"/>
      <c r="T410" s="93"/>
      <c r="U410" s="93"/>
      <c r="V410" s="93"/>
      <c r="W410" s="93"/>
      <c r="X410" s="93" t="str">
        <f>IF($B410="Yes",COUNTIF(Reference!P$52:P$67,$K410),"")</f>
        <v/>
      </c>
      <c r="Y410" s="93" t="str">
        <f>IF($B410="Yes",COUNTIF(Reference!Q$52:Q$67,$K410),"")</f>
        <v/>
      </c>
      <c r="Z410" s="93" t="str">
        <f>IF($B410="Yes",COUNTIF(Reference!R$52:R$67,$K410),"")</f>
        <v/>
      </c>
      <c r="AA410" s="93" t="str">
        <f>IF($B410="Yes",COUNTIF(Reference!S$52:S$67,$K410),"")</f>
        <v/>
      </c>
      <c r="AB410" s="93" t="str">
        <f>IF($B410="Yes",COUNTIF(Reference!T$52:T$67,$K410),"")</f>
        <v/>
      </c>
      <c r="AC410" s="93" t="str">
        <f t="shared" si="20"/>
        <v/>
      </c>
    </row>
    <row r="411" spans="1:29" x14ac:dyDescent="0.25">
      <c r="A411" s="92">
        <v>501</v>
      </c>
      <c r="B411" s="95" t="str">
        <f t="shared" si="18"/>
        <v>No</v>
      </c>
      <c r="H411" s="92" t="str">
        <f t="shared" si="19"/>
        <v/>
      </c>
      <c r="I411" s="98"/>
      <c r="J411" s="99"/>
      <c r="K411" s="99"/>
      <c r="L411" s="99"/>
      <c r="M411" s="99"/>
      <c r="N411" s="99"/>
      <c r="O411" s="99"/>
      <c r="P411" s="99"/>
      <c r="Q411" s="99"/>
      <c r="R411" s="99"/>
      <c r="S411" s="98"/>
      <c r="T411" s="93"/>
      <c r="U411" s="93"/>
      <c r="V411" s="93"/>
      <c r="W411" s="93"/>
      <c r="X411" s="93" t="str">
        <f>IF($B411="Yes",COUNTIF(Reference!P$52:P$67,$K411),"")</f>
        <v/>
      </c>
      <c r="Y411" s="93" t="str">
        <f>IF($B411="Yes",COUNTIF(Reference!Q$52:Q$67,$K411),"")</f>
        <v/>
      </c>
      <c r="Z411" s="93" t="str">
        <f>IF($B411="Yes",COUNTIF(Reference!R$52:R$67,$K411),"")</f>
        <v/>
      </c>
      <c r="AA411" s="93" t="str">
        <f>IF($B411="Yes",COUNTIF(Reference!S$52:S$67,$K411),"")</f>
        <v/>
      </c>
      <c r="AB411" s="93" t="str">
        <f>IF($B411="Yes",COUNTIF(Reference!T$52:T$67,$K411),"")</f>
        <v/>
      </c>
      <c r="AC411" s="93" t="str">
        <f t="shared" si="20"/>
        <v/>
      </c>
    </row>
    <row r="412" spans="1:29" x14ac:dyDescent="0.25">
      <c r="A412" s="92">
        <v>502</v>
      </c>
      <c r="B412" s="95" t="str">
        <f t="shared" si="18"/>
        <v>No</v>
      </c>
      <c r="H412" s="92" t="str">
        <f t="shared" si="19"/>
        <v/>
      </c>
      <c r="I412" s="98"/>
      <c r="J412" s="99"/>
      <c r="K412" s="99"/>
      <c r="L412" s="99"/>
      <c r="M412" s="99"/>
      <c r="N412" s="99"/>
      <c r="O412" s="99"/>
      <c r="P412" s="99"/>
      <c r="Q412" s="99"/>
      <c r="R412" s="99"/>
      <c r="S412" s="98"/>
      <c r="T412" s="93"/>
      <c r="U412" s="93"/>
      <c r="V412" s="93"/>
      <c r="W412" s="93"/>
      <c r="X412" s="93" t="str">
        <f>IF($B412="Yes",COUNTIF(Reference!P$52:P$67,$K412),"")</f>
        <v/>
      </c>
      <c r="Y412" s="93" t="str">
        <f>IF($B412="Yes",COUNTIF(Reference!Q$52:Q$67,$K412),"")</f>
        <v/>
      </c>
      <c r="Z412" s="93" t="str">
        <f>IF($B412="Yes",COUNTIF(Reference!R$52:R$67,$K412),"")</f>
        <v/>
      </c>
      <c r="AA412" s="93" t="str">
        <f>IF($B412="Yes",COUNTIF(Reference!S$52:S$67,$K412),"")</f>
        <v/>
      </c>
      <c r="AB412" s="93" t="str">
        <f>IF($B412="Yes",COUNTIF(Reference!T$52:T$67,$K412),"")</f>
        <v/>
      </c>
      <c r="AC412" s="93" t="str">
        <f t="shared" si="20"/>
        <v/>
      </c>
    </row>
    <row r="413" spans="1:29" x14ac:dyDescent="0.25">
      <c r="A413" s="92">
        <v>503</v>
      </c>
      <c r="B413" s="95" t="str">
        <f t="shared" si="18"/>
        <v>No</v>
      </c>
      <c r="H413" s="92" t="str">
        <f t="shared" si="19"/>
        <v/>
      </c>
      <c r="I413" s="98"/>
      <c r="J413" s="99"/>
      <c r="K413" s="99"/>
      <c r="L413" s="99"/>
      <c r="M413" s="99"/>
      <c r="N413" s="99"/>
      <c r="O413" s="99"/>
      <c r="P413" s="99"/>
      <c r="Q413" s="99"/>
      <c r="R413" s="99"/>
      <c r="S413" s="98"/>
      <c r="T413" s="93"/>
      <c r="U413" s="93"/>
      <c r="V413" s="93"/>
      <c r="W413" s="93"/>
      <c r="X413" s="93" t="str">
        <f>IF($B413="Yes",COUNTIF(Reference!P$52:P$67,$K413),"")</f>
        <v/>
      </c>
      <c r="Y413" s="93" t="str">
        <f>IF($B413="Yes",COUNTIF(Reference!Q$52:Q$67,$K413),"")</f>
        <v/>
      </c>
      <c r="Z413" s="93" t="str">
        <f>IF($B413="Yes",COUNTIF(Reference!R$52:R$67,$K413),"")</f>
        <v/>
      </c>
      <c r="AA413" s="93" t="str">
        <f>IF($B413="Yes",COUNTIF(Reference!S$52:S$67,$K413),"")</f>
        <v/>
      </c>
      <c r="AB413" s="93" t="str">
        <f>IF($B413="Yes",COUNTIF(Reference!T$52:T$67,$K413),"")</f>
        <v/>
      </c>
      <c r="AC413" s="93" t="str">
        <f t="shared" si="20"/>
        <v/>
      </c>
    </row>
    <row r="414" spans="1:29" x14ac:dyDescent="0.25">
      <c r="A414" s="92">
        <v>504</v>
      </c>
      <c r="B414" s="95" t="str">
        <f t="shared" si="18"/>
        <v>No</v>
      </c>
      <c r="H414" s="92" t="str">
        <f t="shared" si="19"/>
        <v/>
      </c>
      <c r="I414" s="98"/>
      <c r="J414" s="99"/>
      <c r="K414" s="99"/>
      <c r="L414" s="99"/>
      <c r="M414" s="99"/>
      <c r="N414" s="99"/>
      <c r="O414" s="99"/>
      <c r="P414" s="99"/>
      <c r="Q414" s="99"/>
      <c r="R414" s="99"/>
      <c r="S414" s="98"/>
      <c r="T414" s="93"/>
      <c r="U414" s="93"/>
      <c r="V414" s="93"/>
      <c r="W414" s="93"/>
      <c r="X414" s="93" t="str">
        <f>IF($B414="Yes",COUNTIF(Reference!P$52:P$67,$K414),"")</f>
        <v/>
      </c>
      <c r="Y414" s="93" t="str">
        <f>IF($B414="Yes",COUNTIF(Reference!Q$52:Q$67,$K414),"")</f>
        <v/>
      </c>
      <c r="Z414" s="93" t="str">
        <f>IF($B414="Yes",COUNTIF(Reference!R$52:R$67,$K414),"")</f>
        <v/>
      </c>
      <c r="AA414" s="93" t="str">
        <f>IF($B414="Yes",COUNTIF(Reference!S$52:S$67,$K414),"")</f>
        <v/>
      </c>
      <c r="AB414" s="93" t="str">
        <f>IF($B414="Yes",COUNTIF(Reference!T$52:T$67,$K414),"")</f>
        <v/>
      </c>
      <c r="AC414" s="93" t="str">
        <f t="shared" si="20"/>
        <v/>
      </c>
    </row>
    <row r="415" spans="1:29" x14ac:dyDescent="0.25">
      <c r="A415" s="92">
        <v>505</v>
      </c>
      <c r="B415" s="95" t="str">
        <f t="shared" si="18"/>
        <v>No</v>
      </c>
      <c r="H415" s="92" t="str">
        <f t="shared" si="19"/>
        <v/>
      </c>
      <c r="I415" s="98"/>
      <c r="J415" s="99"/>
      <c r="K415" s="99"/>
      <c r="L415" s="99"/>
      <c r="M415" s="99"/>
      <c r="N415" s="99"/>
      <c r="O415" s="99"/>
      <c r="P415" s="99"/>
      <c r="Q415" s="99"/>
      <c r="R415" s="99"/>
      <c r="S415" s="98"/>
      <c r="T415" s="93"/>
      <c r="U415" s="93"/>
      <c r="V415" s="93"/>
      <c r="W415" s="93"/>
      <c r="X415" s="93" t="str">
        <f>IF($B415="Yes",COUNTIF(Reference!P$52:P$67,$K415),"")</f>
        <v/>
      </c>
      <c r="Y415" s="93" t="str">
        <f>IF($B415="Yes",COUNTIF(Reference!Q$52:Q$67,$K415),"")</f>
        <v/>
      </c>
      <c r="Z415" s="93" t="str">
        <f>IF($B415="Yes",COUNTIF(Reference!R$52:R$67,$K415),"")</f>
        <v/>
      </c>
      <c r="AA415" s="93" t="str">
        <f>IF($B415="Yes",COUNTIF(Reference!S$52:S$67,$K415),"")</f>
        <v/>
      </c>
      <c r="AB415" s="93" t="str">
        <f>IF($B415="Yes",COUNTIF(Reference!T$52:T$67,$K415),"")</f>
        <v/>
      </c>
      <c r="AC415" s="93" t="str">
        <f t="shared" si="20"/>
        <v/>
      </c>
    </row>
    <row r="416" spans="1:29" x14ac:dyDescent="0.25">
      <c r="A416" s="92">
        <v>506</v>
      </c>
      <c r="B416" s="95" t="str">
        <f t="shared" si="18"/>
        <v>No</v>
      </c>
      <c r="H416" s="92" t="str">
        <f t="shared" si="19"/>
        <v/>
      </c>
      <c r="I416" s="98"/>
      <c r="J416" s="99"/>
      <c r="K416" s="99"/>
      <c r="L416" s="99"/>
      <c r="M416" s="99"/>
      <c r="N416" s="99"/>
      <c r="O416" s="99"/>
      <c r="P416" s="99"/>
      <c r="Q416" s="99"/>
      <c r="R416" s="99"/>
      <c r="S416" s="98"/>
      <c r="T416" s="93"/>
      <c r="U416" s="93"/>
      <c r="V416" s="93"/>
      <c r="W416" s="93"/>
      <c r="X416" s="93" t="str">
        <f>IF($B416="Yes",COUNTIF(Reference!P$52:P$67,$K416),"")</f>
        <v/>
      </c>
      <c r="Y416" s="93" t="str">
        <f>IF($B416="Yes",COUNTIF(Reference!Q$52:Q$67,$K416),"")</f>
        <v/>
      </c>
      <c r="Z416" s="93" t="str">
        <f>IF($B416="Yes",COUNTIF(Reference!R$52:R$67,$K416),"")</f>
        <v/>
      </c>
      <c r="AA416" s="93" t="str">
        <f>IF($B416="Yes",COUNTIF(Reference!S$52:S$67,$K416),"")</f>
        <v/>
      </c>
      <c r="AB416" s="93" t="str">
        <f>IF($B416="Yes",COUNTIF(Reference!T$52:T$67,$K416),"")</f>
        <v/>
      </c>
      <c r="AC416" s="93" t="str">
        <f t="shared" si="20"/>
        <v/>
      </c>
    </row>
    <row r="417" spans="1:29" x14ac:dyDescent="0.25">
      <c r="A417" s="92">
        <v>507</v>
      </c>
      <c r="B417" s="95" t="str">
        <f t="shared" si="18"/>
        <v>No</v>
      </c>
      <c r="H417" s="92" t="str">
        <f t="shared" si="19"/>
        <v/>
      </c>
      <c r="I417" s="98"/>
      <c r="J417" s="99"/>
      <c r="K417" s="99"/>
      <c r="L417" s="99"/>
      <c r="M417" s="99"/>
      <c r="N417" s="99"/>
      <c r="O417" s="99"/>
      <c r="P417" s="99"/>
      <c r="Q417" s="99"/>
      <c r="R417" s="99"/>
      <c r="S417" s="98"/>
      <c r="T417" s="93"/>
      <c r="U417" s="93"/>
      <c r="V417" s="93"/>
      <c r="W417" s="93"/>
      <c r="X417" s="93" t="str">
        <f>IF($B417="Yes",COUNTIF(Reference!P$52:P$67,$K417),"")</f>
        <v/>
      </c>
      <c r="Y417" s="93" t="str">
        <f>IF($B417="Yes",COUNTIF(Reference!Q$52:Q$67,$K417),"")</f>
        <v/>
      </c>
      <c r="Z417" s="93" t="str">
        <f>IF($B417="Yes",COUNTIF(Reference!R$52:R$67,$K417),"")</f>
        <v/>
      </c>
      <c r="AA417" s="93" t="str">
        <f>IF($B417="Yes",COUNTIF(Reference!S$52:S$67,$K417),"")</f>
        <v/>
      </c>
      <c r="AB417" s="93" t="str">
        <f>IF($B417="Yes",COUNTIF(Reference!T$52:T$67,$K417),"")</f>
        <v/>
      </c>
      <c r="AC417" s="93" t="str">
        <f t="shared" si="20"/>
        <v/>
      </c>
    </row>
    <row r="418" spans="1:29" x14ac:dyDescent="0.25">
      <c r="A418" s="92">
        <v>508</v>
      </c>
      <c r="B418" s="95" t="str">
        <f t="shared" si="18"/>
        <v>No</v>
      </c>
      <c r="H418" s="92" t="str">
        <f t="shared" si="19"/>
        <v/>
      </c>
      <c r="I418" s="98"/>
      <c r="J418" s="99"/>
      <c r="K418" s="99"/>
      <c r="L418" s="99"/>
      <c r="M418" s="99"/>
      <c r="N418" s="99"/>
      <c r="O418" s="99"/>
      <c r="P418" s="99"/>
      <c r="Q418" s="99"/>
      <c r="R418" s="99"/>
      <c r="S418" s="98"/>
      <c r="T418" s="93"/>
      <c r="U418" s="93"/>
      <c r="V418" s="93"/>
      <c r="W418" s="93"/>
      <c r="X418" s="93" t="str">
        <f>IF($B418="Yes",COUNTIF(Reference!P$52:P$67,$K418),"")</f>
        <v/>
      </c>
      <c r="Y418" s="93" t="str">
        <f>IF($B418="Yes",COUNTIF(Reference!Q$52:Q$67,$K418),"")</f>
        <v/>
      </c>
      <c r="Z418" s="93" t="str">
        <f>IF($B418="Yes",COUNTIF(Reference!R$52:R$67,$K418),"")</f>
        <v/>
      </c>
      <c r="AA418" s="93" t="str">
        <f>IF($B418="Yes",COUNTIF(Reference!S$52:S$67,$K418),"")</f>
        <v/>
      </c>
      <c r="AB418" s="93" t="str">
        <f>IF($B418="Yes",COUNTIF(Reference!T$52:T$67,$K418),"")</f>
        <v/>
      </c>
      <c r="AC418" s="93" t="str">
        <f t="shared" si="20"/>
        <v/>
      </c>
    </row>
    <row r="419" spans="1:29" x14ac:dyDescent="0.25">
      <c r="A419" s="92">
        <v>509</v>
      </c>
      <c r="B419" s="95" t="str">
        <f t="shared" si="18"/>
        <v>No</v>
      </c>
      <c r="H419" s="92" t="str">
        <f t="shared" si="19"/>
        <v/>
      </c>
      <c r="I419" s="98"/>
      <c r="J419" s="99"/>
      <c r="K419" s="99"/>
      <c r="L419" s="99"/>
      <c r="M419" s="99"/>
      <c r="N419" s="99"/>
      <c r="O419" s="99"/>
      <c r="P419" s="99"/>
      <c r="Q419" s="99"/>
      <c r="R419" s="99"/>
      <c r="S419" s="98"/>
      <c r="T419" s="93"/>
      <c r="U419" s="93"/>
      <c r="V419" s="93"/>
      <c r="W419" s="93"/>
      <c r="X419" s="93" t="str">
        <f>IF($B419="Yes",COUNTIF(Reference!P$52:P$67,$K419),"")</f>
        <v/>
      </c>
      <c r="Y419" s="93" t="str">
        <f>IF($B419="Yes",COUNTIF(Reference!Q$52:Q$67,$K419),"")</f>
        <v/>
      </c>
      <c r="Z419" s="93" t="str">
        <f>IF($B419="Yes",COUNTIF(Reference!R$52:R$67,$K419),"")</f>
        <v/>
      </c>
      <c r="AA419" s="93" t="str">
        <f>IF($B419="Yes",COUNTIF(Reference!S$52:S$67,$K419),"")</f>
        <v/>
      </c>
      <c r="AB419" s="93" t="str">
        <f>IF($B419="Yes",COUNTIF(Reference!T$52:T$67,$K419),"")</f>
        <v/>
      </c>
      <c r="AC419" s="93" t="str">
        <f t="shared" si="20"/>
        <v/>
      </c>
    </row>
    <row r="420" spans="1:29" x14ac:dyDescent="0.25">
      <c r="A420" s="92">
        <v>510</v>
      </c>
      <c r="B420" s="95" t="str">
        <f t="shared" si="18"/>
        <v>No</v>
      </c>
      <c r="H420" s="92" t="str">
        <f t="shared" si="19"/>
        <v/>
      </c>
      <c r="I420" s="98"/>
      <c r="J420" s="99"/>
      <c r="K420" s="99"/>
      <c r="L420" s="99"/>
      <c r="M420" s="99"/>
      <c r="N420" s="99"/>
      <c r="O420" s="99"/>
      <c r="P420" s="99"/>
      <c r="Q420" s="99"/>
      <c r="R420" s="99"/>
      <c r="S420" s="98"/>
      <c r="T420" s="93"/>
      <c r="U420" s="93"/>
      <c r="V420" s="93"/>
      <c r="W420" s="93"/>
      <c r="X420" s="93" t="str">
        <f>IF($B420="Yes",COUNTIF(Reference!P$52:P$67,$K420),"")</f>
        <v/>
      </c>
      <c r="Y420" s="93" t="str">
        <f>IF($B420="Yes",COUNTIF(Reference!Q$52:Q$67,$K420),"")</f>
        <v/>
      </c>
      <c r="Z420" s="93" t="str">
        <f>IF($B420="Yes",COUNTIF(Reference!R$52:R$67,$K420),"")</f>
        <v/>
      </c>
      <c r="AA420" s="93" t="str">
        <f>IF($B420="Yes",COUNTIF(Reference!S$52:S$67,$K420),"")</f>
        <v/>
      </c>
      <c r="AB420" s="93" t="str">
        <f>IF($B420="Yes",COUNTIF(Reference!T$52:T$67,$K420),"")</f>
        <v/>
      </c>
      <c r="AC420" s="93" t="str">
        <f t="shared" si="20"/>
        <v/>
      </c>
    </row>
    <row r="421" spans="1:29" x14ac:dyDescent="0.25">
      <c r="A421" s="92">
        <v>511</v>
      </c>
      <c r="B421" s="95" t="str">
        <f t="shared" si="18"/>
        <v>No</v>
      </c>
      <c r="H421" s="92" t="str">
        <f t="shared" si="19"/>
        <v/>
      </c>
      <c r="I421" s="98"/>
      <c r="J421" s="99"/>
      <c r="K421" s="99"/>
      <c r="L421" s="99"/>
      <c r="M421" s="99"/>
      <c r="N421" s="99"/>
      <c r="O421" s="99"/>
      <c r="P421" s="99"/>
      <c r="Q421" s="99"/>
      <c r="R421" s="99"/>
      <c r="S421" s="98"/>
      <c r="T421" s="93"/>
      <c r="U421" s="93"/>
      <c r="V421" s="93"/>
      <c r="W421" s="93"/>
      <c r="X421" s="93" t="str">
        <f>IF($B421="Yes",COUNTIF(Reference!P$52:P$67,$K421),"")</f>
        <v/>
      </c>
      <c r="Y421" s="93" t="str">
        <f>IF($B421="Yes",COUNTIF(Reference!Q$52:Q$67,$K421),"")</f>
        <v/>
      </c>
      <c r="Z421" s="93" t="str">
        <f>IF($B421="Yes",COUNTIF(Reference!R$52:R$67,$K421),"")</f>
        <v/>
      </c>
      <c r="AA421" s="93" t="str">
        <f>IF($B421="Yes",COUNTIF(Reference!S$52:S$67,$K421),"")</f>
        <v/>
      </c>
      <c r="AB421" s="93" t="str">
        <f>IF($B421="Yes",COUNTIF(Reference!T$52:T$67,$K421),"")</f>
        <v/>
      </c>
      <c r="AC421" s="93" t="str">
        <f t="shared" si="20"/>
        <v/>
      </c>
    </row>
    <row r="422" spans="1:29" x14ac:dyDescent="0.25">
      <c r="A422" s="92">
        <v>512</v>
      </c>
      <c r="B422" s="95" t="str">
        <f t="shared" si="18"/>
        <v>No</v>
      </c>
      <c r="H422" s="92" t="str">
        <f t="shared" si="19"/>
        <v/>
      </c>
      <c r="I422" s="98"/>
      <c r="J422" s="99"/>
      <c r="K422" s="99"/>
      <c r="L422" s="99"/>
      <c r="M422" s="99"/>
      <c r="N422" s="99"/>
      <c r="O422" s="99"/>
      <c r="P422" s="99"/>
      <c r="Q422" s="99"/>
      <c r="R422" s="99"/>
      <c r="S422" s="98"/>
      <c r="T422" s="93"/>
      <c r="U422" s="93"/>
      <c r="V422" s="93"/>
      <c r="W422" s="93"/>
      <c r="X422" s="93" t="str">
        <f>IF($B422="Yes",COUNTIF(Reference!P$52:P$67,$K422),"")</f>
        <v/>
      </c>
      <c r="Y422" s="93" t="str">
        <f>IF($B422="Yes",COUNTIF(Reference!Q$52:Q$67,$K422),"")</f>
        <v/>
      </c>
      <c r="Z422" s="93" t="str">
        <f>IF($B422="Yes",COUNTIF(Reference!R$52:R$67,$K422),"")</f>
        <v/>
      </c>
      <c r="AA422" s="93" t="str">
        <f>IF($B422="Yes",COUNTIF(Reference!S$52:S$67,$K422),"")</f>
        <v/>
      </c>
      <c r="AB422" s="93" t="str">
        <f>IF($B422="Yes",COUNTIF(Reference!T$52:T$67,$K422),"")</f>
        <v/>
      </c>
      <c r="AC422" s="93" t="str">
        <f t="shared" si="20"/>
        <v/>
      </c>
    </row>
    <row r="423" spans="1:29" x14ac:dyDescent="0.25">
      <c r="A423" s="92">
        <v>513</v>
      </c>
      <c r="B423" s="95" t="str">
        <f t="shared" si="18"/>
        <v>No</v>
      </c>
      <c r="H423" s="92" t="str">
        <f t="shared" si="19"/>
        <v/>
      </c>
      <c r="I423" s="98"/>
      <c r="J423" s="99"/>
      <c r="K423" s="99"/>
      <c r="L423" s="99"/>
      <c r="M423" s="99"/>
      <c r="N423" s="99"/>
      <c r="O423" s="99"/>
      <c r="P423" s="99"/>
      <c r="Q423" s="99"/>
      <c r="R423" s="99"/>
      <c r="S423" s="98"/>
      <c r="T423" s="93"/>
      <c r="U423" s="93"/>
      <c r="V423" s="93"/>
      <c r="W423" s="93"/>
      <c r="X423" s="93" t="str">
        <f>IF($B423="Yes",COUNTIF(Reference!P$52:P$67,$K423),"")</f>
        <v/>
      </c>
      <c r="Y423" s="93" t="str">
        <f>IF($B423="Yes",COUNTIF(Reference!Q$52:Q$67,$K423),"")</f>
        <v/>
      </c>
      <c r="Z423" s="93" t="str">
        <f>IF($B423="Yes",COUNTIF(Reference!R$52:R$67,$K423),"")</f>
        <v/>
      </c>
      <c r="AA423" s="93" t="str">
        <f>IF($B423="Yes",COUNTIF(Reference!S$52:S$67,$K423),"")</f>
        <v/>
      </c>
      <c r="AB423" s="93" t="str">
        <f>IF($B423="Yes",COUNTIF(Reference!T$52:T$67,$K423),"")</f>
        <v/>
      </c>
      <c r="AC423" s="93" t="str">
        <f t="shared" si="20"/>
        <v/>
      </c>
    </row>
    <row r="424" spans="1:29" x14ac:dyDescent="0.25">
      <c r="A424" s="92">
        <v>514</v>
      </c>
      <c r="B424" s="95" t="str">
        <f t="shared" si="18"/>
        <v>No</v>
      </c>
      <c r="H424" s="92" t="str">
        <f t="shared" si="19"/>
        <v/>
      </c>
      <c r="I424" s="98"/>
      <c r="J424" s="99"/>
      <c r="K424" s="99"/>
      <c r="L424" s="99"/>
      <c r="M424" s="99"/>
      <c r="N424" s="99"/>
      <c r="O424" s="99"/>
      <c r="P424" s="99"/>
      <c r="Q424" s="99"/>
      <c r="R424" s="99"/>
      <c r="S424" s="98"/>
      <c r="T424" s="93"/>
      <c r="U424" s="93"/>
      <c r="V424" s="93"/>
      <c r="W424" s="93"/>
      <c r="X424" s="93" t="str">
        <f>IF($B424="Yes",COUNTIF(Reference!P$52:P$67,$K424),"")</f>
        <v/>
      </c>
      <c r="Y424" s="93" t="str">
        <f>IF($B424="Yes",COUNTIF(Reference!Q$52:Q$67,$K424),"")</f>
        <v/>
      </c>
      <c r="Z424" s="93" t="str">
        <f>IF($B424="Yes",COUNTIF(Reference!R$52:R$67,$K424),"")</f>
        <v/>
      </c>
      <c r="AA424" s="93" t="str">
        <f>IF($B424="Yes",COUNTIF(Reference!S$52:S$67,$K424),"")</f>
        <v/>
      </c>
      <c r="AB424" s="93" t="str">
        <f>IF($B424="Yes",COUNTIF(Reference!T$52:T$67,$K424),"")</f>
        <v/>
      </c>
      <c r="AC424" s="93" t="str">
        <f t="shared" si="20"/>
        <v/>
      </c>
    </row>
    <row r="425" spans="1:29" x14ac:dyDescent="0.25">
      <c r="A425" s="92">
        <v>515</v>
      </c>
      <c r="B425" s="95" t="str">
        <f t="shared" si="18"/>
        <v>No</v>
      </c>
      <c r="H425" s="92" t="str">
        <f t="shared" si="19"/>
        <v/>
      </c>
      <c r="I425" s="98"/>
      <c r="J425" s="99"/>
      <c r="K425" s="99"/>
      <c r="L425" s="99"/>
      <c r="M425" s="99"/>
      <c r="N425" s="99"/>
      <c r="O425" s="99"/>
      <c r="P425" s="99"/>
      <c r="Q425" s="99"/>
      <c r="R425" s="99"/>
      <c r="S425" s="98"/>
      <c r="T425" s="93"/>
      <c r="U425" s="93"/>
      <c r="V425" s="93"/>
      <c r="W425" s="93"/>
      <c r="X425" s="93" t="str">
        <f>IF($B425="Yes",COUNTIF(Reference!P$52:P$67,$K425),"")</f>
        <v/>
      </c>
      <c r="Y425" s="93" t="str">
        <f>IF($B425="Yes",COUNTIF(Reference!Q$52:Q$67,$K425),"")</f>
        <v/>
      </c>
      <c r="Z425" s="93" t="str">
        <f>IF($B425="Yes",COUNTIF(Reference!R$52:R$67,$K425),"")</f>
        <v/>
      </c>
      <c r="AA425" s="93" t="str">
        <f>IF($B425="Yes",COUNTIF(Reference!S$52:S$67,$K425),"")</f>
        <v/>
      </c>
      <c r="AB425" s="93" t="str">
        <f>IF($B425="Yes",COUNTIF(Reference!T$52:T$67,$K425),"")</f>
        <v/>
      </c>
      <c r="AC425" s="93" t="str">
        <f t="shared" si="20"/>
        <v/>
      </c>
    </row>
    <row r="426" spans="1:29" x14ac:dyDescent="0.25">
      <c r="A426" s="92">
        <v>516</v>
      </c>
      <c r="B426" s="95" t="str">
        <f t="shared" si="18"/>
        <v>No</v>
      </c>
      <c r="H426" s="92" t="str">
        <f t="shared" si="19"/>
        <v/>
      </c>
      <c r="I426" s="98"/>
      <c r="J426" s="99"/>
      <c r="K426" s="99"/>
      <c r="L426" s="99"/>
      <c r="M426" s="99"/>
      <c r="N426" s="99"/>
      <c r="O426" s="99"/>
      <c r="P426" s="99"/>
      <c r="Q426" s="99"/>
      <c r="R426" s="99"/>
      <c r="S426" s="98"/>
      <c r="T426" s="93"/>
      <c r="U426" s="93"/>
      <c r="V426" s="93"/>
      <c r="W426" s="93"/>
      <c r="X426" s="93" t="str">
        <f>IF($B426="Yes",COUNTIF(Reference!P$52:P$67,$K426),"")</f>
        <v/>
      </c>
      <c r="Y426" s="93" t="str">
        <f>IF($B426="Yes",COUNTIF(Reference!Q$52:Q$67,$K426),"")</f>
        <v/>
      </c>
      <c r="Z426" s="93" t="str">
        <f>IF($B426="Yes",COUNTIF(Reference!R$52:R$67,$K426),"")</f>
        <v/>
      </c>
      <c r="AA426" s="93" t="str">
        <f>IF($B426="Yes",COUNTIF(Reference!S$52:S$67,$K426),"")</f>
        <v/>
      </c>
      <c r="AB426" s="93" t="str">
        <f>IF($B426="Yes",COUNTIF(Reference!T$52:T$67,$K426),"")</f>
        <v/>
      </c>
      <c r="AC426" s="93" t="str">
        <f t="shared" si="20"/>
        <v/>
      </c>
    </row>
    <row r="427" spans="1:29" x14ac:dyDescent="0.25">
      <c r="A427" s="92">
        <v>517</v>
      </c>
      <c r="B427" s="95" t="str">
        <f t="shared" si="18"/>
        <v>No</v>
      </c>
      <c r="H427" s="92" t="str">
        <f t="shared" si="19"/>
        <v/>
      </c>
      <c r="I427" s="98"/>
      <c r="J427" s="99"/>
      <c r="K427" s="99"/>
      <c r="L427" s="99"/>
      <c r="M427" s="99"/>
      <c r="N427" s="99"/>
      <c r="O427" s="99"/>
      <c r="P427" s="99"/>
      <c r="Q427" s="99"/>
      <c r="R427" s="99"/>
      <c r="S427" s="98"/>
      <c r="T427" s="93"/>
      <c r="U427" s="93"/>
      <c r="V427" s="93"/>
      <c r="W427" s="93"/>
      <c r="X427" s="93" t="str">
        <f>IF($B427="Yes",COUNTIF(Reference!P$52:P$67,$K427),"")</f>
        <v/>
      </c>
      <c r="Y427" s="93" t="str">
        <f>IF($B427="Yes",COUNTIF(Reference!Q$52:Q$67,$K427),"")</f>
        <v/>
      </c>
      <c r="Z427" s="93" t="str">
        <f>IF($B427="Yes",COUNTIF(Reference!R$52:R$67,$K427),"")</f>
        <v/>
      </c>
      <c r="AA427" s="93" t="str">
        <f>IF($B427="Yes",COUNTIF(Reference!S$52:S$67,$K427),"")</f>
        <v/>
      </c>
      <c r="AB427" s="93" t="str">
        <f>IF($B427="Yes",COUNTIF(Reference!T$52:T$67,$K427),"")</f>
        <v/>
      </c>
      <c r="AC427" s="93" t="str">
        <f t="shared" si="20"/>
        <v/>
      </c>
    </row>
    <row r="428" spans="1:29" x14ac:dyDescent="0.25">
      <c r="A428" s="92">
        <v>518</v>
      </c>
      <c r="B428" s="95" t="str">
        <f t="shared" si="18"/>
        <v>No</v>
      </c>
      <c r="H428" s="92" t="str">
        <f t="shared" si="19"/>
        <v/>
      </c>
      <c r="I428" s="98"/>
      <c r="J428" s="99"/>
      <c r="K428" s="99"/>
      <c r="L428" s="99"/>
      <c r="M428" s="99"/>
      <c r="N428" s="99"/>
      <c r="O428" s="99"/>
      <c r="P428" s="99"/>
      <c r="Q428" s="99"/>
      <c r="R428" s="99"/>
      <c r="S428" s="98"/>
      <c r="T428" s="93"/>
      <c r="U428" s="93"/>
      <c r="V428" s="93"/>
      <c r="W428" s="93"/>
      <c r="X428" s="93" t="str">
        <f>IF($B428="Yes",COUNTIF(Reference!P$52:P$67,$K428),"")</f>
        <v/>
      </c>
      <c r="Y428" s="93" t="str">
        <f>IF($B428="Yes",COUNTIF(Reference!Q$52:Q$67,$K428),"")</f>
        <v/>
      </c>
      <c r="Z428" s="93" t="str">
        <f>IF($B428="Yes",COUNTIF(Reference!R$52:R$67,$K428),"")</f>
        <v/>
      </c>
      <c r="AA428" s="93" t="str">
        <f>IF($B428="Yes",COUNTIF(Reference!S$52:S$67,$K428),"")</f>
        <v/>
      </c>
      <c r="AB428" s="93" t="str">
        <f>IF($B428="Yes",COUNTIF(Reference!T$52:T$67,$K428),"")</f>
        <v/>
      </c>
      <c r="AC428" s="93" t="str">
        <f t="shared" si="20"/>
        <v/>
      </c>
    </row>
    <row r="429" spans="1:29" x14ac:dyDescent="0.25">
      <c r="A429" s="92">
        <v>519</v>
      </c>
      <c r="B429" s="95" t="str">
        <f t="shared" si="18"/>
        <v>No</v>
      </c>
      <c r="H429" s="92" t="str">
        <f t="shared" si="19"/>
        <v/>
      </c>
      <c r="I429" s="98"/>
      <c r="J429" s="99"/>
      <c r="K429" s="99"/>
      <c r="L429" s="99"/>
      <c r="M429" s="99"/>
      <c r="N429" s="99"/>
      <c r="O429" s="99"/>
      <c r="P429" s="99"/>
      <c r="Q429" s="99"/>
      <c r="R429" s="99"/>
      <c r="S429" s="98"/>
      <c r="T429" s="93"/>
      <c r="U429" s="93"/>
      <c r="V429" s="93"/>
      <c r="W429" s="93"/>
      <c r="X429" s="93" t="str">
        <f>IF($B429="Yes",COUNTIF(Reference!P$52:P$67,$K429),"")</f>
        <v/>
      </c>
      <c r="Y429" s="93" t="str">
        <f>IF($B429="Yes",COUNTIF(Reference!Q$52:Q$67,$K429),"")</f>
        <v/>
      </c>
      <c r="Z429" s="93" t="str">
        <f>IF($B429="Yes",COUNTIF(Reference!R$52:R$67,$K429),"")</f>
        <v/>
      </c>
      <c r="AA429" s="93" t="str">
        <f>IF($B429="Yes",COUNTIF(Reference!S$52:S$67,$K429),"")</f>
        <v/>
      </c>
      <c r="AB429" s="93" t="str">
        <f>IF($B429="Yes",COUNTIF(Reference!T$52:T$67,$K429),"")</f>
        <v/>
      </c>
      <c r="AC429" s="93" t="str">
        <f t="shared" si="20"/>
        <v/>
      </c>
    </row>
    <row r="430" spans="1:29" x14ac:dyDescent="0.25">
      <c r="A430" s="92">
        <v>520</v>
      </c>
      <c r="B430" s="95" t="str">
        <f t="shared" si="18"/>
        <v>No</v>
      </c>
      <c r="H430" s="92" t="str">
        <f t="shared" si="19"/>
        <v/>
      </c>
      <c r="I430" s="98"/>
      <c r="J430" s="99"/>
      <c r="K430" s="99"/>
      <c r="L430" s="99"/>
      <c r="M430" s="99"/>
      <c r="N430" s="99"/>
      <c r="O430" s="99"/>
      <c r="P430" s="99"/>
      <c r="Q430" s="99"/>
      <c r="R430" s="99"/>
      <c r="S430" s="98"/>
      <c r="T430" s="93"/>
      <c r="U430" s="93"/>
      <c r="V430" s="93"/>
      <c r="W430" s="93"/>
      <c r="X430" s="93" t="str">
        <f>IF($B430="Yes",COUNTIF(Reference!P$52:P$67,$K430),"")</f>
        <v/>
      </c>
      <c r="Y430" s="93" t="str">
        <f>IF($B430="Yes",COUNTIF(Reference!Q$52:Q$67,$K430),"")</f>
        <v/>
      </c>
      <c r="Z430" s="93" t="str">
        <f>IF($B430="Yes",COUNTIF(Reference!R$52:R$67,$K430),"")</f>
        <v/>
      </c>
      <c r="AA430" s="93" t="str">
        <f>IF($B430="Yes",COUNTIF(Reference!S$52:S$67,$K430),"")</f>
        <v/>
      </c>
      <c r="AB430" s="93" t="str">
        <f>IF($B430="Yes",COUNTIF(Reference!T$52:T$67,$K430),"")</f>
        <v/>
      </c>
      <c r="AC430" s="93" t="str">
        <f t="shared" si="20"/>
        <v/>
      </c>
    </row>
    <row r="431" spans="1:29" x14ac:dyDescent="0.25">
      <c r="A431" s="92">
        <v>521</v>
      </c>
      <c r="B431" s="95" t="str">
        <f t="shared" si="18"/>
        <v>No</v>
      </c>
      <c r="H431" s="92" t="str">
        <f t="shared" si="19"/>
        <v/>
      </c>
      <c r="I431" s="98"/>
      <c r="J431" s="99"/>
      <c r="K431" s="99"/>
      <c r="L431" s="99"/>
      <c r="M431" s="99"/>
      <c r="N431" s="99"/>
      <c r="O431" s="99"/>
      <c r="P431" s="99"/>
      <c r="Q431" s="99"/>
      <c r="R431" s="99"/>
      <c r="S431" s="98"/>
      <c r="T431" s="93"/>
      <c r="U431" s="93"/>
      <c r="V431" s="93"/>
      <c r="W431" s="93"/>
      <c r="X431" s="93" t="str">
        <f>IF($B431="Yes",COUNTIF(Reference!P$52:P$67,$K431),"")</f>
        <v/>
      </c>
      <c r="Y431" s="93" t="str">
        <f>IF($B431="Yes",COUNTIF(Reference!Q$52:Q$67,$K431),"")</f>
        <v/>
      </c>
      <c r="Z431" s="93" t="str">
        <f>IF($B431="Yes",COUNTIF(Reference!R$52:R$67,$K431),"")</f>
        <v/>
      </c>
      <c r="AA431" s="93" t="str">
        <f>IF($B431="Yes",COUNTIF(Reference!S$52:S$67,$K431),"")</f>
        <v/>
      </c>
      <c r="AB431" s="93" t="str">
        <f>IF($B431="Yes",COUNTIF(Reference!T$52:T$67,$K431),"")</f>
        <v/>
      </c>
      <c r="AC431" s="93" t="str">
        <f t="shared" si="20"/>
        <v/>
      </c>
    </row>
    <row r="432" spans="1:29" x14ac:dyDescent="0.25">
      <c r="A432" s="92">
        <v>522</v>
      </c>
      <c r="B432" s="95" t="str">
        <f t="shared" si="18"/>
        <v>No</v>
      </c>
      <c r="H432" s="92" t="str">
        <f t="shared" si="19"/>
        <v/>
      </c>
      <c r="I432" s="98"/>
      <c r="J432" s="99"/>
      <c r="K432" s="99"/>
      <c r="L432" s="99"/>
      <c r="M432" s="99"/>
      <c r="N432" s="99"/>
      <c r="O432" s="99"/>
      <c r="P432" s="99"/>
      <c r="Q432" s="99"/>
      <c r="R432" s="99"/>
      <c r="S432" s="98"/>
      <c r="T432" s="93"/>
      <c r="U432" s="93"/>
      <c r="V432" s="93"/>
      <c r="W432" s="93"/>
      <c r="X432" s="93" t="str">
        <f>IF($B432="Yes",COUNTIF(Reference!P$52:P$67,$K432),"")</f>
        <v/>
      </c>
      <c r="Y432" s="93" t="str">
        <f>IF($B432="Yes",COUNTIF(Reference!Q$52:Q$67,$K432),"")</f>
        <v/>
      </c>
      <c r="Z432" s="93" t="str">
        <f>IF($B432="Yes",COUNTIF(Reference!R$52:R$67,$K432),"")</f>
        <v/>
      </c>
      <c r="AA432" s="93" t="str">
        <f>IF($B432="Yes",COUNTIF(Reference!S$52:S$67,$K432),"")</f>
        <v/>
      </c>
      <c r="AB432" s="93" t="str">
        <f>IF($B432="Yes",COUNTIF(Reference!T$52:T$67,$K432),"")</f>
        <v/>
      </c>
      <c r="AC432" s="93" t="str">
        <f t="shared" si="20"/>
        <v/>
      </c>
    </row>
    <row r="433" spans="1:29" x14ac:dyDescent="0.25">
      <c r="A433" s="92">
        <v>523</v>
      </c>
      <c r="B433" s="95" t="str">
        <f t="shared" si="18"/>
        <v>No</v>
      </c>
      <c r="H433" s="92" t="str">
        <f t="shared" si="19"/>
        <v/>
      </c>
      <c r="I433" s="98"/>
      <c r="J433" s="99"/>
      <c r="K433" s="99"/>
      <c r="L433" s="99"/>
      <c r="M433" s="99"/>
      <c r="N433" s="99"/>
      <c r="O433" s="99"/>
      <c r="P433" s="99"/>
      <c r="Q433" s="99"/>
      <c r="R433" s="99"/>
      <c r="S433" s="98"/>
      <c r="T433" s="93"/>
      <c r="U433" s="93"/>
      <c r="V433" s="93"/>
      <c r="W433" s="93"/>
      <c r="X433" s="93" t="str">
        <f>IF($B433="Yes",COUNTIF(Reference!P$52:P$67,$K433),"")</f>
        <v/>
      </c>
      <c r="Y433" s="93" t="str">
        <f>IF($B433="Yes",COUNTIF(Reference!Q$52:Q$67,$K433),"")</f>
        <v/>
      </c>
      <c r="Z433" s="93" t="str">
        <f>IF($B433="Yes",COUNTIF(Reference!R$52:R$67,$K433),"")</f>
        <v/>
      </c>
      <c r="AA433" s="93" t="str">
        <f>IF($B433="Yes",COUNTIF(Reference!S$52:S$67,$K433),"")</f>
        <v/>
      </c>
      <c r="AB433" s="93" t="str">
        <f>IF($B433="Yes",COUNTIF(Reference!T$52:T$67,$K433),"")</f>
        <v/>
      </c>
      <c r="AC433" s="93" t="str">
        <f t="shared" si="20"/>
        <v/>
      </c>
    </row>
    <row r="434" spans="1:29" x14ac:dyDescent="0.25">
      <c r="A434" s="92">
        <v>524</v>
      </c>
      <c r="B434" s="95" t="str">
        <f t="shared" si="18"/>
        <v>No</v>
      </c>
      <c r="H434" s="92" t="str">
        <f t="shared" si="19"/>
        <v/>
      </c>
      <c r="I434" s="98"/>
      <c r="J434" s="99"/>
      <c r="K434" s="99"/>
      <c r="L434" s="99"/>
      <c r="M434" s="99"/>
      <c r="N434" s="99"/>
      <c r="O434" s="99"/>
      <c r="P434" s="99"/>
      <c r="Q434" s="99"/>
      <c r="R434" s="99"/>
      <c r="S434" s="98"/>
      <c r="T434" s="93"/>
      <c r="U434" s="93"/>
      <c r="V434" s="93"/>
      <c r="W434" s="93"/>
      <c r="X434" s="93" t="str">
        <f>IF($B434="Yes",COUNTIF(Reference!P$52:P$67,$K434),"")</f>
        <v/>
      </c>
      <c r="Y434" s="93" t="str">
        <f>IF($B434="Yes",COUNTIF(Reference!Q$52:Q$67,$K434),"")</f>
        <v/>
      </c>
      <c r="Z434" s="93" t="str">
        <f>IF($B434="Yes",COUNTIF(Reference!R$52:R$67,$K434),"")</f>
        <v/>
      </c>
      <c r="AA434" s="93" t="str">
        <f>IF($B434="Yes",COUNTIF(Reference!S$52:S$67,$K434),"")</f>
        <v/>
      </c>
      <c r="AB434" s="93" t="str">
        <f>IF($B434="Yes",COUNTIF(Reference!T$52:T$67,$K434),"")</f>
        <v/>
      </c>
      <c r="AC434" s="93" t="str">
        <f t="shared" si="20"/>
        <v/>
      </c>
    </row>
    <row r="435" spans="1:29" x14ac:dyDescent="0.25">
      <c r="A435" s="92">
        <v>525</v>
      </c>
      <c r="B435" s="95" t="str">
        <f t="shared" si="18"/>
        <v>No</v>
      </c>
      <c r="H435" s="92" t="str">
        <f t="shared" si="19"/>
        <v/>
      </c>
      <c r="I435" s="98"/>
      <c r="J435" s="99"/>
      <c r="K435" s="99"/>
      <c r="L435" s="99"/>
      <c r="M435" s="99"/>
      <c r="N435" s="99"/>
      <c r="O435" s="99"/>
      <c r="P435" s="99"/>
      <c r="Q435" s="99"/>
      <c r="R435" s="99"/>
      <c r="S435" s="98"/>
      <c r="T435" s="93"/>
      <c r="U435" s="93"/>
      <c r="V435" s="93"/>
      <c r="W435" s="93"/>
      <c r="X435" s="93" t="str">
        <f>IF($B435="Yes",COUNTIF(Reference!P$52:P$67,$K435),"")</f>
        <v/>
      </c>
      <c r="Y435" s="93" t="str">
        <f>IF($B435="Yes",COUNTIF(Reference!Q$52:Q$67,$K435),"")</f>
        <v/>
      </c>
      <c r="Z435" s="93" t="str">
        <f>IF($B435="Yes",COUNTIF(Reference!R$52:R$67,$K435),"")</f>
        <v/>
      </c>
      <c r="AA435" s="93" t="str">
        <f>IF($B435="Yes",COUNTIF(Reference!S$52:S$67,$K435),"")</f>
        <v/>
      </c>
      <c r="AB435" s="93" t="str">
        <f>IF($B435="Yes",COUNTIF(Reference!T$52:T$67,$K435),"")</f>
        <v/>
      </c>
      <c r="AC435" s="93" t="str">
        <f t="shared" si="20"/>
        <v/>
      </c>
    </row>
    <row r="436" spans="1:29" x14ac:dyDescent="0.25">
      <c r="A436" s="92">
        <v>526</v>
      </c>
      <c r="B436" s="95" t="str">
        <f t="shared" si="18"/>
        <v>No</v>
      </c>
      <c r="H436" s="92" t="str">
        <f t="shared" si="19"/>
        <v/>
      </c>
      <c r="I436" s="98"/>
      <c r="J436" s="99"/>
      <c r="K436" s="99"/>
      <c r="L436" s="99"/>
      <c r="M436" s="99"/>
      <c r="N436" s="99"/>
      <c r="O436" s="99"/>
      <c r="P436" s="99"/>
      <c r="Q436" s="99"/>
      <c r="R436" s="99"/>
      <c r="S436" s="98"/>
      <c r="T436" s="93"/>
      <c r="U436" s="93"/>
      <c r="V436" s="93"/>
      <c r="W436" s="93"/>
      <c r="X436" s="93" t="str">
        <f>IF($B436="Yes",COUNTIF(Reference!P$52:P$67,$K436),"")</f>
        <v/>
      </c>
      <c r="Y436" s="93" t="str">
        <f>IF($B436="Yes",COUNTIF(Reference!Q$52:Q$67,$K436),"")</f>
        <v/>
      </c>
      <c r="Z436" s="93" t="str">
        <f>IF($B436="Yes",COUNTIF(Reference!R$52:R$67,$K436),"")</f>
        <v/>
      </c>
      <c r="AA436" s="93" t="str">
        <f>IF($B436="Yes",COUNTIF(Reference!S$52:S$67,$K436),"")</f>
        <v/>
      </c>
      <c r="AB436" s="93" t="str">
        <f>IF($B436="Yes",COUNTIF(Reference!T$52:T$67,$K436),"")</f>
        <v/>
      </c>
      <c r="AC436" s="93" t="str">
        <f t="shared" si="20"/>
        <v/>
      </c>
    </row>
    <row r="437" spans="1:29" x14ac:dyDescent="0.25">
      <c r="A437" s="92">
        <v>527</v>
      </c>
      <c r="B437" s="95" t="str">
        <f t="shared" si="18"/>
        <v>No</v>
      </c>
      <c r="H437" s="92" t="str">
        <f t="shared" si="19"/>
        <v/>
      </c>
      <c r="I437" s="98"/>
      <c r="J437" s="99"/>
      <c r="K437" s="99"/>
      <c r="L437" s="99"/>
      <c r="M437" s="99"/>
      <c r="N437" s="99"/>
      <c r="O437" s="99"/>
      <c r="P437" s="99"/>
      <c r="Q437" s="99"/>
      <c r="R437" s="99"/>
      <c r="S437" s="98"/>
      <c r="T437" s="93"/>
      <c r="U437" s="93"/>
      <c r="V437" s="93"/>
      <c r="W437" s="93"/>
      <c r="X437" s="93" t="str">
        <f>IF($B437="Yes",COUNTIF(Reference!P$52:P$67,$K437),"")</f>
        <v/>
      </c>
      <c r="Y437" s="93" t="str">
        <f>IF($B437="Yes",COUNTIF(Reference!Q$52:Q$67,$K437),"")</f>
        <v/>
      </c>
      <c r="Z437" s="93" t="str">
        <f>IF($B437="Yes",COUNTIF(Reference!R$52:R$67,$K437),"")</f>
        <v/>
      </c>
      <c r="AA437" s="93" t="str">
        <f>IF($B437="Yes",COUNTIF(Reference!S$52:S$67,$K437),"")</f>
        <v/>
      </c>
      <c r="AB437" s="93" t="str">
        <f>IF($B437="Yes",COUNTIF(Reference!T$52:T$67,$K437),"")</f>
        <v/>
      </c>
      <c r="AC437" s="93" t="str">
        <f t="shared" si="20"/>
        <v/>
      </c>
    </row>
    <row r="438" spans="1:29" x14ac:dyDescent="0.25">
      <c r="A438" s="92">
        <v>528</v>
      </c>
      <c r="B438" s="95" t="str">
        <f t="shared" si="18"/>
        <v>No</v>
      </c>
      <c r="H438" s="92" t="str">
        <f t="shared" si="19"/>
        <v/>
      </c>
      <c r="I438" s="98"/>
      <c r="J438" s="99"/>
      <c r="K438" s="99"/>
      <c r="L438" s="99"/>
      <c r="M438" s="99"/>
      <c r="N438" s="99"/>
      <c r="O438" s="99"/>
      <c r="P438" s="99"/>
      <c r="Q438" s="99"/>
      <c r="R438" s="99"/>
      <c r="S438" s="98"/>
      <c r="T438" s="93"/>
      <c r="U438" s="93"/>
      <c r="V438" s="93"/>
      <c r="W438" s="93"/>
      <c r="X438" s="93" t="str">
        <f>IF($B438="Yes",COUNTIF(Reference!P$52:P$67,$K438),"")</f>
        <v/>
      </c>
      <c r="Y438" s="93" t="str">
        <f>IF($B438="Yes",COUNTIF(Reference!Q$52:Q$67,$K438),"")</f>
        <v/>
      </c>
      <c r="Z438" s="93" t="str">
        <f>IF($B438="Yes",COUNTIF(Reference!R$52:R$67,$K438),"")</f>
        <v/>
      </c>
      <c r="AA438" s="93" t="str">
        <f>IF($B438="Yes",COUNTIF(Reference!S$52:S$67,$K438),"")</f>
        <v/>
      </c>
      <c r="AB438" s="93" t="str">
        <f>IF($B438="Yes",COUNTIF(Reference!T$52:T$67,$K438),"")</f>
        <v/>
      </c>
      <c r="AC438" s="93" t="str">
        <f t="shared" si="20"/>
        <v/>
      </c>
    </row>
    <row r="439" spans="1:29" x14ac:dyDescent="0.25">
      <c r="A439" s="92">
        <v>529</v>
      </c>
      <c r="B439" s="95" t="str">
        <f t="shared" si="18"/>
        <v>No</v>
      </c>
      <c r="H439" s="92" t="str">
        <f t="shared" si="19"/>
        <v/>
      </c>
      <c r="I439" s="98"/>
      <c r="J439" s="99"/>
      <c r="K439" s="99"/>
      <c r="L439" s="99"/>
      <c r="M439" s="99"/>
      <c r="N439" s="99"/>
      <c r="O439" s="99"/>
      <c r="P439" s="99"/>
      <c r="Q439" s="99"/>
      <c r="R439" s="99"/>
      <c r="S439" s="98"/>
      <c r="T439" s="93"/>
      <c r="U439" s="93"/>
      <c r="V439" s="93"/>
      <c r="W439" s="93"/>
      <c r="X439" s="93" t="str">
        <f>IF($B439="Yes",COUNTIF(Reference!P$52:P$67,$K439),"")</f>
        <v/>
      </c>
      <c r="Y439" s="93" t="str">
        <f>IF($B439="Yes",COUNTIF(Reference!Q$52:Q$67,$K439),"")</f>
        <v/>
      </c>
      <c r="Z439" s="93" t="str">
        <f>IF($B439="Yes",COUNTIF(Reference!R$52:R$67,$K439),"")</f>
        <v/>
      </c>
      <c r="AA439" s="93" t="str">
        <f>IF($B439="Yes",COUNTIF(Reference!S$52:S$67,$K439),"")</f>
        <v/>
      </c>
      <c r="AB439" s="93" t="str">
        <f>IF($B439="Yes",COUNTIF(Reference!T$52:T$67,$K439),"")</f>
        <v/>
      </c>
      <c r="AC439" s="93" t="str">
        <f t="shared" si="20"/>
        <v/>
      </c>
    </row>
    <row r="440" spans="1:29" x14ac:dyDescent="0.25">
      <c r="A440" s="92">
        <v>530</v>
      </c>
      <c r="B440" s="95" t="str">
        <f t="shared" si="18"/>
        <v>No</v>
      </c>
      <c r="H440" s="92" t="str">
        <f t="shared" si="19"/>
        <v/>
      </c>
      <c r="I440" s="98"/>
      <c r="J440" s="99"/>
      <c r="K440" s="99"/>
      <c r="L440" s="99"/>
      <c r="M440" s="99"/>
      <c r="N440" s="99"/>
      <c r="O440" s="99"/>
      <c r="P440" s="99"/>
      <c r="Q440" s="99"/>
      <c r="R440" s="99"/>
      <c r="S440" s="98"/>
      <c r="T440" s="93"/>
      <c r="U440" s="93"/>
      <c r="V440" s="93"/>
      <c r="W440" s="93"/>
      <c r="X440" s="93" t="str">
        <f>IF($B440="Yes",COUNTIF(Reference!P$52:P$67,$K440),"")</f>
        <v/>
      </c>
      <c r="Y440" s="93" t="str">
        <f>IF($B440="Yes",COUNTIF(Reference!Q$52:Q$67,$K440),"")</f>
        <v/>
      </c>
      <c r="Z440" s="93" t="str">
        <f>IF($B440="Yes",COUNTIF(Reference!R$52:R$67,$K440),"")</f>
        <v/>
      </c>
      <c r="AA440" s="93" t="str">
        <f>IF($B440="Yes",COUNTIF(Reference!S$52:S$67,$K440),"")</f>
        <v/>
      </c>
      <c r="AB440" s="93" t="str">
        <f>IF($B440="Yes",COUNTIF(Reference!T$52:T$67,$K440),"")</f>
        <v/>
      </c>
      <c r="AC440" s="93" t="str">
        <f t="shared" si="20"/>
        <v/>
      </c>
    </row>
    <row r="441" spans="1:29" x14ac:dyDescent="0.25">
      <c r="A441" s="92">
        <v>531</v>
      </c>
      <c r="B441" s="95" t="str">
        <f t="shared" si="18"/>
        <v>No</v>
      </c>
      <c r="H441" s="92" t="str">
        <f t="shared" si="19"/>
        <v/>
      </c>
      <c r="I441" s="98"/>
      <c r="J441" s="99"/>
      <c r="K441" s="99"/>
      <c r="L441" s="99"/>
      <c r="M441" s="99"/>
      <c r="N441" s="99"/>
      <c r="O441" s="99"/>
      <c r="P441" s="99"/>
      <c r="Q441" s="99"/>
      <c r="R441" s="99"/>
      <c r="S441" s="98"/>
      <c r="T441" s="93"/>
      <c r="U441" s="93"/>
      <c r="V441" s="93"/>
      <c r="W441" s="93"/>
      <c r="X441" s="93" t="str">
        <f>IF($B441="Yes",COUNTIF(Reference!P$52:P$67,$K441),"")</f>
        <v/>
      </c>
      <c r="Y441" s="93" t="str">
        <f>IF($B441="Yes",COUNTIF(Reference!Q$52:Q$67,$K441),"")</f>
        <v/>
      </c>
      <c r="Z441" s="93" t="str">
        <f>IF($B441="Yes",COUNTIF(Reference!R$52:R$67,$K441),"")</f>
        <v/>
      </c>
      <c r="AA441" s="93" t="str">
        <f>IF($B441="Yes",COUNTIF(Reference!S$52:S$67,$K441),"")</f>
        <v/>
      </c>
      <c r="AB441" s="93" t="str">
        <f>IF($B441="Yes",COUNTIF(Reference!T$52:T$67,$K441),"")</f>
        <v/>
      </c>
      <c r="AC441" s="93" t="str">
        <f t="shared" si="20"/>
        <v/>
      </c>
    </row>
    <row r="442" spans="1:29" x14ac:dyDescent="0.25">
      <c r="A442" s="92">
        <v>532</v>
      </c>
      <c r="B442" s="95" t="str">
        <f t="shared" si="18"/>
        <v>No</v>
      </c>
      <c r="H442" s="92" t="str">
        <f t="shared" si="19"/>
        <v/>
      </c>
      <c r="I442" s="98"/>
      <c r="J442" s="99"/>
      <c r="K442" s="99"/>
      <c r="L442" s="99"/>
      <c r="M442" s="99"/>
      <c r="N442" s="99"/>
      <c r="O442" s="99"/>
      <c r="P442" s="99"/>
      <c r="Q442" s="99"/>
      <c r="R442" s="99"/>
      <c r="S442" s="98"/>
      <c r="T442" s="93"/>
      <c r="U442" s="93"/>
      <c r="V442" s="93"/>
      <c r="W442" s="93"/>
      <c r="X442" s="93" t="str">
        <f>IF($B442="Yes",COUNTIF(Reference!P$52:P$67,$K442),"")</f>
        <v/>
      </c>
      <c r="Y442" s="93" t="str">
        <f>IF($B442="Yes",COUNTIF(Reference!Q$52:Q$67,$K442),"")</f>
        <v/>
      </c>
      <c r="Z442" s="93" t="str">
        <f>IF($B442="Yes",COUNTIF(Reference!R$52:R$67,$K442),"")</f>
        <v/>
      </c>
      <c r="AA442" s="93" t="str">
        <f>IF($B442="Yes",COUNTIF(Reference!S$52:S$67,$K442),"")</f>
        <v/>
      </c>
      <c r="AB442" s="93" t="str">
        <f>IF($B442="Yes",COUNTIF(Reference!T$52:T$67,$K442),"")</f>
        <v/>
      </c>
      <c r="AC442" s="93" t="str">
        <f t="shared" si="20"/>
        <v/>
      </c>
    </row>
    <row r="443" spans="1:29" x14ac:dyDescent="0.25">
      <c r="A443" s="92">
        <v>533</v>
      </c>
      <c r="B443" s="95" t="str">
        <f t="shared" si="18"/>
        <v>No</v>
      </c>
      <c r="H443" s="92" t="str">
        <f t="shared" si="19"/>
        <v/>
      </c>
      <c r="I443" s="98"/>
      <c r="J443" s="99"/>
      <c r="K443" s="99"/>
      <c r="L443" s="99"/>
      <c r="M443" s="99"/>
      <c r="N443" s="99"/>
      <c r="O443" s="99"/>
      <c r="P443" s="99"/>
      <c r="Q443" s="99"/>
      <c r="R443" s="99"/>
      <c r="S443" s="98"/>
      <c r="T443" s="93"/>
      <c r="U443" s="93"/>
      <c r="V443" s="93"/>
      <c r="W443" s="93"/>
      <c r="X443" s="93" t="str">
        <f>IF($B443="Yes",COUNTIF(Reference!P$52:P$67,$K443),"")</f>
        <v/>
      </c>
      <c r="Y443" s="93" t="str">
        <f>IF($B443="Yes",COUNTIF(Reference!Q$52:Q$67,$K443),"")</f>
        <v/>
      </c>
      <c r="Z443" s="93" t="str">
        <f>IF($B443="Yes",COUNTIF(Reference!R$52:R$67,$K443),"")</f>
        <v/>
      </c>
      <c r="AA443" s="93" t="str">
        <f>IF($B443="Yes",COUNTIF(Reference!S$52:S$67,$K443),"")</f>
        <v/>
      </c>
      <c r="AB443" s="93" t="str">
        <f>IF($B443="Yes",COUNTIF(Reference!T$52:T$67,$K443),"")</f>
        <v/>
      </c>
      <c r="AC443" s="93" t="str">
        <f t="shared" si="20"/>
        <v/>
      </c>
    </row>
    <row r="444" spans="1:29" x14ac:dyDescent="0.25">
      <c r="A444" s="92">
        <v>534</v>
      </c>
      <c r="B444" s="95" t="str">
        <f t="shared" si="18"/>
        <v>No</v>
      </c>
      <c r="H444" s="92" t="str">
        <f t="shared" si="19"/>
        <v/>
      </c>
      <c r="I444" s="98"/>
      <c r="J444" s="99"/>
      <c r="K444" s="99"/>
      <c r="L444" s="99"/>
      <c r="M444" s="99"/>
      <c r="N444" s="99"/>
      <c r="O444" s="99"/>
      <c r="P444" s="99"/>
      <c r="Q444" s="99"/>
      <c r="R444" s="99"/>
      <c r="S444" s="98"/>
      <c r="T444" s="93"/>
      <c r="U444" s="93"/>
      <c r="V444" s="93"/>
      <c r="W444" s="93"/>
      <c r="X444" s="93" t="str">
        <f>IF($B444="Yes",COUNTIF(Reference!P$52:P$67,$K444),"")</f>
        <v/>
      </c>
      <c r="Y444" s="93" t="str">
        <f>IF($B444="Yes",COUNTIF(Reference!Q$52:Q$67,$K444),"")</f>
        <v/>
      </c>
      <c r="Z444" s="93" t="str">
        <f>IF($B444="Yes",COUNTIF(Reference!R$52:R$67,$K444),"")</f>
        <v/>
      </c>
      <c r="AA444" s="93" t="str">
        <f>IF($B444="Yes",COUNTIF(Reference!S$52:S$67,$K444),"")</f>
        <v/>
      </c>
      <c r="AB444" s="93" t="str">
        <f>IF($B444="Yes",COUNTIF(Reference!T$52:T$67,$K444),"")</f>
        <v/>
      </c>
      <c r="AC444" s="93" t="str">
        <f t="shared" si="20"/>
        <v/>
      </c>
    </row>
    <row r="445" spans="1:29" x14ac:dyDescent="0.25">
      <c r="A445" s="92">
        <v>535</v>
      </c>
      <c r="B445" s="95" t="str">
        <f t="shared" si="18"/>
        <v>No</v>
      </c>
      <c r="H445" s="92" t="str">
        <f t="shared" si="19"/>
        <v/>
      </c>
      <c r="I445" s="98"/>
      <c r="J445" s="99"/>
      <c r="K445" s="99"/>
      <c r="L445" s="99"/>
      <c r="M445" s="99"/>
      <c r="N445" s="99"/>
      <c r="O445" s="99"/>
      <c r="P445" s="99"/>
      <c r="Q445" s="99"/>
      <c r="R445" s="99"/>
      <c r="S445" s="98"/>
      <c r="T445" s="93"/>
      <c r="U445" s="93"/>
      <c r="V445" s="93"/>
      <c r="W445" s="93"/>
      <c r="X445" s="93" t="str">
        <f>IF($B445="Yes",COUNTIF(Reference!P$52:P$67,$K445),"")</f>
        <v/>
      </c>
      <c r="Y445" s="93" t="str">
        <f>IF($B445="Yes",COUNTIF(Reference!Q$52:Q$67,$K445),"")</f>
        <v/>
      </c>
      <c r="Z445" s="93" t="str">
        <f>IF($B445="Yes",COUNTIF(Reference!R$52:R$67,$K445),"")</f>
        <v/>
      </c>
      <c r="AA445" s="93" t="str">
        <f>IF($B445="Yes",COUNTIF(Reference!S$52:S$67,$K445),"")</f>
        <v/>
      </c>
      <c r="AB445" s="93" t="str">
        <f>IF($B445="Yes",COUNTIF(Reference!T$52:T$67,$K445),"")</f>
        <v/>
      </c>
      <c r="AC445" s="93" t="str">
        <f t="shared" si="20"/>
        <v/>
      </c>
    </row>
    <row r="446" spans="1:29" x14ac:dyDescent="0.25">
      <c r="A446" s="92">
        <v>536</v>
      </c>
      <c r="B446" s="95" t="str">
        <f t="shared" si="18"/>
        <v>No</v>
      </c>
      <c r="H446" s="92" t="str">
        <f t="shared" si="19"/>
        <v/>
      </c>
      <c r="I446" s="98"/>
      <c r="J446" s="99"/>
      <c r="K446" s="99"/>
      <c r="L446" s="99"/>
      <c r="M446" s="99"/>
      <c r="N446" s="99"/>
      <c r="O446" s="99"/>
      <c r="P446" s="99"/>
      <c r="Q446" s="99"/>
      <c r="R446" s="99"/>
      <c r="S446" s="98"/>
      <c r="T446" s="93"/>
      <c r="U446" s="93"/>
      <c r="V446" s="93"/>
      <c r="W446" s="93"/>
      <c r="X446" s="93" t="str">
        <f>IF($B446="Yes",COUNTIF(Reference!P$52:P$67,$K446),"")</f>
        <v/>
      </c>
      <c r="Y446" s="93" t="str">
        <f>IF($B446="Yes",COUNTIF(Reference!Q$52:Q$67,$K446),"")</f>
        <v/>
      </c>
      <c r="Z446" s="93" t="str">
        <f>IF($B446="Yes",COUNTIF(Reference!R$52:R$67,$K446),"")</f>
        <v/>
      </c>
      <c r="AA446" s="93" t="str">
        <f>IF($B446="Yes",COUNTIF(Reference!S$52:S$67,$K446),"")</f>
        <v/>
      </c>
      <c r="AB446" s="93" t="str">
        <f>IF($B446="Yes",COUNTIF(Reference!T$52:T$67,$K446),"")</f>
        <v/>
      </c>
      <c r="AC446" s="93" t="str">
        <f t="shared" si="20"/>
        <v/>
      </c>
    </row>
    <row r="447" spans="1:29" x14ac:dyDescent="0.25">
      <c r="A447" s="92">
        <v>537</v>
      </c>
      <c r="B447" s="95" t="str">
        <f t="shared" si="18"/>
        <v>No</v>
      </c>
      <c r="H447" s="92" t="str">
        <f t="shared" si="19"/>
        <v/>
      </c>
      <c r="I447" s="98"/>
      <c r="J447" s="99"/>
      <c r="K447" s="99"/>
      <c r="L447" s="99"/>
      <c r="M447" s="99"/>
      <c r="N447" s="99"/>
      <c r="O447" s="99"/>
      <c r="P447" s="99"/>
      <c r="Q447" s="99"/>
      <c r="R447" s="99"/>
      <c r="S447" s="98"/>
      <c r="T447" s="93"/>
      <c r="U447" s="93"/>
      <c r="V447" s="93"/>
      <c r="W447" s="93"/>
      <c r="X447" s="93" t="str">
        <f>IF($B447="Yes",COUNTIF(Reference!P$52:P$67,$K447),"")</f>
        <v/>
      </c>
      <c r="Y447" s="93" t="str">
        <f>IF($B447="Yes",COUNTIF(Reference!Q$52:Q$67,$K447),"")</f>
        <v/>
      </c>
      <c r="Z447" s="93" t="str">
        <f>IF($B447="Yes",COUNTIF(Reference!R$52:R$67,$K447),"")</f>
        <v/>
      </c>
      <c r="AA447" s="93" t="str">
        <f>IF($B447="Yes",COUNTIF(Reference!S$52:S$67,$K447),"")</f>
        <v/>
      </c>
      <c r="AB447" s="93" t="str">
        <f>IF($B447="Yes",COUNTIF(Reference!T$52:T$67,$K447),"")</f>
        <v/>
      </c>
      <c r="AC447" s="93" t="str">
        <f t="shared" si="20"/>
        <v/>
      </c>
    </row>
    <row r="448" spans="1:29" x14ac:dyDescent="0.25">
      <c r="A448" s="92">
        <v>538</v>
      </c>
      <c r="B448" s="95" t="str">
        <f t="shared" si="18"/>
        <v>No</v>
      </c>
      <c r="H448" s="92" t="str">
        <f t="shared" si="19"/>
        <v/>
      </c>
      <c r="I448" s="98"/>
      <c r="J448" s="99"/>
      <c r="K448" s="99"/>
      <c r="L448" s="99"/>
      <c r="M448" s="99"/>
      <c r="N448" s="99"/>
      <c r="O448" s="99"/>
      <c r="P448" s="99"/>
      <c r="Q448" s="99"/>
      <c r="R448" s="99"/>
      <c r="S448" s="98"/>
      <c r="T448" s="93"/>
      <c r="U448" s="93"/>
      <c r="V448" s="93"/>
      <c r="W448" s="93"/>
      <c r="X448" s="93" t="str">
        <f>IF($B448="Yes",COUNTIF(Reference!P$52:P$67,$K448),"")</f>
        <v/>
      </c>
      <c r="Y448" s="93" t="str">
        <f>IF($B448="Yes",COUNTIF(Reference!Q$52:Q$67,$K448),"")</f>
        <v/>
      </c>
      <c r="Z448" s="93" t="str">
        <f>IF($B448="Yes",COUNTIF(Reference!R$52:R$67,$K448),"")</f>
        <v/>
      </c>
      <c r="AA448" s="93" t="str">
        <f>IF($B448="Yes",COUNTIF(Reference!S$52:S$67,$K448),"")</f>
        <v/>
      </c>
      <c r="AB448" s="93" t="str">
        <f>IF($B448="Yes",COUNTIF(Reference!T$52:T$67,$K448),"")</f>
        <v/>
      </c>
      <c r="AC448" s="93" t="str">
        <f t="shared" si="20"/>
        <v/>
      </c>
    </row>
    <row r="449" spans="1:29" x14ac:dyDescent="0.25">
      <c r="A449" s="92">
        <v>539</v>
      </c>
      <c r="B449" s="95" t="str">
        <f t="shared" si="18"/>
        <v>No</v>
      </c>
      <c r="H449" s="92" t="str">
        <f t="shared" si="19"/>
        <v/>
      </c>
      <c r="I449" s="98"/>
      <c r="J449" s="99"/>
      <c r="K449" s="99"/>
      <c r="L449" s="99"/>
      <c r="M449" s="99"/>
      <c r="N449" s="99"/>
      <c r="O449" s="99"/>
      <c r="P449" s="99"/>
      <c r="Q449" s="99"/>
      <c r="R449" s="99"/>
      <c r="S449" s="98"/>
      <c r="T449" s="93"/>
      <c r="U449" s="93"/>
      <c r="V449" s="93"/>
      <c r="W449" s="93"/>
      <c r="X449" s="93" t="str">
        <f>IF($B449="Yes",COUNTIF(Reference!P$52:P$67,$K449),"")</f>
        <v/>
      </c>
      <c r="Y449" s="93" t="str">
        <f>IF($B449="Yes",COUNTIF(Reference!Q$52:Q$67,$K449),"")</f>
        <v/>
      </c>
      <c r="Z449" s="93" t="str">
        <f>IF($B449="Yes",COUNTIF(Reference!R$52:R$67,$K449),"")</f>
        <v/>
      </c>
      <c r="AA449" s="93" t="str">
        <f>IF($B449="Yes",COUNTIF(Reference!S$52:S$67,$K449),"")</f>
        <v/>
      </c>
      <c r="AB449" s="93" t="str">
        <f>IF($B449="Yes",COUNTIF(Reference!T$52:T$67,$K449),"")</f>
        <v/>
      </c>
      <c r="AC449" s="93" t="str">
        <f t="shared" si="20"/>
        <v/>
      </c>
    </row>
    <row r="450" spans="1:29" x14ac:dyDescent="0.25">
      <c r="A450" s="92">
        <v>540</v>
      </c>
      <c r="B450" s="95" t="str">
        <f t="shared" si="18"/>
        <v>No</v>
      </c>
      <c r="H450" s="92" t="str">
        <f t="shared" si="19"/>
        <v/>
      </c>
      <c r="I450" s="98"/>
      <c r="J450" s="99"/>
      <c r="K450" s="99"/>
      <c r="L450" s="99"/>
      <c r="M450" s="99"/>
      <c r="N450" s="99"/>
      <c r="O450" s="99"/>
      <c r="P450" s="99"/>
      <c r="Q450" s="99"/>
      <c r="R450" s="99"/>
      <c r="S450" s="98"/>
      <c r="T450" s="93"/>
      <c r="U450" s="93"/>
      <c r="V450" s="93"/>
      <c r="W450" s="93"/>
      <c r="X450" s="93" t="str">
        <f>IF($B450="Yes",COUNTIF(Reference!P$52:P$67,$K450),"")</f>
        <v/>
      </c>
      <c r="Y450" s="93" t="str">
        <f>IF($B450="Yes",COUNTIF(Reference!Q$52:Q$67,$K450),"")</f>
        <v/>
      </c>
      <c r="Z450" s="93" t="str">
        <f>IF($B450="Yes",COUNTIF(Reference!R$52:R$67,$K450),"")</f>
        <v/>
      </c>
      <c r="AA450" s="93" t="str">
        <f>IF($B450="Yes",COUNTIF(Reference!S$52:S$67,$K450),"")</f>
        <v/>
      </c>
      <c r="AB450" s="93" t="str">
        <f>IF($B450="Yes",COUNTIF(Reference!T$52:T$67,$K450),"")</f>
        <v/>
      </c>
      <c r="AC450" s="93" t="str">
        <f t="shared" si="20"/>
        <v/>
      </c>
    </row>
    <row r="451" spans="1:29" x14ac:dyDescent="0.25">
      <c r="A451" s="92">
        <v>541</v>
      </c>
      <c r="B451" s="95" t="str">
        <f t="shared" si="18"/>
        <v>No</v>
      </c>
      <c r="H451" s="92" t="str">
        <f t="shared" si="19"/>
        <v/>
      </c>
      <c r="I451" s="98"/>
      <c r="J451" s="99"/>
      <c r="K451" s="99"/>
      <c r="L451" s="99"/>
      <c r="M451" s="99"/>
      <c r="N451" s="99"/>
      <c r="O451" s="99"/>
      <c r="P451" s="99"/>
      <c r="Q451" s="99"/>
      <c r="R451" s="99"/>
      <c r="S451" s="98"/>
      <c r="T451" s="93"/>
      <c r="U451" s="93"/>
      <c r="V451" s="93"/>
      <c r="W451" s="93"/>
      <c r="X451" s="93" t="str">
        <f>IF($B451="Yes",COUNTIF(Reference!P$52:P$67,$K451),"")</f>
        <v/>
      </c>
      <c r="Y451" s="93" t="str">
        <f>IF($B451="Yes",COUNTIF(Reference!Q$52:Q$67,$K451),"")</f>
        <v/>
      </c>
      <c r="Z451" s="93" t="str">
        <f>IF($B451="Yes",COUNTIF(Reference!R$52:R$67,$K451),"")</f>
        <v/>
      </c>
      <c r="AA451" s="93" t="str">
        <f>IF($B451="Yes",COUNTIF(Reference!S$52:S$67,$K451),"")</f>
        <v/>
      </c>
      <c r="AB451" s="93" t="str">
        <f>IF($B451="Yes",COUNTIF(Reference!T$52:T$67,$K451),"")</f>
        <v/>
      </c>
      <c r="AC451" s="93" t="str">
        <f t="shared" si="20"/>
        <v/>
      </c>
    </row>
    <row r="452" spans="1:29" x14ac:dyDescent="0.25">
      <c r="A452" s="92">
        <v>542</v>
      </c>
      <c r="B452" s="95" t="str">
        <f t="shared" si="18"/>
        <v>No</v>
      </c>
      <c r="H452" s="92" t="str">
        <f t="shared" si="19"/>
        <v/>
      </c>
      <c r="I452" s="98"/>
      <c r="J452" s="99"/>
      <c r="K452" s="99"/>
      <c r="L452" s="99"/>
      <c r="M452" s="99"/>
      <c r="N452" s="99"/>
      <c r="O452" s="99"/>
      <c r="P452" s="99"/>
      <c r="Q452" s="99"/>
      <c r="R452" s="99"/>
      <c r="S452" s="98"/>
      <c r="T452" s="93"/>
      <c r="U452" s="93"/>
      <c r="V452" s="93"/>
      <c r="W452" s="93"/>
      <c r="X452" s="93" t="str">
        <f>IF($B452="Yes",COUNTIF(Reference!P$52:P$67,$K452),"")</f>
        <v/>
      </c>
      <c r="Y452" s="93" t="str">
        <f>IF($B452="Yes",COUNTIF(Reference!Q$52:Q$67,$K452),"")</f>
        <v/>
      </c>
      <c r="Z452" s="93" t="str">
        <f>IF($B452="Yes",COUNTIF(Reference!R$52:R$67,$K452),"")</f>
        <v/>
      </c>
      <c r="AA452" s="93" t="str">
        <f>IF($B452="Yes",COUNTIF(Reference!S$52:S$67,$K452),"")</f>
        <v/>
      </c>
      <c r="AB452" s="93" t="str">
        <f>IF($B452="Yes",COUNTIF(Reference!T$52:T$67,$K452),"")</f>
        <v/>
      </c>
      <c r="AC452" s="93" t="str">
        <f t="shared" si="20"/>
        <v/>
      </c>
    </row>
    <row r="453" spans="1:29" x14ac:dyDescent="0.25">
      <c r="A453" s="92">
        <v>543</v>
      </c>
      <c r="B453" s="95" t="str">
        <f t="shared" si="18"/>
        <v>No</v>
      </c>
      <c r="H453" s="92" t="str">
        <f t="shared" si="19"/>
        <v/>
      </c>
      <c r="I453" s="98"/>
      <c r="J453" s="99"/>
      <c r="K453" s="99"/>
      <c r="L453" s="99"/>
      <c r="M453" s="99"/>
      <c r="N453" s="99"/>
      <c r="O453" s="99"/>
      <c r="P453" s="99"/>
      <c r="Q453" s="99"/>
      <c r="R453" s="99"/>
      <c r="S453" s="98"/>
      <c r="T453" s="93"/>
      <c r="U453" s="93"/>
      <c r="V453" s="93"/>
      <c r="W453" s="93"/>
      <c r="X453" s="93" t="str">
        <f>IF($B453="Yes",COUNTIF(Reference!P$52:P$67,$K453),"")</f>
        <v/>
      </c>
      <c r="Y453" s="93" t="str">
        <f>IF($B453="Yes",COUNTIF(Reference!Q$52:Q$67,$K453),"")</f>
        <v/>
      </c>
      <c r="Z453" s="93" t="str">
        <f>IF($B453="Yes",COUNTIF(Reference!R$52:R$67,$K453),"")</f>
        <v/>
      </c>
      <c r="AA453" s="93" t="str">
        <f>IF($B453="Yes",COUNTIF(Reference!S$52:S$67,$K453),"")</f>
        <v/>
      </c>
      <c r="AB453" s="93" t="str">
        <f>IF($B453="Yes",COUNTIF(Reference!T$52:T$67,$K453),"")</f>
        <v/>
      </c>
      <c r="AC453" s="93" t="str">
        <f t="shared" si="20"/>
        <v/>
      </c>
    </row>
    <row r="454" spans="1:29" x14ac:dyDescent="0.25">
      <c r="A454" s="92">
        <v>544</v>
      </c>
      <c r="B454" s="95" t="str">
        <f t="shared" si="18"/>
        <v>No</v>
      </c>
      <c r="H454" s="92" t="str">
        <f t="shared" si="19"/>
        <v/>
      </c>
      <c r="I454" s="98"/>
      <c r="J454" s="99"/>
      <c r="K454" s="99"/>
      <c r="L454" s="99"/>
      <c r="M454" s="99"/>
      <c r="N454" s="99"/>
      <c r="O454" s="99"/>
      <c r="P454" s="99"/>
      <c r="Q454" s="99"/>
      <c r="R454" s="99"/>
      <c r="S454" s="98"/>
      <c r="T454" s="93"/>
      <c r="U454" s="93"/>
      <c r="V454" s="93"/>
      <c r="W454" s="93"/>
      <c r="X454" s="93" t="str">
        <f>IF($B454="Yes",COUNTIF(Reference!P$52:P$67,$K454),"")</f>
        <v/>
      </c>
      <c r="Y454" s="93" t="str">
        <f>IF($B454="Yes",COUNTIF(Reference!Q$52:Q$67,$K454),"")</f>
        <v/>
      </c>
      <c r="Z454" s="93" t="str">
        <f>IF($B454="Yes",COUNTIF(Reference!R$52:R$67,$K454),"")</f>
        <v/>
      </c>
      <c r="AA454" s="93" t="str">
        <f>IF($B454="Yes",COUNTIF(Reference!S$52:S$67,$K454),"")</f>
        <v/>
      </c>
      <c r="AB454" s="93" t="str">
        <f>IF($B454="Yes",COUNTIF(Reference!T$52:T$67,$K454),"")</f>
        <v/>
      </c>
      <c r="AC454" s="93" t="str">
        <f t="shared" si="20"/>
        <v/>
      </c>
    </row>
    <row r="455" spans="1:29" x14ac:dyDescent="0.25">
      <c r="A455" s="92">
        <v>545</v>
      </c>
      <c r="B455" s="95" t="str">
        <f t="shared" si="18"/>
        <v>No</v>
      </c>
      <c r="H455" s="92" t="str">
        <f t="shared" si="19"/>
        <v/>
      </c>
      <c r="I455" s="98"/>
      <c r="J455" s="99"/>
      <c r="K455" s="99"/>
      <c r="L455" s="99"/>
      <c r="M455" s="99"/>
      <c r="N455" s="99"/>
      <c r="O455" s="99"/>
      <c r="P455" s="99"/>
      <c r="Q455" s="99"/>
      <c r="R455" s="99"/>
      <c r="S455" s="98"/>
      <c r="T455" s="93"/>
      <c r="U455" s="93"/>
      <c r="V455" s="93"/>
      <c r="W455" s="93"/>
      <c r="X455" s="93" t="str">
        <f>IF($B455="Yes",COUNTIF(Reference!P$52:P$67,$K455),"")</f>
        <v/>
      </c>
      <c r="Y455" s="93" t="str">
        <f>IF($B455="Yes",COUNTIF(Reference!Q$52:Q$67,$K455),"")</f>
        <v/>
      </c>
      <c r="Z455" s="93" t="str">
        <f>IF($B455="Yes",COUNTIF(Reference!R$52:R$67,$K455),"")</f>
        <v/>
      </c>
      <c r="AA455" s="93" t="str">
        <f>IF($B455="Yes",COUNTIF(Reference!S$52:S$67,$K455),"")</f>
        <v/>
      </c>
      <c r="AB455" s="93" t="str">
        <f>IF($B455="Yes",COUNTIF(Reference!T$52:T$67,$K455),"")</f>
        <v/>
      </c>
      <c r="AC455" s="93" t="str">
        <f t="shared" si="20"/>
        <v/>
      </c>
    </row>
    <row r="456" spans="1:29" x14ac:dyDescent="0.25">
      <c r="A456" s="92">
        <v>546</v>
      </c>
      <c r="B456" s="95" t="str">
        <f t="shared" si="18"/>
        <v>No</v>
      </c>
      <c r="H456" s="92" t="str">
        <f t="shared" si="19"/>
        <v/>
      </c>
      <c r="I456" s="98"/>
      <c r="J456" s="99"/>
      <c r="K456" s="99"/>
      <c r="L456" s="99"/>
      <c r="M456" s="99"/>
      <c r="N456" s="99"/>
      <c r="O456" s="99"/>
      <c r="P456" s="99"/>
      <c r="Q456" s="99"/>
      <c r="R456" s="99"/>
      <c r="S456" s="98"/>
      <c r="T456" s="93"/>
      <c r="U456" s="93"/>
      <c r="V456" s="93"/>
      <c r="W456" s="93"/>
      <c r="X456" s="93" t="str">
        <f>IF($B456="Yes",COUNTIF(Reference!P$52:P$67,$K456),"")</f>
        <v/>
      </c>
      <c r="Y456" s="93" t="str">
        <f>IF($B456="Yes",COUNTIF(Reference!Q$52:Q$67,$K456),"")</f>
        <v/>
      </c>
      <c r="Z456" s="93" t="str">
        <f>IF($B456="Yes",COUNTIF(Reference!R$52:R$67,$K456),"")</f>
        <v/>
      </c>
      <c r="AA456" s="93" t="str">
        <f>IF($B456="Yes",COUNTIF(Reference!S$52:S$67,$K456),"")</f>
        <v/>
      </c>
      <c r="AB456" s="93" t="str">
        <f>IF($B456="Yes",COUNTIF(Reference!T$52:T$67,$K456),"")</f>
        <v/>
      </c>
      <c r="AC456" s="93" t="str">
        <f t="shared" si="20"/>
        <v/>
      </c>
    </row>
    <row r="457" spans="1:29" x14ac:dyDescent="0.25">
      <c r="A457" s="92">
        <v>547</v>
      </c>
      <c r="B457" s="95" t="str">
        <f t="shared" si="18"/>
        <v>No</v>
      </c>
      <c r="H457" s="92" t="str">
        <f t="shared" si="19"/>
        <v/>
      </c>
      <c r="I457" s="98"/>
      <c r="J457" s="99"/>
      <c r="K457" s="99"/>
      <c r="L457" s="99"/>
      <c r="M457" s="99"/>
      <c r="N457" s="99"/>
      <c r="O457" s="99"/>
      <c r="P457" s="99"/>
      <c r="Q457" s="99"/>
      <c r="R457" s="99"/>
      <c r="S457" s="98"/>
      <c r="T457" s="93"/>
      <c r="U457" s="93"/>
      <c r="V457" s="93"/>
      <c r="W457" s="93"/>
      <c r="X457" s="93" t="str">
        <f>IF($B457="Yes",COUNTIF(Reference!P$52:P$67,$K457),"")</f>
        <v/>
      </c>
      <c r="Y457" s="93" t="str">
        <f>IF($B457="Yes",COUNTIF(Reference!Q$52:Q$67,$K457),"")</f>
        <v/>
      </c>
      <c r="Z457" s="93" t="str">
        <f>IF($B457="Yes",COUNTIF(Reference!R$52:R$67,$K457),"")</f>
        <v/>
      </c>
      <c r="AA457" s="93" t="str">
        <f>IF($B457="Yes",COUNTIF(Reference!S$52:S$67,$K457),"")</f>
        <v/>
      </c>
      <c r="AB457" s="93" t="str">
        <f>IF($B457="Yes",COUNTIF(Reference!T$52:T$67,$K457),"")</f>
        <v/>
      </c>
      <c r="AC457" s="93" t="str">
        <f t="shared" si="20"/>
        <v/>
      </c>
    </row>
    <row r="458" spans="1:29" x14ac:dyDescent="0.25">
      <c r="A458" s="92">
        <v>548</v>
      </c>
      <c r="B458" s="95" t="str">
        <f t="shared" si="18"/>
        <v>No</v>
      </c>
      <c r="H458" s="92" t="str">
        <f t="shared" si="19"/>
        <v/>
      </c>
      <c r="I458" s="98"/>
      <c r="J458" s="99"/>
      <c r="K458" s="99"/>
      <c r="L458" s="99"/>
      <c r="M458" s="99"/>
      <c r="N458" s="99"/>
      <c r="O458" s="99"/>
      <c r="P458" s="99"/>
      <c r="Q458" s="99"/>
      <c r="R458" s="99"/>
      <c r="S458" s="98"/>
      <c r="T458" s="93"/>
      <c r="U458" s="93"/>
      <c r="V458" s="93"/>
      <c r="W458" s="93"/>
      <c r="X458" s="93" t="str">
        <f>IF($B458="Yes",COUNTIF(Reference!P$52:P$67,$K458),"")</f>
        <v/>
      </c>
      <c r="Y458" s="93" t="str">
        <f>IF($B458="Yes",COUNTIF(Reference!Q$52:Q$67,$K458),"")</f>
        <v/>
      </c>
      <c r="Z458" s="93" t="str">
        <f>IF($B458="Yes",COUNTIF(Reference!R$52:R$67,$K458),"")</f>
        <v/>
      </c>
      <c r="AA458" s="93" t="str">
        <f>IF($B458="Yes",COUNTIF(Reference!S$52:S$67,$K458),"")</f>
        <v/>
      </c>
      <c r="AB458" s="93" t="str">
        <f>IF($B458="Yes",COUNTIF(Reference!T$52:T$67,$K458),"")</f>
        <v/>
      </c>
      <c r="AC458" s="93" t="str">
        <f t="shared" si="20"/>
        <v/>
      </c>
    </row>
    <row r="459" spans="1:29" x14ac:dyDescent="0.25">
      <c r="A459" s="92">
        <v>549</v>
      </c>
      <c r="B459" s="95" t="str">
        <f t="shared" ref="B459:B489" si="21">IF(COUNTBLANK(J459:M459)=0,"Yes","No")</f>
        <v>No</v>
      </c>
      <c r="H459" s="92" t="str">
        <f t="shared" ref="H459:H489" si="22">IF(J459="","",$A$1&amp;"-"&amp;A459)</f>
        <v/>
      </c>
      <c r="I459" s="98"/>
      <c r="J459" s="99"/>
      <c r="K459" s="99"/>
      <c r="L459" s="99"/>
      <c r="M459" s="99"/>
      <c r="N459" s="99"/>
      <c r="O459" s="99"/>
      <c r="P459" s="99"/>
      <c r="Q459" s="99"/>
      <c r="R459" s="99"/>
      <c r="S459" s="98"/>
      <c r="T459" s="93"/>
      <c r="U459" s="93"/>
      <c r="V459" s="93"/>
      <c r="W459" s="93"/>
      <c r="X459" s="93" t="str">
        <f>IF($B459="Yes",COUNTIF(Reference!P$52:P$67,$K459),"")</f>
        <v/>
      </c>
      <c r="Y459" s="93" t="str">
        <f>IF($B459="Yes",COUNTIF(Reference!Q$52:Q$67,$K459),"")</f>
        <v/>
      </c>
      <c r="Z459" s="93" t="str">
        <f>IF($B459="Yes",COUNTIF(Reference!R$52:R$67,$K459),"")</f>
        <v/>
      </c>
      <c r="AA459" s="93" t="str">
        <f>IF($B459="Yes",COUNTIF(Reference!S$52:S$67,$K459),"")</f>
        <v/>
      </c>
      <c r="AB459" s="93" t="str">
        <f>IF($B459="Yes",COUNTIF(Reference!T$52:T$67,$K459),"")</f>
        <v/>
      </c>
      <c r="AC459" s="93" t="str">
        <f t="shared" ref="AC459:AC489" si="23">IF($B459="Yes",COUNTIF(K459,"N"),"")</f>
        <v/>
      </c>
    </row>
    <row r="460" spans="1:29" x14ac:dyDescent="0.25">
      <c r="A460" s="92">
        <v>550</v>
      </c>
      <c r="B460" s="95" t="str">
        <f t="shared" si="21"/>
        <v>No</v>
      </c>
      <c r="H460" s="92" t="str">
        <f t="shared" si="22"/>
        <v/>
      </c>
      <c r="I460" s="98"/>
      <c r="J460" s="99"/>
      <c r="K460" s="99"/>
      <c r="L460" s="99"/>
      <c r="M460" s="99"/>
      <c r="N460" s="99"/>
      <c r="O460" s="99"/>
      <c r="P460" s="99"/>
      <c r="Q460" s="99"/>
      <c r="R460" s="99"/>
      <c r="S460" s="98"/>
      <c r="T460" s="93"/>
      <c r="U460" s="93"/>
      <c r="V460" s="93"/>
      <c r="W460" s="93"/>
      <c r="X460" s="93" t="str">
        <f>IF($B460="Yes",COUNTIF(Reference!P$52:P$67,$K460),"")</f>
        <v/>
      </c>
      <c r="Y460" s="93" t="str">
        <f>IF($B460="Yes",COUNTIF(Reference!Q$52:Q$67,$K460),"")</f>
        <v/>
      </c>
      <c r="Z460" s="93" t="str">
        <f>IF($B460="Yes",COUNTIF(Reference!R$52:R$67,$K460),"")</f>
        <v/>
      </c>
      <c r="AA460" s="93" t="str">
        <f>IF($B460="Yes",COUNTIF(Reference!S$52:S$67,$K460),"")</f>
        <v/>
      </c>
      <c r="AB460" s="93" t="str">
        <f>IF($B460="Yes",COUNTIF(Reference!T$52:T$67,$K460),"")</f>
        <v/>
      </c>
      <c r="AC460" s="93" t="str">
        <f t="shared" si="23"/>
        <v/>
      </c>
    </row>
    <row r="461" spans="1:29" x14ac:dyDescent="0.25">
      <c r="A461" s="92">
        <v>551</v>
      </c>
      <c r="B461" s="95" t="str">
        <f t="shared" si="21"/>
        <v>No</v>
      </c>
      <c r="H461" s="92" t="str">
        <f t="shared" si="22"/>
        <v/>
      </c>
      <c r="I461" s="98"/>
      <c r="J461" s="99"/>
      <c r="K461" s="99"/>
      <c r="L461" s="99"/>
      <c r="M461" s="99"/>
      <c r="N461" s="99"/>
      <c r="O461" s="99"/>
      <c r="P461" s="99"/>
      <c r="Q461" s="99"/>
      <c r="R461" s="99"/>
      <c r="S461" s="98"/>
      <c r="T461" s="93"/>
      <c r="U461" s="93"/>
      <c r="V461" s="93"/>
      <c r="W461" s="93"/>
      <c r="X461" s="93" t="str">
        <f>IF($B461="Yes",COUNTIF(Reference!P$52:P$67,$K461),"")</f>
        <v/>
      </c>
      <c r="Y461" s="93" t="str">
        <f>IF($B461="Yes",COUNTIF(Reference!Q$52:Q$67,$K461),"")</f>
        <v/>
      </c>
      <c r="Z461" s="93" t="str">
        <f>IF($B461="Yes",COUNTIF(Reference!R$52:R$67,$K461),"")</f>
        <v/>
      </c>
      <c r="AA461" s="93" t="str">
        <f>IF($B461="Yes",COUNTIF(Reference!S$52:S$67,$K461),"")</f>
        <v/>
      </c>
      <c r="AB461" s="93" t="str">
        <f>IF($B461="Yes",COUNTIF(Reference!T$52:T$67,$K461),"")</f>
        <v/>
      </c>
      <c r="AC461" s="93" t="str">
        <f t="shared" si="23"/>
        <v/>
      </c>
    </row>
    <row r="462" spans="1:29" x14ac:dyDescent="0.25">
      <c r="A462" s="92">
        <v>552</v>
      </c>
      <c r="B462" s="95" t="str">
        <f t="shared" si="21"/>
        <v>No</v>
      </c>
      <c r="H462" s="92" t="str">
        <f t="shared" si="22"/>
        <v/>
      </c>
      <c r="I462" s="98"/>
      <c r="J462" s="99"/>
      <c r="K462" s="99"/>
      <c r="L462" s="99"/>
      <c r="M462" s="99"/>
      <c r="N462" s="99"/>
      <c r="O462" s="99"/>
      <c r="P462" s="99"/>
      <c r="Q462" s="99"/>
      <c r="R462" s="99"/>
      <c r="S462" s="98"/>
      <c r="T462" s="93"/>
      <c r="U462" s="93"/>
      <c r="V462" s="93"/>
      <c r="W462" s="93"/>
      <c r="X462" s="93" t="str">
        <f>IF($B462="Yes",COUNTIF(Reference!P$52:P$67,$K462),"")</f>
        <v/>
      </c>
      <c r="Y462" s="93" t="str">
        <f>IF($B462="Yes",COUNTIF(Reference!Q$52:Q$67,$K462),"")</f>
        <v/>
      </c>
      <c r="Z462" s="93" t="str">
        <f>IF($B462="Yes",COUNTIF(Reference!R$52:R$67,$K462),"")</f>
        <v/>
      </c>
      <c r="AA462" s="93" t="str">
        <f>IF($B462="Yes",COUNTIF(Reference!S$52:S$67,$K462),"")</f>
        <v/>
      </c>
      <c r="AB462" s="93" t="str">
        <f>IF($B462="Yes",COUNTIF(Reference!T$52:T$67,$K462),"")</f>
        <v/>
      </c>
      <c r="AC462" s="93" t="str">
        <f t="shared" si="23"/>
        <v/>
      </c>
    </row>
    <row r="463" spans="1:29" x14ac:dyDescent="0.25">
      <c r="A463" s="92">
        <v>553</v>
      </c>
      <c r="B463" s="95" t="str">
        <f t="shared" si="21"/>
        <v>No</v>
      </c>
      <c r="H463" s="92" t="str">
        <f t="shared" si="22"/>
        <v/>
      </c>
      <c r="I463" s="98"/>
      <c r="J463" s="99"/>
      <c r="K463" s="99"/>
      <c r="L463" s="99"/>
      <c r="M463" s="99"/>
      <c r="N463" s="99"/>
      <c r="O463" s="99"/>
      <c r="P463" s="99"/>
      <c r="Q463" s="99"/>
      <c r="R463" s="99"/>
      <c r="S463" s="98"/>
      <c r="T463" s="93"/>
      <c r="U463" s="93"/>
      <c r="V463" s="93"/>
      <c r="W463" s="93"/>
      <c r="X463" s="93" t="str">
        <f>IF($B463="Yes",COUNTIF(Reference!P$52:P$67,$K463),"")</f>
        <v/>
      </c>
      <c r="Y463" s="93" t="str">
        <f>IF($B463="Yes",COUNTIF(Reference!Q$52:Q$67,$K463),"")</f>
        <v/>
      </c>
      <c r="Z463" s="93" t="str">
        <f>IF($B463="Yes",COUNTIF(Reference!R$52:R$67,$K463),"")</f>
        <v/>
      </c>
      <c r="AA463" s="93" t="str">
        <f>IF($B463="Yes",COUNTIF(Reference!S$52:S$67,$K463),"")</f>
        <v/>
      </c>
      <c r="AB463" s="93" t="str">
        <f>IF($B463="Yes",COUNTIF(Reference!T$52:T$67,$K463),"")</f>
        <v/>
      </c>
      <c r="AC463" s="93" t="str">
        <f t="shared" si="23"/>
        <v/>
      </c>
    </row>
    <row r="464" spans="1:29" x14ac:dyDescent="0.25">
      <c r="A464" s="92">
        <v>554</v>
      </c>
      <c r="B464" s="95" t="str">
        <f t="shared" si="21"/>
        <v>No</v>
      </c>
      <c r="H464" s="92" t="str">
        <f t="shared" si="22"/>
        <v/>
      </c>
      <c r="I464" s="98"/>
      <c r="J464" s="99"/>
      <c r="K464" s="99"/>
      <c r="L464" s="99"/>
      <c r="M464" s="99"/>
      <c r="N464" s="99"/>
      <c r="O464" s="99"/>
      <c r="P464" s="99"/>
      <c r="Q464" s="99"/>
      <c r="R464" s="99"/>
      <c r="S464" s="98"/>
      <c r="T464" s="93"/>
      <c r="U464" s="93"/>
      <c r="V464" s="93"/>
      <c r="W464" s="93"/>
      <c r="X464" s="93" t="str">
        <f>IF($B464="Yes",COUNTIF(Reference!P$52:P$67,$K464),"")</f>
        <v/>
      </c>
      <c r="Y464" s="93" t="str">
        <f>IF($B464="Yes",COUNTIF(Reference!Q$52:Q$67,$K464),"")</f>
        <v/>
      </c>
      <c r="Z464" s="93" t="str">
        <f>IF($B464="Yes",COUNTIF(Reference!R$52:R$67,$K464),"")</f>
        <v/>
      </c>
      <c r="AA464" s="93" t="str">
        <f>IF($B464="Yes",COUNTIF(Reference!S$52:S$67,$K464),"")</f>
        <v/>
      </c>
      <c r="AB464" s="93" t="str">
        <f>IF($B464="Yes",COUNTIF(Reference!T$52:T$67,$K464),"")</f>
        <v/>
      </c>
      <c r="AC464" s="93" t="str">
        <f t="shared" si="23"/>
        <v/>
      </c>
    </row>
    <row r="465" spans="1:29" x14ac:dyDescent="0.25">
      <c r="A465" s="92">
        <v>555</v>
      </c>
      <c r="B465" s="95" t="str">
        <f t="shared" si="21"/>
        <v>No</v>
      </c>
      <c r="H465" s="92" t="str">
        <f t="shared" si="22"/>
        <v/>
      </c>
      <c r="I465" s="98"/>
      <c r="J465" s="99"/>
      <c r="K465" s="99"/>
      <c r="L465" s="99"/>
      <c r="M465" s="99"/>
      <c r="N465" s="99"/>
      <c r="O465" s="99"/>
      <c r="P465" s="99"/>
      <c r="Q465" s="99"/>
      <c r="R465" s="99"/>
      <c r="S465" s="98"/>
      <c r="T465" s="93"/>
      <c r="U465" s="93"/>
      <c r="V465" s="93"/>
      <c r="W465" s="93"/>
      <c r="X465" s="93" t="str">
        <f>IF($B465="Yes",COUNTIF(Reference!P$52:P$67,$K465),"")</f>
        <v/>
      </c>
      <c r="Y465" s="93" t="str">
        <f>IF($B465="Yes",COUNTIF(Reference!Q$52:Q$67,$K465),"")</f>
        <v/>
      </c>
      <c r="Z465" s="93" t="str">
        <f>IF($B465="Yes",COUNTIF(Reference!R$52:R$67,$K465),"")</f>
        <v/>
      </c>
      <c r="AA465" s="93" t="str">
        <f>IF($B465="Yes",COUNTIF(Reference!S$52:S$67,$K465),"")</f>
        <v/>
      </c>
      <c r="AB465" s="93" t="str">
        <f>IF($B465="Yes",COUNTIF(Reference!T$52:T$67,$K465),"")</f>
        <v/>
      </c>
      <c r="AC465" s="93" t="str">
        <f t="shared" si="23"/>
        <v/>
      </c>
    </row>
    <row r="466" spans="1:29" x14ac:dyDescent="0.25">
      <c r="A466" s="92">
        <v>556</v>
      </c>
      <c r="B466" s="95" t="str">
        <f t="shared" si="21"/>
        <v>No</v>
      </c>
      <c r="H466" s="92" t="str">
        <f t="shared" si="22"/>
        <v/>
      </c>
      <c r="I466" s="98"/>
      <c r="J466" s="99"/>
      <c r="K466" s="99"/>
      <c r="L466" s="99"/>
      <c r="M466" s="99"/>
      <c r="N466" s="99"/>
      <c r="O466" s="99"/>
      <c r="P466" s="99"/>
      <c r="Q466" s="99"/>
      <c r="R466" s="99"/>
      <c r="S466" s="98"/>
      <c r="T466" s="93"/>
      <c r="U466" s="93"/>
      <c r="V466" s="93"/>
      <c r="W466" s="93"/>
      <c r="X466" s="93" t="str">
        <f>IF($B466="Yes",COUNTIF(Reference!P$52:P$67,$K466),"")</f>
        <v/>
      </c>
      <c r="Y466" s="93" t="str">
        <f>IF($B466="Yes",COUNTIF(Reference!Q$52:Q$67,$K466),"")</f>
        <v/>
      </c>
      <c r="Z466" s="93" t="str">
        <f>IF($B466="Yes",COUNTIF(Reference!R$52:R$67,$K466),"")</f>
        <v/>
      </c>
      <c r="AA466" s="93" t="str">
        <f>IF($B466="Yes",COUNTIF(Reference!S$52:S$67,$K466),"")</f>
        <v/>
      </c>
      <c r="AB466" s="93" t="str">
        <f>IF($B466="Yes",COUNTIF(Reference!T$52:T$67,$K466),"")</f>
        <v/>
      </c>
      <c r="AC466" s="93" t="str">
        <f t="shared" si="23"/>
        <v/>
      </c>
    </row>
    <row r="467" spans="1:29" x14ac:dyDescent="0.25">
      <c r="A467" s="92">
        <v>557</v>
      </c>
      <c r="B467" s="95" t="str">
        <f t="shared" si="21"/>
        <v>No</v>
      </c>
      <c r="H467" s="92" t="str">
        <f t="shared" si="22"/>
        <v/>
      </c>
      <c r="I467" s="98"/>
      <c r="J467" s="99"/>
      <c r="K467" s="99"/>
      <c r="L467" s="99"/>
      <c r="M467" s="99"/>
      <c r="N467" s="99"/>
      <c r="O467" s="99"/>
      <c r="P467" s="99"/>
      <c r="Q467" s="99"/>
      <c r="R467" s="99"/>
      <c r="S467" s="98"/>
      <c r="T467" s="93"/>
      <c r="U467" s="93"/>
      <c r="V467" s="93"/>
      <c r="W467" s="93"/>
      <c r="X467" s="93" t="str">
        <f>IF($B467="Yes",COUNTIF(Reference!P$52:P$67,$K467),"")</f>
        <v/>
      </c>
      <c r="Y467" s="93" t="str">
        <f>IF($B467="Yes",COUNTIF(Reference!Q$52:Q$67,$K467),"")</f>
        <v/>
      </c>
      <c r="Z467" s="93" t="str">
        <f>IF($B467="Yes",COUNTIF(Reference!R$52:R$67,$K467),"")</f>
        <v/>
      </c>
      <c r="AA467" s="93" t="str">
        <f>IF($B467="Yes",COUNTIF(Reference!S$52:S$67,$K467),"")</f>
        <v/>
      </c>
      <c r="AB467" s="93" t="str">
        <f>IF($B467="Yes",COUNTIF(Reference!T$52:T$67,$K467),"")</f>
        <v/>
      </c>
      <c r="AC467" s="93" t="str">
        <f t="shared" si="23"/>
        <v/>
      </c>
    </row>
    <row r="468" spans="1:29" x14ac:dyDescent="0.25">
      <c r="A468" s="92">
        <v>558</v>
      </c>
      <c r="B468" s="95" t="str">
        <f t="shared" si="21"/>
        <v>No</v>
      </c>
      <c r="H468" s="92" t="str">
        <f t="shared" si="22"/>
        <v/>
      </c>
      <c r="I468" s="98"/>
      <c r="J468" s="99"/>
      <c r="K468" s="99"/>
      <c r="L468" s="99"/>
      <c r="M468" s="99"/>
      <c r="N468" s="99"/>
      <c r="O468" s="99"/>
      <c r="P468" s="99"/>
      <c r="Q468" s="99"/>
      <c r="R468" s="99"/>
      <c r="S468" s="98"/>
      <c r="T468" s="93"/>
      <c r="U468" s="93"/>
      <c r="V468" s="93"/>
      <c r="W468" s="93"/>
      <c r="X468" s="93" t="str">
        <f>IF($B468="Yes",COUNTIF(Reference!P$52:P$67,$K468),"")</f>
        <v/>
      </c>
      <c r="Y468" s="93" t="str">
        <f>IF($B468="Yes",COUNTIF(Reference!Q$52:Q$67,$K468),"")</f>
        <v/>
      </c>
      <c r="Z468" s="93" t="str">
        <f>IF($B468="Yes",COUNTIF(Reference!R$52:R$67,$K468),"")</f>
        <v/>
      </c>
      <c r="AA468" s="93" t="str">
        <f>IF($B468="Yes",COUNTIF(Reference!S$52:S$67,$K468),"")</f>
        <v/>
      </c>
      <c r="AB468" s="93" t="str">
        <f>IF($B468="Yes",COUNTIF(Reference!T$52:T$67,$K468),"")</f>
        <v/>
      </c>
      <c r="AC468" s="93" t="str">
        <f t="shared" si="23"/>
        <v/>
      </c>
    </row>
    <row r="469" spans="1:29" x14ac:dyDescent="0.25">
      <c r="A469" s="92">
        <v>559</v>
      </c>
      <c r="B469" s="95" t="str">
        <f t="shared" si="21"/>
        <v>No</v>
      </c>
      <c r="H469" s="92" t="str">
        <f t="shared" si="22"/>
        <v/>
      </c>
      <c r="I469" s="98"/>
      <c r="J469" s="99"/>
      <c r="K469" s="99"/>
      <c r="L469" s="99"/>
      <c r="M469" s="99"/>
      <c r="N469" s="99"/>
      <c r="O469" s="99"/>
      <c r="P469" s="99"/>
      <c r="Q469" s="99"/>
      <c r="R469" s="99"/>
      <c r="S469" s="98"/>
      <c r="T469" s="93"/>
      <c r="U469" s="93"/>
      <c r="V469" s="93"/>
      <c r="W469" s="93"/>
      <c r="X469" s="93" t="str">
        <f>IF($B469="Yes",COUNTIF(Reference!P$52:P$67,$K469),"")</f>
        <v/>
      </c>
      <c r="Y469" s="93" t="str">
        <f>IF($B469="Yes",COUNTIF(Reference!Q$52:Q$67,$K469),"")</f>
        <v/>
      </c>
      <c r="Z469" s="93" t="str">
        <f>IF($B469="Yes",COUNTIF(Reference!R$52:R$67,$K469),"")</f>
        <v/>
      </c>
      <c r="AA469" s="93" t="str">
        <f>IF($B469="Yes",COUNTIF(Reference!S$52:S$67,$K469),"")</f>
        <v/>
      </c>
      <c r="AB469" s="93" t="str">
        <f>IF($B469="Yes",COUNTIF(Reference!T$52:T$67,$K469),"")</f>
        <v/>
      </c>
      <c r="AC469" s="93" t="str">
        <f t="shared" si="23"/>
        <v/>
      </c>
    </row>
    <row r="470" spans="1:29" x14ac:dyDescent="0.25">
      <c r="A470" s="92">
        <v>560</v>
      </c>
      <c r="B470" s="95" t="str">
        <f t="shared" si="21"/>
        <v>No</v>
      </c>
      <c r="H470" s="92" t="str">
        <f t="shared" si="22"/>
        <v/>
      </c>
      <c r="I470" s="98"/>
      <c r="J470" s="99"/>
      <c r="K470" s="99"/>
      <c r="L470" s="99"/>
      <c r="M470" s="99"/>
      <c r="N470" s="99"/>
      <c r="O470" s="99"/>
      <c r="P470" s="99"/>
      <c r="Q470" s="99"/>
      <c r="R470" s="99"/>
      <c r="S470" s="98"/>
      <c r="T470" s="93"/>
      <c r="U470" s="93"/>
      <c r="V470" s="93"/>
      <c r="W470" s="93"/>
      <c r="X470" s="93" t="str">
        <f>IF($B470="Yes",COUNTIF(Reference!P$52:P$67,$K470),"")</f>
        <v/>
      </c>
      <c r="Y470" s="93" t="str">
        <f>IF($B470="Yes",COUNTIF(Reference!Q$52:Q$67,$K470),"")</f>
        <v/>
      </c>
      <c r="Z470" s="93" t="str">
        <f>IF($B470="Yes",COUNTIF(Reference!R$52:R$67,$K470),"")</f>
        <v/>
      </c>
      <c r="AA470" s="93" t="str">
        <f>IF($B470="Yes",COUNTIF(Reference!S$52:S$67,$K470),"")</f>
        <v/>
      </c>
      <c r="AB470" s="93" t="str">
        <f>IF($B470="Yes",COUNTIF(Reference!T$52:T$67,$K470),"")</f>
        <v/>
      </c>
      <c r="AC470" s="93" t="str">
        <f t="shared" si="23"/>
        <v/>
      </c>
    </row>
    <row r="471" spans="1:29" x14ac:dyDescent="0.25">
      <c r="A471" s="92">
        <v>561</v>
      </c>
      <c r="B471" s="95" t="str">
        <f t="shared" si="21"/>
        <v>No</v>
      </c>
      <c r="H471" s="92" t="str">
        <f t="shared" si="22"/>
        <v/>
      </c>
      <c r="I471" s="98"/>
      <c r="J471" s="99"/>
      <c r="K471" s="99"/>
      <c r="L471" s="99"/>
      <c r="M471" s="99"/>
      <c r="N471" s="99"/>
      <c r="O471" s="99"/>
      <c r="P471" s="99"/>
      <c r="Q471" s="99"/>
      <c r="R471" s="99"/>
      <c r="S471" s="98"/>
      <c r="T471" s="93"/>
      <c r="U471" s="93"/>
      <c r="V471" s="93"/>
      <c r="W471" s="93"/>
      <c r="X471" s="93" t="str">
        <f>IF($B471="Yes",COUNTIF(Reference!P$52:P$67,$K471),"")</f>
        <v/>
      </c>
      <c r="Y471" s="93" t="str">
        <f>IF($B471="Yes",COUNTIF(Reference!Q$52:Q$67,$K471),"")</f>
        <v/>
      </c>
      <c r="Z471" s="93" t="str">
        <f>IF($B471="Yes",COUNTIF(Reference!R$52:R$67,$K471),"")</f>
        <v/>
      </c>
      <c r="AA471" s="93" t="str">
        <f>IF($B471="Yes",COUNTIF(Reference!S$52:S$67,$K471),"")</f>
        <v/>
      </c>
      <c r="AB471" s="93" t="str">
        <f>IF($B471="Yes",COUNTIF(Reference!T$52:T$67,$K471),"")</f>
        <v/>
      </c>
      <c r="AC471" s="93" t="str">
        <f t="shared" si="23"/>
        <v/>
      </c>
    </row>
    <row r="472" spans="1:29" x14ac:dyDescent="0.25">
      <c r="A472" s="92">
        <v>562</v>
      </c>
      <c r="B472" s="95" t="str">
        <f t="shared" si="21"/>
        <v>No</v>
      </c>
      <c r="H472" s="92" t="str">
        <f t="shared" si="22"/>
        <v/>
      </c>
      <c r="I472" s="98"/>
      <c r="J472" s="99"/>
      <c r="K472" s="99"/>
      <c r="L472" s="99"/>
      <c r="M472" s="99"/>
      <c r="N472" s="99"/>
      <c r="O472" s="99"/>
      <c r="P472" s="99"/>
      <c r="Q472" s="99"/>
      <c r="R472" s="99"/>
      <c r="S472" s="98"/>
      <c r="T472" s="93"/>
      <c r="U472" s="93"/>
      <c r="V472" s="93"/>
      <c r="W472" s="93"/>
      <c r="X472" s="93" t="str">
        <f>IF($B472="Yes",COUNTIF(Reference!P$52:P$67,$K472),"")</f>
        <v/>
      </c>
      <c r="Y472" s="93" t="str">
        <f>IF($B472="Yes",COUNTIF(Reference!Q$52:Q$67,$K472),"")</f>
        <v/>
      </c>
      <c r="Z472" s="93" t="str">
        <f>IF($B472="Yes",COUNTIF(Reference!R$52:R$67,$K472),"")</f>
        <v/>
      </c>
      <c r="AA472" s="93" t="str">
        <f>IF($B472="Yes",COUNTIF(Reference!S$52:S$67,$K472),"")</f>
        <v/>
      </c>
      <c r="AB472" s="93" t="str">
        <f>IF($B472="Yes",COUNTIF(Reference!T$52:T$67,$K472),"")</f>
        <v/>
      </c>
      <c r="AC472" s="93" t="str">
        <f t="shared" si="23"/>
        <v/>
      </c>
    </row>
    <row r="473" spans="1:29" x14ac:dyDescent="0.25">
      <c r="A473" s="92">
        <v>563</v>
      </c>
      <c r="B473" s="95" t="str">
        <f t="shared" si="21"/>
        <v>No</v>
      </c>
      <c r="H473" s="92" t="str">
        <f t="shared" si="22"/>
        <v/>
      </c>
      <c r="I473" s="98"/>
      <c r="J473" s="99"/>
      <c r="K473" s="99"/>
      <c r="L473" s="99"/>
      <c r="M473" s="99"/>
      <c r="N473" s="99"/>
      <c r="O473" s="99"/>
      <c r="P473" s="99"/>
      <c r="Q473" s="99"/>
      <c r="R473" s="99"/>
      <c r="S473" s="98"/>
      <c r="T473" s="93"/>
      <c r="U473" s="93"/>
      <c r="V473" s="93"/>
      <c r="W473" s="93"/>
      <c r="X473" s="93" t="str">
        <f>IF($B473="Yes",COUNTIF(Reference!P$52:P$67,$K473),"")</f>
        <v/>
      </c>
      <c r="Y473" s="93" t="str">
        <f>IF($B473="Yes",COUNTIF(Reference!Q$52:Q$67,$K473),"")</f>
        <v/>
      </c>
      <c r="Z473" s="93" t="str">
        <f>IF($B473="Yes",COUNTIF(Reference!R$52:R$67,$K473),"")</f>
        <v/>
      </c>
      <c r="AA473" s="93" t="str">
        <f>IF($B473="Yes",COUNTIF(Reference!S$52:S$67,$K473),"")</f>
        <v/>
      </c>
      <c r="AB473" s="93" t="str">
        <f>IF($B473="Yes",COUNTIF(Reference!T$52:T$67,$K473),"")</f>
        <v/>
      </c>
      <c r="AC473" s="93" t="str">
        <f t="shared" si="23"/>
        <v/>
      </c>
    </row>
    <row r="474" spans="1:29" x14ac:dyDescent="0.25">
      <c r="A474" s="92">
        <v>564</v>
      </c>
      <c r="B474" s="95" t="str">
        <f t="shared" si="21"/>
        <v>No</v>
      </c>
      <c r="H474" s="92" t="str">
        <f t="shared" si="22"/>
        <v/>
      </c>
      <c r="I474" s="98"/>
      <c r="J474" s="99"/>
      <c r="K474" s="99"/>
      <c r="L474" s="99"/>
      <c r="M474" s="99"/>
      <c r="N474" s="99"/>
      <c r="O474" s="99"/>
      <c r="P474" s="99"/>
      <c r="Q474" s="99"/>
      <c r="R474" s="99"/>
      <c r="S474" s="98"/>
      <c r="T474" s="93"/>
      <c r="U474" s="93"/>
      <c r="V474" s="93"/>
      <c r="W474" s="93"/>
      <c r="X474" s="93" t="str">
        <f>IF($B474="Yes",COUNTIF(Reference!P$52:P$67,$K474),"")</f>
        <v/>
      </c>
      <c r="Y474" s="93" t="str">
        <f>IF($B474="Yes",COUNTIF(Reference!Q$52:Q$67,$K474),"")</f>
        <v/>
      </c>
      <c r="Z474" s="93" t="str">
        <f>IF($B474="Yes",COUNTIF(Reference!R$52:R$67,$K474),"")</f>
        <v/>
      </c>
      <c r="AA474" s="93" t="str">
        <f>IF($B474="Yes",COUNTIF(Reference!S$52:S$67,$K474),"")</f>
        <v/>
      </c>
      <c r="AB474" s="93" t="str">
        <f>IF($B474="Yes",COUNTIF(Reference!T$52:T$67,$K474),"")</f>
        <v/>
      </c>
      <c r="AC474" s="93" t="str">
        <f t="shared" si="23"/>
        <v/>
      </c>
    </row>
    <row r="475" spans="1:29" x14ac:dyDescent="0.25">
      <c r="A475" s="92">
        <v>565</v>
      </c>
      <c r="B475" s="95" t="str">
        <f t="shared" si="21"/>
        <v>No</v>
      </c>
      <c r="H475" s="92" t="str">
        <f t="shared" si="22"/>
        <v/>
      </c>
      <c r="I475" s="98"/>
      <c r="J475" s="99"/>
      <c r="K475" s="99"/>
      <c r="L475" s="99"/>
      <c r="M475" s="99"/>
      <c r="N475" s="99"/>
      <c r="O475" s="99"/>
      <c r="P475" s="99"/>
      <c r="Q475" s="99"/>
      <c r="R475" s="99"/>
      <c r="S475" s="98"/>
      <c r="T475" s="93"/>
      <c r="U475" s="93"/>
      <c r="V475" s="93"/>
      <c r="W475" s="93"/>
      <c r="X475" s="93" t="str">
        <f>IF($B475="Yes",COUNTIF(Reference!P$52:P$67,$K475),"")</f>
        <v/>
      </c>
      <c r="Y475" s="93" t="str">
        <f>IF($B475="Yes",COUNTIF(Reference!Q$52:Q$67,$K475),"")</f>
        <v/>
      </c>
      <c r="Z475" s="93" t="str">
        <f>IF($B475="Yes",COUNTIF(Reference!R$52:R$67,$K475),"")</f>
        <v/>
      </c>
      <c r="AA475" s="93" t="str">
        <f>IF($B475="Yes",COUNTIF(Reference!S$52:S$67,$K475),"")</f>
        <v/>
      </c>
      <c r="AB475" s="93" t="str">
        <f>IF($B475="Yes",COUNTIF(Reference!T$52:T$67,$K475),"")</f>
        <v/>
      </c>
      <c r="AC475" s="93" t="str">
        <f t="shared" si="23"/>
        <v/>
      </c>
    </row>
    <row r="476" spans="1:29" x14ac:dyDescent="0.25">
      <c r="A476" s="92">
        <v>566</v>
      </c>
      <c r="B476" s="95" t="str">
        <f t="shared" si="21"/>
        <v>No</v>
      </c>
      <c r="H476" s="92" t="str">
        <f t="shared" si="22"/>
        <v/>
      </c>
      <c r="I476" s="98"/>
      <c r="J476" s="99"/>
      <c r="K476" s="99"/>
      <c r="L476" s="99"/>
      <c r="M476" s="99"/>
      <c r="N476" s="99"/>
      <c r="O476" s="99"/>
      <c r="P476" s="99"/>
      <c r="Q476" s="99"/>
      <c r="R476" s="99"/>
      <c r="S476" s="98"/>
      <c r="T476" s="93"/>
      <c r="U476" s="93"/>
      <c r="V476" s="93"/>
      <c r="W476" s="93"/>
      <c r="X476" s="93" t="str">
        <f>IF($B476="Yes",COUNTIF(Reference!P$52:P$67,$K476),"")</f>
        <v/>
      </c>
      <c r="Y476" s="93" t="str">
        <f>IF($B476="Yes",COUNTIF(Reference!Q$52:Q$67,$K476),"")</f>
        <v/>
      </c>
      <c r="Z476" s="93" t="str">
        <f>IF($B476="Yes",COUNTIF(Reference!R$52:R$67,$K476),"")</f>
        <v/>
      </c>
      <c r="AA476" s="93" t="str">
        <f>IF($B476="Yes",COUNTIF(Reference!S$52:S$67,$K476),"")</f>
        <v/>
      </c>
      <c r="AB476" s="93" t="str">
        <f>IF($B476="Yes",COUNTIF(Reference!T$52:T$67,$K476),"")</f>
        <v/>
      </c>
      <c r="AC476" s="93" t="str">
        <f t="shared" si="23"/>
        <v/>
      </c>
    </row>
    <row r="477" spans="1:29" x14ac:dyDescent="0.25">
      <c r="A477" s="92">
        <v>567</v>
      </c>
      <c r="B477" s="95" t="str">
        <f t="shared" si="21"/>
        <v>No</v>
      </c>
      <c r="H477" s="92" t="str">
        <f t="shared" si="22"/>
        <v/>
      </c>
      <c r="I477" s="98"/>
      <c r="J477" s="99"/>
      <c r="K477" s="99"/>
      <c r="L477" s="99"/>
      <c r="M477" s="99"/>
      <c r="N477" s="99"/>
      <c r="O477" s="99"/>
      <c r="P477" s="99"/>
      <c r="Q477" s="99"/>
      <c r="R477" s="99"/>
      <c r="S477" s="98"/>
      <c r="T477" s="93"/>
      <c r="U477" s="93"/>
      <c r="V477" s="93"/>
      <c r="W477" s="93"/>
      <c r="X477" s="93" t="str">
        <f>IF($B477="Yes",COUNTIF(Reference!P$52:P$67,$K477),"")</f>
        <v/>
      </c>
      <c r="Y477" s="93" t="str">
        <f>IF($B477="Yes",COUNTIF(Reference!Q$52:Q$67,$K477),"")</f>
        <v/>
      </c>
      <c r="Z477" s="93" t="str">
        <f>IF($B477="Yes",COUNTIF(Reference!R$52:R$67,$K477),"")</f>
        <v/>
      </c>
      <c r="AA477" s="93" t="str">
        <f>IF($B477="Yes",COUNTIF(Reference!S$52:S$67,$K477),"")</f>
        <v/>
      </c>
      <c r="AB477" s="93" t="str">
        <f>IF($B477="Yes",COUNTIF(Reference!T$52:T$67,$K477),"")</f>
        <v/>
      </c>
      <c r="AC477" s="93" t="str">
        <f t="shared" si="23"/>
        <v/>
      </c>
    </row>
    <row r="478" spans="1:29" x14ac:dyDescent="0.25">
      <c r="A478" s="92">
        <v>568</v>
      </c>
      <c r="B478" s="95" t="str">
        <f t="shared" si="21"/>
        <v>No</v>
      </c>
      <c r="H478" s="92" t="str">
        <f t="shared" si="22"/>
        <v/>
      </c>
      <c r="I478" s="98"/>
      <c r="J478" s="99"/>
      <c r="K478" s="99"/>
      <c r="L478" s="99"/>
      <c r="M478" s="99"/>
      <c r="N478" s="99"/>
      <c r="O478" s="99"/>
      <c r="P478" s="99"/>
      <c r="Q478" s="99"/>
      <c r="R478" s="99"/>
      <c r="S478" s="98"/>
      <c r="T478" s="93"/>
      <c r="U478" s="93"/>
      <c r="V478" s="93"/>
      <c r="W478" s="93"/>
      <c r="X478" s="93" t="str">
        <f>IF($B478="Yes",COUNTIF(Reference!P$52:P$67,$K478),"")</f>
        <v/>
      </c>
      <c r="Y478" s="93" t="str">
        <f>IF($B478="Yes",COUNTIF(Reference!Q$52:Q$67,$K478),"")</f>
        <v/>
      </c>
      <c r="Z478" s="93" t="str">
        <f>IF($B478="Yes",COUNTIF(Reference!R$52:R$67,$K478),"")</f>
        <v/>
      </c>
      <c r="AA478" s="93" t="str">
        <f>IF($B478="Yes",COUNTIF(Reference!S$52:S$67,$K478),"")</f>
        <v/>
      </c>
      <c r="AB478" s="93" t="str">
        <f>IF($B478="Yes",COUNTIF(Reference!T$52:T$67,$K478),"")</f>
        <v/>
      </c>
      <c r="AC478" s="93" t="str">
        <f t="shared" si="23"/>
        <v/>
      </c>
    </row>
    <row r="479" spans="1:29" x14ac:dyDescent="0.25">
      <c r="A479" s="92">
        <v>569</v>
      </c>
      <c r="B479" s="95" t="str">
        <f t="shared" si="21"/>
        <v>No</v>
      </c>
      <c r="H479" s="92" t="str">
        <f t="shared" si="22"/>
        <v/>
      </c>
      <c r="I479" s="98"/>
      <c r="J479" s="99"/>
      <c r="K479" s="99"/>
      <c r="L479" s="99"/>
      <c r="M479" s="99"/>
      <c r="N479" s="99"/>
      <c r="O479" s="99"/>
      <c r="P479" s="99"/>
      <c r="Q479" s="99"/>
      <c r="R479" s="99"/>
      <c r="S479" s="98"/>
      <c r="T479" s="93"/>
      <c r="U479" s="93"/>
      <c r="V479" s="93"/>
      <c r="W479" s="93"/>
      <c r="X479" s="93" t="str">
        <f>IF($B479="Yes",COUNTIF(Reference!P$52:P$67,$K479),"")</f>
        <v/>
      </c>
      <c r="Y479" s="93" t="str">
        <f>IF($B479="Yes",COUNTIF(Reference!Q$52:Q$67,$K479),"")</f>
        <v/>
      </c>
      <c r="Z479" s="93" t="str">
        <f>IF($B479="Yes",COUNTIF(Reference!R$52:R$67,$K479),"")</f>
        <v/>
      </c>
      <c r="AA479" s="93" t="str">
        <f>IF($B479="Yes",COUNTIF(Reference!S$52:S$67,$K479),"")</f>
        <v/>
      </c>
      <c r="AB479" s="93" t="str">
        <f>IF($B479="Yes",COUNTIF(Reference!T$52:T$67,$K479),"")</f>
        <v/>
      </c>
      <c r="AC479" s="93" t="str">
        <f t="shared" si="23"/>
        <v/>
      </c>
    </row>
    <row r="480" spans="1:29" x14ac:dyDescent="0.25">
      <c r="A480" s="92">
        <v>570</v>
      </c>
      <c r="B480" s="95" t="str">
        <f t="shared" si="21"/>
        <v>No</v>
      </c>
      <c r="H480" s="92" t="str">
        <f t="shared" si="22"/>
        <v/>
      </c>
      <c r="I480" s="98"/>
      <c r="J480" s="99"/>
      <c r="K480" s="99"/>
      <c r="L480" s="99"/>
      <c r="M480" s="99"/>
      <c r="N480" s="99"/>
      <c r="O480" s="99"/>
      <c r="P480" s="99"/>
      <c r="Q480" s="99"/>
      <c r="R480" s="99"/>
      <c r="S480" s="98"/>
      <c r="T480" s="93"/>
      <c r="U480" s="93"/>
      <c r="V480" s="93"/>
      <c r="W480" s="93"/>
      <c r="X480" s="93" t="str">
        <f>IF($B480="Yes",COUNTIF(Reference!P$52:P$67,$K480),"")</f>
        <v/>
      </c>
      <c r="Y480" s="93" t="str">
        <f>IF($B480="Yes",COUNTIF(Reference!Q$52:Q$67,$K480),"")</f>
        <v/>
      </c>
      <c r="Z480" s="93" t="str">
        <f>IF($B480="Yes",COUNTIF(Reference!R$52:R$67,$K480),"")</f>
        <v/>
      </c>
      <c r="AA480" s="93" t="str">
        <f>IF($B480="Yes",COUNTIF(Reference!S$52:S$67,$K480),"")</f>
        <v/>
      </c>
      <c r="AB480" s="93" t="str">
        <f>IF($B480="Yes",COUNTIF(Reference!T$52:T$67,$K480),"")</f>
        <v/>
      </c>
      <c r="AC480" s="93" t="str">
        <f t="shared" si="23"/>
        <v/>
      </c>
    </row>
    <row r="481" spans="1:29" x14ac:dyDescent="0.25">
      <c r="A481" s="92">
        <v>571</v>
      </c>
      <c r="B481" s="95" t="str">
        <f t="shared" si="21"/>
        <v>No</v>
      </c>
      <c r="H481" s="92" t="str">
        <f t="shared" si="22"/>
        <v/>
      </c>
      <c r="I481" s="98"/>
      <c r="J481" s="99"/>
      <c r="K481" s="99"/>
      <c r="L481" s="99"/>
      <c r="M481" s="99"/>
      <c r="N481" s="99"/>
      <c r="O481" s="99"/>
      <c r="P481" s="99"/>
      <c r="Q481" s="99"/>
      <c r="R481" s="99"/>
      <c r="S481" s="98"/>
      <c r="T481" s="93"/>
      <c r="U481" s="93"/>
      <c r="V481" s="93"/>
      <c r="W481" s="93"/>
      <c r="X481" s="93" t="str">
        <f>IF($B481="Yes",COUNTIF(Reference!P$52:P$67,$K481),"")</f>
        <v/>
      </c>
      <c r="Y481" s="93" t="str">
        <f>IF($B481="Yes",COUNTIF(Reference!Q$52:Q$67,$K481),"")</f>
        <v/>
      </c>
      <c r="Z481" s="93" t="str">
        <f>IF($B481="Yes",COUNTIF(Reference!R$52:R$67,$K481),"")</f>
        <v/>
      </c>
      <c r="AA481" s="93" t="str">
        <f>IF($B481="Yes",COUNTIF(Reference!S$52:S$67,$K481),"")</f>
        <v/>
      </c>
      <c r="AB481" s="93" t="str">
        <f>IF($B481="Yes",COUNTIF(Reference!T$52:T$67,$K481),"")</f>
        <v/>
      </c>
      <c r="AC481" s="93" t="str">
        <f t="shared" si="23"/>
        <v/>
      </c>
    </row>
    <row r="482" spans="1:29" x14ac:dyDescent="0.25">
      <c r="A482" s="92">
        <v>572</v>
      </c>
      <c r="B482" s="95" t="str">
        <f t="shared" si="21"/>
        <v>No</v>
      </c>
      <c r="H482" s="92" t="str">
        <f t="shared" si="22"/>
        <v/>
      </c>
      <c r="I482" s="98"/>
      <c r="J482" s="99"/>
      <c r="K482" s="99"/>
      <c r="L482" s="99"/>
      <c r="M482" s="99"/>
      <c r="N482" s="99"/>
      <c r="O482" s="99"/>
      <c r="P482" s="99"/>
      <c r="Q482" s="99"/>
      <c r="R482" s="99"/>
      <c r="S482" s="98"/>
      <c r="T482" s="93"/>
      <c r="U482" s="93"/>
      <c r="V482" s="93"/>
      <c r="W482" s="93"/>
      <c r="X482" s="93" t="str">
        <f>IF($B482="Yes",COUNTIF(Reference!P$52:P$67,$K482),"")</f>
        <v/>
      </c>
      <c r="Y482" s="93" t="str">
        <f>IF($B482="Yes",COUNTIF(Reference!Q$52:Q$67,$K482),"")</f>
        <v/>
      </c>
      <c r="Z482" s="93" t="str">
        <f>IF($B482="Yes",COUNTIF(Reference!R$52:R$67,$K482),"")</f>
        <v/>
      </c>
      <c r="AA482" s="93" t="str">
        <f>IF($B482="Yes",COUNTIF(Reference!S$52:S$67,$K482),"")</f>
        <v/>
      </c>
      <c r="AB482" s="93" t="str">
        <f>IF($B482="Yes",COUNTIF(Reference!T$52:T$67,$K482),"")</f>
        <v/>
      </c>
      <c r="AC482" s="93" t="str">
        <f t="shared" si="23"/>
        <v/>
      </c>
    </row>
    <row r="483" spans="1:29" x14ac:dyDescent="0.25">
      <c r="A483" s="92">
        <v>573</v>
      </c>
      <c r="B483" s="95" t="str">
        <f t="shared" si="21"/>
        <v>No</v>
      </c>
      <c r="H483" s="92" t="str">
        <f t="shared" si="22"/>
        <v/>
      </c>
      <c r="I483" s="98"/>
      <c r="J483" s="99"/>
      <c r="K483" s="99"/>
      <c r="L483" s="99"/>
      <c r="M483" s="99"/>
      <c r="N483" s="99"/>
      <c r="O483" s="99"/>
      <c r="P483" s="99"/>
      <c r="Q483" s="99"/>
      <c r="R483" s="99"/>
      <c r="S483" s="98"/>
      <c r="T483" s="93"/>
      <c r="U483" s="93"/>
      <c r="V483" s="93"/>
      <c r="W483" s="93"/>
      <c r="X483" s="93" t="str">
        <f>IF($B483="Yes",COUNTIF(Reference!P$52:P$67,$K483),"")</f>
        <v/>
      </c>
      <c r="Y483" s="93" t="str">
        <f>IF($B483="Yes",COUNTIF(Reference!Q$52:Q$67,$K483),"")</f>
        <v/>
      </c>
      <c r="Z483" s="93" t="str">
        <f>IF($B483="Yes",COUNTIF(Reference!R$52:R$67,$K483),"")</f>
        <v/>
      </c>
      <c r="AA483" s="93" t="str">
        <f>IF($B483="Yes",COUNTIF(Reference!S$52:S$67,$K483),"")</f>
        <v/>
      </c>
      <c r="AB483" s="93" t="str">
        <f>IF($B483="Yes",COUNTIF(Reference!T$52:T$67,$K483),"")</f>
        <v/>
      </c>
      <c r="AC483" s="93" t="str">
        <f t="shared" si="23"/>
        <v/>
      </c>
    </row>
    <row r="484" spans="1:29" x14ac:dyDescent="0.25">
      <c r="A484" s="92">
        <v>574</v>
      </c>
      <c r="B484" s="95" t="str">
        <f t="shared" si="21"/>
        <v>No</v>
      </c>
      <c r="H484" s="92" t="str">
        <f t="shared" si="22"/>
        <v/>
      </c>
      <c r="I484" s="98"/>
      <c r="J484" s="99"/>
      <c r="K484" s="99"/>
      <c r="L484" s="99"/>
      <c r="M484" s="99"/>
      <c r="N484" s="99"/>
      <c r="O484" s="99"/>
      <c r="P484" s="99"/>
      <c r="Q484" s="99"/>
      <c r="R484" s="99"/>
      <c r="S484" s="98"/>
      <c r="T484" s="93"/>
      <c r="U484" s="93"/>
      <c r="V484" s="93"/>
      <c r="W484" s="93"/>
      <c r="X484" s="93" t="str">
        <f>IF($B484="Yes",COUNTIF(Reference!P$52:P$67,$K484),"")</f>
        <v/>
      </c>
      <c r="Y484" s="93" t="str">
        <f>IF($B484="Yes",COUNTIF(Reference!Q$52:Q$67,$K484),"")</f>
        <v/>
      </c>
      <c r="Z484" s="93" t="str">
        <f>IF($B484="Yes",COUNTIF(Reference!R$52:R$67,$K484),"")</f>
        <v/>
      </c>
      <c r="AA484" s="93" t="str">
        <f>IF($B484="Yes",COUNTIF(Reference!S$52:S$67,$K484),"")</f>
        <v/>
      </c>
      <c r="AB484" s="93" t="str">
        <f>IF($B484="Yes",COUNTIF(Reference!T$52:T$67,$K484),"")</f>
        <v/>
      </c>
      <c r="AC484" s="93" t="str">
        <f t="shared" si="23"/>
        <v/>
      </c>
    </row>
    <row r="485" spans="1:29" x14ac:dyDescent="0.25">
      <c r="A485" s="92">
        <v>575</v>
      </c>
      <c r="B485" s="95" t="str">
        <f t="shared" si="21"/>
        <v>No</v>
      </c>
      <c r="H485" s="92" t="str">
        <f t="shared" si="22"/>
        <v/>
      </c>
      <c r="I485" s="98"/>
      <c r="J485" s="99"/>
      <c r="K485" s="99"/>
      <c r="L485" s="99"/>
      <c r="M485" s="99"/>
      <c r="N485" s="99"/>
      <c r="O485" s="99"/>
      <c r="P485" s="99"/>
      <c r="Q485" s="99"/>
      <c r="R485" s="99"/>
      <c r="S485" s="98"/>
      <c r="T485" s="93"/>
      <c r="U485" s="93"/>
      <c r="V485" s="93"/>
      <c r="W485" s="93"/>
      <c r="X485" s="93" t="str">
        <f>IF($B485="Yes",COUNTIF(Reference!P$52:P$67,$K485),"")</f>
        <v/>
      </c>
      <c r="Y485" s="93" t="str">
        <f>IF($B485="Yes",COUNTIF(Reference!Q$52:Q$67,$K485),"")</f>
        <v/>
      </c>
      <c r="Z485" s="93" t="str">
        <f>IF($B485="Yes",COUNTIF(Reference!R$52:R$67,$K485),"")</f>
        <v/>
      </c>
      <c r="AA485" s="93" t="str">
        <f>IF($B485="Yes",COUNTIF(Reference!S$52:S$67,$K485),"")</f>
        <v/>
      </c>
      <c r="AB485" s="93" t="str">
        <f>IF($B485="Yes",COUNTIF(Reference!T$52:T$67,$K485),"")</f>
        <v/>
      </c>
      <c r="AC485" s="93" t="str">
        <f t="shared" si="23"/>
        <v/>
      </c>
    </row>
    <row r="486" spans="1:29" x14ac:dyDescent="0.25">
      <c r="A486" s="92">
        <v>576</v>
      </c>
      <c r="B486" s="95" t="str">
        <f t="shared" si="21"/>
        <v>No</v>
      </c>
      <c r="H486" s="92" t="str">
        <f t="shared" si="22"/>
        <v/>
      </c>
      <c r="I486" s="98"/>
      <c r="J486" s="99"/>
      <c r="K486" s="99"/>
      <c r="L486" s="99"/>
      <c r="M486" s="99"/>
      <c r="N486" s="99"/>
      <c r="O486" s="99"/>
      <c r="P486" s="99"/>
      <c r="Q486" s="99"/>
      <c r="R486" s="99"/>
      <c r="S486" s="98"/>
      <c r="T486" s="93"/>
      <c r="U486" s="93"/>
      <c r="V486" s="93"/>
      <c r="W486" s="93"/>
      <c r="X486" s="93" t="str">
        <f>IF($B486="Yes",COUNTIF(Reference!P$52:P$67,$K486),"")</f>
        <v/>
      </c>
      <c r="Y486" s="93" t="str">
        <f>IF($B486="Yes",COUNTIF(Reference!Q$52:Q$67,$K486),"")</f>
        <v/>
      </c>
      <c r="Z486" s="93" t="str">
        <f>IF($B486="Yes",COUNTIF(Reference!R$52:R$67,$K486),"")</f>
        <v/>
      </c>
      <c r="AA486" s="93" t="str">
        <f>IF($B486="Yes",COUNTIF(Reference!S$52:S$67,$K486),"")</f>
        <v/>
      </c>
      <c r="AB486" s="93" t="str">
        <f>IF($B486="Yes",COUNTIF(Reference!T$52:T$67,$K486),"")</f>
        <v/>
      </c>
      <c r="AC486" s="93" t="str">
        <f t="shared" si="23"/>
        <v/>
      </c>
    </row>
    <row r="487" spans="1:29" x14ac:dyDescent="0.25">
      <c r="A487" s="92">
        <v>577</v>
      </c>
      <c r="B487" s="95" t="str">
        <f t="shared" si="21"/>
        <v>No</v>
      </c>
      <c r="H487" s="92" t="str">
        <f t="shared" si="22"/>
        <v/>
      </c>
      <c r="I487" s="98"/>
      <c r="J487" s="99"/>
      <c r="K487" s="99"/>
      <c r="L487" s="99"/>
      <c r="M487" s="99"/>
      <c r="N487" s="99"/>
      <c r="O487" s="99"/>
      <c r="P487" s="99"/>
      <c r="Q487" s="99"/>
      <c r="R487" s="99"/>
      <c r="S487" s="98"/>
      <c r="T487" s="93"/>
      <c r="U487" s="93"/>
      <c r="V487" s="93"/>
      <c r="W487" s="93"/>
      <c r="X487" s="93" t="str">
        <f>IF($B487="Yes",COUNTIF(Reference!P$52:P$67,$K487),"")</f>
        <v/>
      </c>
      <c r="Y487" s="93" t="str">
        <f>IF($B487="Yes",COUNTIF(Reference!Q$52:Q$67,$K487),"")</f>
        <v/>
      </c>
      <c r="Z487" s="93" t="str">
        <f>IF($B487="Yes",COUNTIF(Reference!R$52:R$67,$K487),"")</f>
        <v/>
      </c>
      <c r="AA487" s="93" t="str">
        <f>IF($B487="Yes",COUNTIF(Reference!S$52:S$67,$K487),"")</f>
        <v/>
      </c>
      <c r="AB487" s="93" t="str">
        <f>IF($B487="Yes",COUNTIF(Reference!T$52:T$67,$K487),"")</f>
        <v/>
      </c>
      <c r="AC487" s="93" t="str">
        <f t="shared" si="23"/>
        <v/>
      </c>
    </row>
    <row r="488" spans="1:29" x14ac:dyDescent="0.25">
      <c r="A488" s="92">
        <v>578</v>
      </c>
      <c r="B488" s="95" t="str">
        <f t="shared" si="21"/>
        <v>No</v>
      </c>
      <c r="H488" s="92" t="str">
        <f t="shared" si="22"/>
        <v/>
      </c>
      <c r="I488" s="98"/>
      <c r="J488" s="99"/>
      <c r="K488" s="99"/>
      <c r="L488" s="99"/>
      <c r="M488" s="99"/>
      <c r="N488" s="99"/>
      <c r="O488" s="99"/>
      <c r="P488" s="99"/>
      <c r="Q488" s="99"/>
      <c r="R488" s="99"/>
      <c r="S488" s="98"/>
      <c r="T488" s="93"/>
      <c r="U488" s="93"/>
      <c r="V488" s="93"/>
      <c r="W488" s="93"/>
      <c r="X488" s="93" t="str">
        <f>IF($B488="Yes",COUNTIF(Reference!P$52:P$67,$K488),"")</f>
        <v/>
      </c>
      <c r="Y488" s="93" t="str">
        <f>IF($B488="Yes",COUNTIF(Reference!Q$52:Q$67,$K488),"")</f>
        <v/>
      </c>
      <c r="Z488" s="93" t="str">
        <f>IF($B488="Yes",COUNTIF(Reference!R$52:R$67,$K488),"")</f>
        <v/>
      </c>
      <c r="AA488" s="93" t="str">
        <f>IF($B488="Yes",COUNTIF(Reference!S$52:S$67,$K488),"")</f>
        <v/>
      </c>
      <c r="AB488" s="93" t="str">
        <f>IF($B488="Yes",COUNTIF(Reference!T$52:T$67,$K488),"")</f>
        <v/>
      </c>
      <c r="AC488" s="93" t="str">
        <f t="shared" si="23"/>
        <v/>
      </c>
    </row>
    <row r="489" spans="1:29" x14ac:dyDescent="0.25">
      <c r="A489" s="92">
        <v>579</v>
      </c>
      <c r="B489" s="95" t="str">
        <f t="shared" si="21"/>
        <v>No</v>
      </c>
      <c r="H489" s="92" t="str">
        <f t="shared" si="22"/>
        <v/>
      </c>
      <c r="I489" s="98"/>
      <c r="J489" s="99"/>
      <c r="K489" s="99"/>
      <c r="L489" s="99"/>
      <c r="M489" s="99"/>
      <c r="N489" s="99"/>
      <c r="O489" s="99"/>
      <c r="P489" s="99"/>
      <c r="Q489" s="99"/>
      <c r="R489" s="99"/>
      <c r="S489" s="98"/>
      <c r="T489" s="93"/>
      <c r="U489" s="93"/>
      <c r="V489" s="93"/>
      <c r="W489" s="93"/>
      <c r="X489" s="93" t="str">
        <f>IF($B489="Yes",COUNTIF(Reference!P$52:P$67,$K489),"")</f>
        <v/>
      </c>
      <c r="Y489" s="93" t="str">
        <f>IF($B489="Yes",COUNTIF(Reference!Q$52:Q$67,$K489),"")</f>
        <v/>
      </c>
      <c r="Z489" s="93" t="str">
        <f>IF($B489="Yes",COUNTIF(Reference!R$52:R$67,$K489),"")</f>
        <v/>
      </c>
      <c r="AA489" s="93" t="str">
        <f>IF($B489="Yes",COUNTIF(Reference!S$52:S$67,$K489),"")</f>
        <v/>
      </c>
      <c r="AB489" s="93" t="str">
        <f>IF($B489="Yes",COUNTIF(Reference!T$52:T$67,$K489),"")</f>
        <v/>
      </c>
      <c r="AC489" s="93" t="str">
        <f t="shared" si="23"/>
        <v/>
      </c>
    </row>
    <row r="490" spans="1:29" s="94" customFormat="1" x14ac:dyDescent="0.25">
      <c r="I490" s="96"/>
      <c r="L490" s="96"/>
      <c r="M490" s="96"/>
      <c r="R490" s="96"/>
      <c r="S490" s="16"/>
      <c r="U490" s="135"/>
      <c r="V490" s="135"/>
      <c r="W490" s="135"/>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490"/>
  <sheetViews>
    <sheetView workbookViewId="0">
      <selection activeCell="P2" sqref="P2"/>
    </sheetView>
  </sheetViews>
  <sheetFormatPr defaultRowHeight="15" x14ac:dyDescent="0.25"/>
  <cols>
    <col min="1" max="1" width="9.42578125" style="95" bestFit="1" customWidth="1"/>
    <col min="2" max="2" width="11" style="95" bestFit="1" customWidth="1"/>
    <col min="3" max="7" width="5.7109375" style="95" customWidth="1"/>
    <col min="8" max="8" width="13.140625" style="95" bestFit="1" customWidth="1"/>
    <col min="9" max="9" width="13.140625" style="95" customWidth="1"/>
    <col min="10" max="10" width="38.85546875" style="95" bestFit="1" customWidth="1"/>
    <col min="11" max="11" width="7.7109375" style="95" bestFit="1" customWidth="1"/>
    <col min="12" max="12" width="26.28515625" style="95" bestFit="1" customWidth="1"/>
    <col min="13" max="13" width="7.7109375" style="95" customWidth="1"/>
    <col min="14" max="14" width="23.140625" style="95" bestFit="1" customWidth="1"/>
    <col min="15" max="15" width="5.85546875" style="95" bestFit="1" customWidth="1"/>
    <col min="16" max="16" width="18" style="95" bestFit="1" customWidth="1"/>
    <col min="17" max="17" width="5.28515625" style="95" bestFit="1" customWidth="1"/>
    <col min="18" max="18" width="5.28515625" style="95" customWidth="1"/>
    <col min="19" max="19" width="6.7109375" style="93" customWidth="1"/>
    <col min="20" max="20" width="9.140625" style="95"/>
    <col min="21" max="23" width="9.140625" style="136"/>
    <col min="24" max="16384" width="9.140625" style="95"/>
  </cols>
  <sheetData>
    <row r="1" spans="1:29" s="85" customFormat="1" ht="31.5" customHeight="1" x14ac:dyDescent="0.25">
      <c r="A1" s="85" t="s">
        <v>801</v>
      </c>
      <c r="B1" s="89"/>
      <c r="J1" s="85">
        <f>COUNTA(J10:J489)</f>
        <v>168</v>
      </c>
      <c r="S1" s="84"/>
    </row>
    <row r="2" spans="1:29" s="85" customFormat="1" x14ac:dyDescent="0.25"/>
    <row r="3" spans="1:29" s="85" customFormat="1" x14ac:dyDescent="0.25"/>
    <row r="4" spans="1:29" s="85" customFormat="1" x14ac:dyDescent="0.25">
      <c r="S4" s="84"/>
    </row>
    <row r="5" spans="1:29" s="85" customFormat="1" x14ac:dyDescent="0.25"/>
    <row r="6" spans="1:29" s="85" customFormat="1" x14ac:dyDescent="0.25">
      <c r="S6" s="84"/>
    </row>
    <row r="7" spans="1:29" s="85" customFormat="1" x14ac:dyDescent="0.25">
      <c r="B7" s="85">
        <f>COUNTIF(B10:B489,"Yes")</f>
        <v>168</v>
      </c>
      <c r="J7" s="85" t="s">
        <v>876</v>
      </c>
      <c r="S7" s="84"/>
    </row>
    <row r="8" spans="1:29" s="85" customFormat="1" x14ac:dyDescent="0.25">
      <c r="S8" s="84"/>
    </row>
    <row r="9" spans="1:29" x14ac:dyDescent="0.25">
      <c r="A9" s="95" t="s">
        <v>1011</v>
      </c>
      <c r="B9" s="95" t="s">
        <v>902</v>
      </c>
      <c r="H9" s="95" t="s">
        <v>815</v>
      </c>
      <c r="I9" s="95" t="s">
        <v>1010</v>
      </c>
      <c r="J9" s="95" t="s">
        <v>802</v>
      </c>
      <c r="K9" s="95" t="s">
        <v>2</v>
      </c>
      <c r="L9" s="95" t="s">
        <v>803</v>
      </c>
      <c r="M9" s="95" t="s">
        <v>811</v>
      </c>
      <c r="N9" s="95" t="s">
        <v>1</v>
      </c>
      <c r="O9" s="95" t="s">
        <v>389</v>
      </c>
      <c r="P9" s="95" t="s">
        <v>804</v>
      </c>
      <c r="X9" s="95" t="s">
        <v>3</v>
      </c>
      <c r="Y9" s="95" t="s">
        <v>4</v>
      </c>
      <c r="Z9" s="95" t="s">
        <v>5</v>
      </c>
      <c r="AA9" s="95" t="s">
        <v>6</v>
      </c>
      <c r="AB9" s="95" t="s">
        <v>7</v>
      </c>
      <c r="AC9" s="95" t="s">
        <v>8</v>
      </c>
    </row>
    <row r="10" spans="1:29" x14ac:dyDescent="0.25">
      <c r="A10" s="95">
        <v>100</v>
      </c>
      <c r="B10" s="95" t="str">
        <f>IF(COUNTBLANK(J10:M10)=0,"Yes","No")</f>
        <v>Yes</v>
      </c>
      <c r="H10" s="95" t="str">
        <f>IF(J10="","",$A$1&amp;"-"&amp;A10)</f>
        <v>PL2-100</v>
      </c>
      <c r="I10" s="111"/>
      <c r="J10" s="112" t="s">
        <v>903</v>
      </c>
      <c r="K10" s="112" t="s">
        <v>6</v>
      </c>
      <c r="L10" s="112" t="s">
        <v>13</v>
      </c>
      <c r="M10" s="112" t="s">
        <v>807</v>
      </c>
      <c r="N10" s="112"/>
      <c r="O10" s="112">
        <v>60</v>
      </c>
      <c r="P10" s="112"/>
      <c r="Q10" s="112"/>
      <c r="R10" s="112"/>
      <c r="S10" s="111"/>
      <c r="T10" s="93"/>
      <c r="U10" s="93"/>
      <c r="V10" s="93"/>
      <c r="W10" s="93"/>
      <c r="X10" s="93">
        <f>IF($B10="Yes",COUNTIF(Reference!P$52:P$67,$K10),"")</f>
        <v>0</v>
      </c>
      <c r="Y10" s="93">
        <f>IF($B10="Yes",COUNTIF(Reference!Q$52:Q$67,$K10),"")</f>
        <v>0</v>
      </c>
      <c r="Z10" s="93">
        <f>IF($B10="Yes",COUNTIF(Reference!R$52:R$67,$K10),"")</f>
        <v>0</v>
      </c>
      <c r="AA10" s="93">
        <f>IF($B10="Yes",COUNTIF(Reference!S$52:S$67,$K10),"")</f>
        <v>1</v>
      </c>
      <c r="AB10" s="93">
        <f>IF($B10="Yes",COUNTIF(Reference!T$52:T$67,$K10),"")</f>
        <v>0</v>
      </c>
      <c r="AC10" s="93">
        <f>IF($B10="Yes",COUNTIF(K10,"N"),"")</f>
        <v>0</v>
      </c>
    </row>
    <row r="11" spans="1:29" x14ac:dyDescent="0.25">
      <c r="A11" s="95">
        <v>101</v>
      </c>
      <c r="B11" s="95" t="str">
        <f t="shared" ref="B11:B74" si="0">IF(COUNTBLANK(J11:M11)=0,"Yes","No")</f>
        <v>Yes</v>
      </c>
      <c r="H11" s="95" t="str">
        <f t="shared" ref="H11:H74" si="1">IF(J11="","",$A$1&amp;"-"&amp;A11)</f>
        <v>PL2-101</v>
      </c>
      <c r="I11" s="111"/>
      <c r="J11" s="112" t="s">
        <v>904</v>
      </c>
      <c r="K11" s="112" t="s">
        <v>444</v>
      </c>
      <c r="L11" s="112" t="s">
        <v>14</v>
      </c>
      <c r="M11" s="112" t="s">
        <v>809</v>
      </c>
      <c r="N11" s="112"/>
      <c r="O11" s="112">
        <v>60</v>
      </c>
      <c r="P11" s="112" t="s">
        <v>905</v>
      </c>
      <c r="Q11" s="112"/>
      <c r="R11" s="112"/>
      <c r="S11" s="111"/>
      <c r="T11" s="93"/>
      <c r="U11" s="93"/>
      <c r="V11" s="93"/>
      <c r="W11" s="93"/>
      <c r="X11" s="93">
        <f>IF($B11="Yes",COUNTIF(Reference!P$52:P$67,$K11),"")</f>
        <v>1</v>
      </c>
      <c r="Y11" s="93">
        <f>IF($B11="Yes",COUNTIF(Reference!Q$52:Q$67,$K11),"")</f>
        <v>0</v>
      </c>
      <c r="Z11" s="93">
        <f>IF($B11="Yes",COUNTIF(Reference!R$52:R$67,$K11),"")</f>
        <v>0</v>
      </c>
      <c r="AA11" s="93">
        <f>IF($B11="Yes",COUNTIF(Reference!S$52:S$67,$K11),"")</f>
        <v>1</v>
      </c>
      <c r="AB11" s="93">
        <f>IF($B11="Yes",COUNTIF(Reference!T$52:T$67,$K11),"")</f>
        <v>1</v>
      </c>
      <c r="AC11" s="93">
        <f t="shared" ref="AC11:AC74" si="2">IF($B11="Yes",COUNTIF(K11,"N"),"")</f>
        <v>0</v>
      </c>
    </row>
    <row r="12" spans="1:29" x14ac:dyDescent="0.25">
      <c r="A12" s="95">
        <v>102</v>
      </c>
      <c r="B12" s="95" t="str">
        <f t="shared" si="0"/>
        <v>Yes</v>
      </c>
      <c r="H12" s="95" t="str">
        <f t="shared" si="1"/>
        <v>PL2-102</v>
      </c>
      <c r="I12" s="111"/>
      <c r="J12" s="112" t="s">
        <v>39</v>
      </c>
      <c r="K12" s="112" t="s">
        <v>3</v>
      </c>
      <c r="L12" s="112" t="s">
        <v>14</v>
      </c>
      <c r="M12" s="112" t="s">
        <v>809</v>
      </c>
      <c r="N12" s="112"/>
      <c r="O12" s="112">
        <v>60</v>
      </c>
      <c r="P12" s="112"/>
      <c r="Q12" s="112"/>
      <c r="R12" s="112"/>
      <c r="S12" s="111"/>
      <c r="T12" s="93"/>
      <c r="U12" s="93"/>
      <c r="V12" s="93"/>
      <c r="W12" s="93"/>
      <c r="X12" s="93">
        <f>IF($B12="Yes",COUNTIF(Reference!P$52:P$67,$K12),"")</f>
        <v>1</v>
      </c>
      <c r="Y12" s="93">
        <f>IF($B12="Yes",COUNTIF(Reference!Q$52:Q$67,$K12),"")</f>
        <v>0</v>
      </c>
      <c r="Z12" s="93">
        <f>IF($B12="Yes",COUNTIF(Reference!R$52:R$67,$K12),"")</f>
        <v>0</v>
      </c>
      <c r="AA12" s="93">
        <f>IF($B12="Yes",COUNTIF(Reference!S$52:S$67,$K12),"")</f>
        <v>0</v>
      </c>
      <c r="AB12" s="93">
        <f>IF($B12="Yes",COUNTIF(Reference!T$52:T$67,$K12),"")</f>
        <v>0</v>
      </c>
      <c r="AC12" s="93">
        <f t="shared" si="2"/>
        <v>0</v>
      </c>
    </row>
    <row r="13" spans="1:29" x14ac:dyDescent="0.25">
      <c r="A13" s="95">
        <v>103</v>
      </c>
      <c r="B13" s="95" t="str">
        <f t="shared" si="0"/>
        <v>Yes</v>
      </c>
      <c r="H13" s="95" t="str">
        <f t="shared" si="1"/>
        <v>PL2-103</v>
      </c>
      <c r="I13" s="111"/>
      <c r="J13" s="112" t="s">
        <v>15</v>
      </c>
      <c r="K13" s="112" t="s">
        <v>450</v>
      </c>
      <c r="L13" s="112" t="s">
        <v>13</v>
      </c>
      <c r="M13" s="112" t="s">
        <v>809</v>
      </c>
      <c r="N13" s="112"/>
      <c r="O13" s="112">
        <v>60</v>
      </c>
      <c r="P13" s="112" t="s">
        <v>16</v>
      </c>
      <c r="Q13" s="112"/>
      <c r="R13" s="112"/>
      <c r="S13" s="111"/>
      <c r="T13" s="93"/>
      <c r="U13" s="93"/>
      <c r="V13" s="93"/>
      <c r="W13" s="93"/>
      <c r="X13" s="93">
        <f>IF($B13="Yes",COUNTIF(Reference!P$52:P$67,$K13),"")</f>
        <v>1</v>
      </c>
      <c r="Y13" s="93">
        <f>IF($B13="Yes",COUNTIF(Reference!Q$52:Q$67,$K13),"")</f>
        <v>1</v>
      </c>
      <c r="Z13" s="93">
        <f>IF($B13="Yes",COUNTIF(Reference!R$52:R$67,$K13),"")</f>
        <v>1</v>
      </c>
      <c r="AA13" s="93">
        <f>IF($B13="Yes",COUNTIF(Reference!S$52:S$67,$K13),"")</f>
        <v>0</v>
      </c>
      <c r="AB13" s="93">
        <f>IF($B13="Yes",COUNTIF(Reference!T$52:T$67,$K13),"")</f>
        <v>0</v>
      </c>
      <c r="AC13" s="93">
        <f t="shared" si="2"/>
        <v>0</v>
      </c>
    </row>
    <row r="14" spans="1:29" x14ac:dyDescent="0.25">
      <c r="A14" s="95">
        <v>104</v>
      </c>
      <c r="B14" s="95" t="str">
        <f t="shared" si="0"/>
        <v>Yes</v>
      </c>
      <c r="H14" s="95" t="str">
        <f t="shared" si="1"/>
        <v>PL2-104</v>
      </c>
      <c r="I14" s="111"/>
      <c r="J14" s="112" t="s">
        <v>24</v>
      </c>
      <c r="K14" s="112" t="s">
        <v>420</v>
      </c>
      <c r="L14" s="112" t="s">
        <v>14</v>
      </c>
      <c r="M14" s="112" t="s">
        <v>809</v>
      </c>
      <c r="N14" s="112"/>
      <c r="O14" s="112">
        <v>60</v>
      </c>
      <c r="P14" s="112" t="s">
        <v>16</v>
      </c>
      <c r="Q14" s="112"/>
      <c r="R14" s="112"/>
      <c r="S14" s="111"/>
      <c r="T14" s="93"/>
      <c r="U14" s="93"/>
      <c r="V14" s="93"/>
      <c r="W14" s="93"/>
      <c r="X14" s="93">
        <f>IF($B14="Yes",COUNTIF(Reference!P$52:P$67,$K14),"")</f>
        <v>0</v>
      </c>
      <c r="Y14" s="93">
        <f>IF($B14="Yes",COUNTIF(Reference!Q$52:Q$67,$K14),"")</f>
        <v>0</v>
      </c>
      <c r="Z14" s="93">
        <f>IF($B14="Yes",COUNTIF(Reference!R$52:R$67,$K14),"")</f>
        <v>1</v>
      </c>
      <c r="AA14" s="93">
        <f>IF($B14="Yes",COUNTIF(Reference!S$52:S$67,$K14),"")</f>
        <v>1</v>
      </c>
      <c r="AB14" s="93">
        <f>IF($B14="Yes",COUNTIF(Reference!T$52:T$67,$K14),"")</f>
        <v>0</v>
      </c>
      <c r="AC14" s="93">
        <f t="shared" si="2"/>
        <v>0</v>
      </c>
    </row>
    <row r="15" spans="1:29" x14ac:dyDescent="0.25">
      <c r="A15" s="95">
        <v>105</v>
      </c>
      <c r="B15" s="95" t="str">
        <f t="shared" si="0"/>
        <v>Yes</v>
      </c>
      <c r="H15" s="95" t="str">
        <f t="shared" si="1"/>
        <v>PL2-105</v>
      </c>
      <c r="I15" s="111"/>
      <c r="J15" s="112" t="s">
        <v>906</v>
      </c>
      <c r="K15" s="112" t="s">
        <v>420</v>
      </c>
      <c r="L15" s="112" t="s">
        <v>14</v>
      </c>
      <c r="M15" s="112" t="s">
        <v>809</v>
      </c>
      <c r="N15" s="112"/>
      <c r="O15" s="112">
        <v>60</v>
      </c>
      <c r="P15" s="112" t="s">
        <v>16</v>
      </c>
      <c r="Q15" s="112"/>
      <c r="R15" s="112"/>
      <c r="S15" s="111"/>
      <c r="T15" s="93"/>
      <c r="U15" s="93"/>
      <c r="V15" s="93"/>
      <c r="W15" s="93"/>
      <c r="X15" s="93">
        <f>IF($B15="Yes",COUNTIF(Reference!P$52:P$67,$K15),"")</f>
        <v>0</v>
      </c>
      <c r="Y15" s="93">
        <f>IF($B15="Yes",COUNTIF(Reference!Q$52:Q$67,$K15),"")</f>
        <v>0</v>
      </c>
      <c r="Z15" s="93">
        <f>IF($B15="Yes",COUNTIF(Reference!R$52:R$67,$K15),"")</f>
        <v>1</v>
      </c>
      <c r="AA15" s="93">
        <f>IF($B15="Yes",COUNTIF(Reference!S$52:S$67,$K15),"")</f>
        <v>1</v>
      </c>
      <c r="AB15" s="93">
        <f>IF($B15="Yes",COUNTIF(Reference!T$52:T$67,$K15),"")</f>
        <v>0</v>
      </c>
      <c r="AC15" s="93">
        <f t="shared" si="2"/>
        <v>0</v>
      </c>
    </row>
    <row r="16" spans="1:29" x14ac:dyDescent="0.25">
      <c r="A16" s="95">
        <v>106</v>
      </c>
      <c r="B16" s="95" t="str">
        <f t="shared" si="0"/>
        <v>Yes</v>
      </c>
      <c r="H16" s="95" t="str">
        <f t="shared" si="1"/>
        <v>PL2-106</v>
      </c>
      <c r="I16" s="111"/>
      <c r="J16" s="112" t="s">
        <v>102</v>
      </c>
      <c r="K16" s="112" t="s">
        <v>436</v>
      </c>
      <c r="L16" s="112" t="s">
        <v>14</v>
      </c>
      <c r="M16" s="112" t="s">
        <v>809</v>
      </c>
      <c r="N16" s="112"/>
      <c r="O16" s="112">
        <v>60</v>
      </c>
      <c r="P16" s="112" t="s">
        <v>16</v>
      </c>
      <c r="Q16" s="112"/>
      <c r="R16" s="112"/>
      <c r="S16" s="111"/>
      <c r="T16" s="93"/>
      <c r="U16" s="93"/>
      <c r="V16" s="93"/>
      <c r="W16" s="93"/>
      <c r="X16" s="93">
        <f>IF($B16="Yes",COUNTIF(Reference!P$52:P$67,$K16),"")</f>
        <v>1</v>
      </c>
      <c r="Y16" s="93">
        <f>IF($B16="Yes",COUNTIF(Reference!Q$52:Q$67,$K16),"")</f>
        <v>0</v>
      </c>
      <c r="Z16" s="93">
        <f>IF($B16="Yes",COUNTIF(Reference!R$52:R$67,$K16),"")</f>
        <v>0</v>
      </c>
      <c r="AA16" s="93">
        <f>IF($B16="Yes",COUNTIF(Reference!S$52:S$67,$K16),"")</f>
        <v>0</v>
      </c>
      <c r="AB16" s="93">
        <f>IF($B16="Yes",COUNTIF(Reference!T$52:T$67,$K16),"")</f>
        <v>1</v>
      </c>
      <c r="AC16" s="93">
        <f t="shared" si="2"/>
        <v>0</v>
      </c>
    </row>
    <row r="17" spans="1:29" x14ac:dyDescent="0.25">
      <c r="A17" s="95">
        <v>107</v>
      </c>
      <c r="B17" s="95" t="str">
        <f t="shared" si="0"/>
        <v>Yes</v>
      </c>
      <c r="H17" s="95" t="str">
        <f t="shared" si="1"/>
        <v>PL2-107</v>
      </c>
      <c r="I17" s="111"/>
      <c r="J17" s="112" t="s">
        <v>907</v>
      </c>
      <c r="K17" s="112" t="s">
        <v>420</v>
      </c>
      <c r="L17" s="112" t="s">
        <v>14</v>
      </c>
      <c r="M17" s="112" t="s">
        <v>809</v>
      </c>
      <c r="N17" s="112"/>
      <c r="O17" s="112">
        <v>60</v>
      </c>
      <c r="P17" s="112"/>
      <c r="Q17" s="112"/>
      <c r="R17" s="112"/>
      <c r="S17" s="111"/>
      <c r="T17" s="93"/>
      <c r="U17" s="93"/>
      <c r="V17" s="93"/>
      <c r="W17" s="93"/>
      <c r="X17" s="93">
        <f>IF($B17="Yes",COUNTIF(Reference!P$52:P$67,$K17),"")</f>
        <v>0</v>
      </c>
      <c r="Y17" s="93">
        <f>IF($B17="Yes",COUNTIF(Reference!Q$52:Q$67,$K17),"")</f>
        <v>0</v>
      </c>
      <c r="Z17" s="93">
        <f>IF($B17="Yes",COUNTIF(Reference!R$52:R$67,$K17),"")</f>
        <v>1</v>
      </c>
      <c r="AA17" s="93">
        <f>IF($B17="Yes",COUNTIF(Reference!S$52:S$67,$K17),"")</f>
        <v>1</v>
      </c>
      <c r="AB17" s="93">
        <f>IF($B17="Yes",COUNTIF(Reference!T$52:T$67,$K17),"")</f>
        <v>0</v>
      </c>
      <c r="AC17" s="93">
        <f t="shared" si="2"/>
        <v>0</v>
      </c>
    </row>
    <row r="18" spans="1:29" x14ac:dyDescent="0.25">
      <c r="A18" s="95">
        <v>108</v>
      </c>
      <c r="B18" s="95" t="str">
        <f t="shared" si="0"/>
        <v>Yes</v>
      </c>
      <c r="H18" s="95" t="str">
        <f t="shared" si="1"/>
        <v>PL2-108</v>
      </c>
      <c r="I18" s="111"/>
      <c r="J18" s="112" t="s">
        <v>908</v>
      </c>
      <c r="K18" s="112" t="s">
        <v>434</v>
      </c>
      <c r="L18" s="112" t="s">
        <v>14</v>
      </c>
      <c r="M18" s="112" t="s">
        <v>5</v>
      </c>
      <c r="N18" s="112"/>
      <c r="O18" s="112">
        <v>60</v>
      </c>
      <c r="P18" s="112"/>
      <c r="Q18" s="112"/>
      <c r="R18" s="112"/>
      <c r="S18" s="111"/>
      <c r="T18" s="93"/>
      <c r="U18" s="93"/>
      <c r="V18" s="93"/>
      <c r="W18" s="93"/>
      <c r="X18" s="93">
        <f>IF($B18="Yes",COUNTIF(Reference!P$52:P$67,$K18),"")</f>
        <v>1</v>
      </c>
      <c r="Y18" s="93">
        <f>IF($B18="Yes",COUNTIF(Reference!Q$52:Q$67,$K18),"")</f>
        <v>1</v>
      </c>
      <c r="Z18" s="93">
        <f>IF($B18="Yes",COUNTIF(Reference!R$52:R$67,$K18),"")</f>
        <v>0</v>
      </c>
      <c r="AA18" s="93">
        <f>IF($B18="Yes",COUNTIF(Reference!S$52:S$67,$K18),"")</f>
        <v>0</v>
      </c>
      <c r="AB18" s="93">
        <f>IF($B18="Yes",COUNTIF(Reference!T$52:T$67,$K18),"")</f>
        <v>0</v>
      </c>
      <c r="AC18" s="93">
        <f t="shared" si="2"/>
        <v>0</v>
      </c>
    </row>
    <row r="19" spans="1:29" x14ac:dyDescent="0.25">
      <c r="A19" s="95">
        <v>109</v>
      </c>
      <c r="B19" s="95" t="str">
        <f t="shared" si="0"/>
        <v>Yes</v>
      </c>
      <c r="H19" s="95" t="str">
        <f t="shared" si="1"/>
        <v>PL2-109</v>
      </c>
      <c r="I19" s="111"/>
      <c r="J19" s="112" t="s">
        <v>909</v>
      </c>
      <c r="K19" s="112" t="s">
        <v>434</v>
      </c>
      <c r="L19" s="112" t="s">
        <v>13</v>
      </c>
      <c r="M19" s="112" t="s">
        <v>5</v>
      </c>
      <c r="N19" s="112"/>
      <c r="O19" s="112">
        <v>60</v>
      </c>
      <c r="P19" s="112"/>
      <c r="Q19" s="112"/>
      <c r="R19" s="112"/>
      <c r="S19" s="111"/>
      <c r="T19" s="93"/>
      <c r="U19" s="93"/>
      <c r="V19" s="93"/>
      <c r="W19" s="93"/>
      <c r="X19" s="93">
        <f>IF($B19="Yes",COUNTIF(Reference!P$52:P$67,$K19),"")</f>
        <v>1</v>
      </c>
      <c r="Y19" s="93">
        <f>IF($B19="Yes",COUNTIF(Reference!Q$52:Q$67,$K19),"")</f>
        <v>1</v>
      </c>
      <c r="Z19" s="93">
        <f>IF($B19="Yes",COUNTIF(Reference!R$52:R$67,$K19),"")</f>
        <v>0</v>
      </c>
      <c r="AA19" s="93">
        <f>IF($B19="Yes",COUNTIF(Reference!S$52:S$67,$K19),"")</f>
        <v>0</v>
      </c>
      <c r="AB19" s="93">
        <f>IF($B19="Yes",COUNTIF(Reference!T$52:T$67,$K19),"")</f>
        <v>0</v>
      </c>
      <c r="AC19" s="93">
        <f t="shared" si="2"/>
        <v>0</v>
      </c>
    </row>
    <row r="20" spans="1:29" x14ac:dyDescent="0.25">
      <c r="A20" s="95">
        <v>110</v>
      </c>
      <c r="B20" s="95" t="str">
        <f t="shared" si="0"/>
        <v>Yes</v>
      </c>
      <c r="H20" s="95" t="str">
        <f t="shared" si="1"/>
        <v>PL2-110</v>
      </c>
      <c r="I20" s="111"/>
      <c r="J20" s="112" t="s">
        <v>17</v>
      </c>
      <c r="K20" s="112" t="s">
        <v>418</v>
      </c>
      <c r="L20" s="112" t="s">
        <v>14</v>
      </c>
      <c r="M20" s="112" t="s">
        <v>5</v>
      </c>
      <c r="N20" s="112"/>
      <c r="O20" s="112">
        <v>60</v>
      </c>
      <c r="P20" s="112"/>
      <c r="Q20" s="112"/>
      <c r="R20" s="112"/>
      <c r="S20" s="111"/>
      <c r="T20" s="93"/>
      <c r="U20" s="93"/>
      <c r="V20" s="93"/>
      <c r="W20" s="93"/>
      <c r="X20" s="93">
        <f>IF($B20="Yes",COUNTIF(Reference!P$52:P$67,$K20),"")</f>
        <v>0</v>
      </c>
      <c r="Y20" s="93">
        <f>IF($B20="Yes",COUNTIF(Reference!Q$52:Q$67,$K20),"")</f>
        <v>1</v>
      </c>
      <c r="Z20" s="93">
        <f>IF($B20="Yes",COUNTIF(Reference!R$52:R$67,$K20),"")</f>
        <v>1</v>
      </c>
      <c r="AA20" s="93">
        <f>IF($B20="Yes",COUNTIF(Reference!S$52:S$67,$K20),"")</f>
        <v>0</v>
      </c>
      <c r="AB20" s="93">
        <f>IF($B20="Yes",COUNTIF(Reference!T$52:T$67,$K20),"")</f>
        <v>0</v>
      </c>
      <c r="AC20" s="93">
        <f t="shared" si="2"/>
        <v>0</v>
      </c>
    </row>
    <row r="21" spans="1:29" x14ac:dyDescent="0.25">
      <c r="A21" s="95">
        <v>111</v>
      </c>
      <c r="B21" s="95" t="str">
        <f t="shared" si="0"/>
        <v>Yes</v>
      </c>
      <c r="H21" s="95" t="str">
        <f t="shared" si="1"/>
        <v>PL2-111</v>
      </c>
      <c r="I21" s="111"/>
      <c r="J21" s="112" t="s">
        <v>910</v>
      </c>
      <c r="K21" s="112" t="s">
        <v>440</v>
      </c>
      <c r="L21" s="112" t="s">
        <v>14</v>
      </c>
      <c r="M21" s="112" t="s">
        <v>809</v>
      </c>
      <c r="N21" s="112"/>
      <c r="O21" s="112">
        <v>60</v>
      </c>
      <c r="P21" s="112"/>
      <c r="Q21" s="112"/>
      <c r="R21" s="112"/>
      <c r="S21" s="111"/>
      <c r="T21" s="93"/>
      <c r="U21" s="93"/>
      <c r="V21" s="93"/>
      <c r="W21" s="93"/>
      <c r="X21" s="93">
        <f>IF($B21="Yes",COUNTIF(Reference!P$52:P$67,$K21),"")</f>
        <v>1</v>
      </c>
      <c r="Y21" s="93">
        <f>IF($B21="Yes",COUNTIF(Reference!Q$52:Q$67,$K21),"")</f>
        <v>0</v>
      </c>
      <c r="Z21" s="93">
        <f>IF($B21="Yes",COUNTIF(Reference!R$52:R$67,$K21),"")</f>
        <v>0</v>
      </c>
      <c r="AA21" s="93">
        <f>IF($B21="Yes",COUNTIF(Reference!S$52:S$67,$K21),"")</f>
        <v>1</v>
      </c>
      <c r="AB21" s="93">
        <f>IF($B21="Yes",COUNTIF(Reference!T$52:T$67,$K21),"")</f>
        <v>0</v>
      </c>
      <c r="AC21" s="93">
        <f t="shared" si="2"/>
        <v>0</v>
      </c>
    </row>
    <row r="22" spans="1:29" x14ac:dyDescent="0.25">
      <c r="A22" s="95">
        <v>112</v>
      </c>
      <c r="B22" s="95" t="str">
        <f t="shared" si="0"/>
        <v>Yes</v>
      </c>
      <c r="H22" s="95" t="str">
        <f t="shared" si="1"/>
        <v>PL2-112</v>
      </c>
      <c r="I22" s="111"/>
      <c r="J22" s="112" t="s">
        <v>18</v>
      </c>
      <c r="K22" s="112" t="s">
        <v>428</v>
      </c>
      <c r="L22" s="112" t="s">
        <v>14</v>
      </c>
      <c r="M22" s="112" t="s">
        <v>5</v>
      </c>
      <c r="N22" s="112"/>
      <c r="O22" s="112">
        <v>60</v>
      </c>
      <c r="P22" s="112"/>
      <c r="Q22" s="112"/>
      <c r="R22" s="112"/>
      <c r="S22" s="111"/>
      <c r="T22" s="93"/>
      <c r="U22" s="93"/>
      <c r="V22" s="93"/>
      <c r="W22" s="93"/>
      <c r="X22" s="93">
        <f>IF($B22="Yes",COUNTIF(Reference!P$52:P$67,$K22),"")</f>
        <v>0</v>
      </c>
      <c r="Y22" s="93">
        <f>IF($B22="Yes",COUNTIF(Reference!Q$52:Q$67,$K22),"")</f>
        <v>0</v>
      </c>
      <c r="Z22" s="93">
        <f>IF($B22="Yes",COUNTIF(Reference!R$52:R$67,$K22),"")</f>
        <v>0</v>
      </c>
      <c r="AA22" s="93">
        <f>IF($B22="Yes",COUNTIF(Reference!S$52:S$67,$K22),"")</f>
        <v>1</v>
      </c>
      <c r="AB22" s="93">
        <f>IF($B22="Yes",COUNTIF(Reference!T$52:T$67,$K22),"")</f>
        <v>1</v>
      </c>
      <c r="AC22" s="93">
        <f t="shared" si="2"/>
        <v>0</v>
      </c>
    </row>
    <row r="23" spans="1:29" x14ac:dyDescent="0.25">
      <c r="A23" s="95">
        <v>113</v>
      </c>
      <c r="B23" s="95" t="str">
        <f t="shared" si="0"/>
        <v>Yes</v>
      </c>
      <c r="H23" s="95" t="str">
        <f t="shared" si="1"/>
        <v>PL2-113</v>
      </c>
      <c r="I23" s="111"/>
      <c r="J23" s="112" t="s">
        <v>911</v>
      </c>
      <c r="K23" s="112" t="s">
        <v>3</v>
      </c>
      <c r="L23" s="112" t="s">
        <v>13</v>
      </c>
      <c r="M23" s="112" t="s">
        <v>809</v>
      </c>
      <c r="N23" s="112"/>
      <c r="O23" s="112">
        <v>80</v>
      </c>
      <c r="P23" s="112"/>
      <c r="Q23" s="112"/>
      <c r="R23" s="112"/>
      <c r="S23" s="111"/>
      <c r="T23" s="93"/>
      <c r="U23" s="93"/>
      <c r="V23" s="93"/>
      <c r="W23" s="93"/>
      <c r="X23" s="93">
        <f>IF($B23="Yes",COUNTIF(Reference!P$52:P$67,$K23),"")</f>
        <v>1</v>
      </c>
      <c r="Y23" s="93">
        <f>IF($B23="Yes",COUNTIF(Reference!Q$52:Q$67,$K23),"")</f>
        <v>0</v>
      </c>
      <c r="Z23" s="93">
        <f>IF($B23="Yes",COUNTIF(Reference!R$52:R$67,$K23),"")</f>
        <v>0</v>
      </c>
      <c r="AA23" s="93">
        <f>IF($B23="Yes",COUNTIF(Reference!S$52:S$67,$K23),"")</f>
        <v>0</v>
      </c>
      <c r="AB23" s="93">
        <f>IF($B23="Yes",COUNTIF(Reference!T$52:T$67,$K23),"")</f>
        <v>0</v>
      </c>
      <c r="AC23" s="93">
        <f t="shared" si="2"/>
        <v>0</v>
      </c>
    </row>
    <row r="24" spans="1:29" x14ac:dyDescent="0.25">
      <c r="A24" s="95">
        <v>114</v>
      </c>
      <c r="B24" s="95" t="str">
        <f t="shared" si="0"/>
        <v>Yes</v>
      </c>
      <c r="H24" s="95" t="str">
        <f t="shared" si="1"/>
        <v>PL2-114</v>
      </c>
      <c r="I24" s="111"/>
      <c r="J24" s="112" t="s">
        <v>912</v>
      </c>
      <c r="K24" s="112" t="s">
        <v>417</v>
      </c>
      <c r="L24" s="112" t="s">
        <v>14</v>
      </c>
      <c r="M24" s="112" t="s">
        <v>5</v>
      </c>
      <c r="N24" s="112"/>
      <c r="O24" s="112">
        <v>60</v>
      </c>
      <c r="P24" s="112"/>
      <c r="Q24" s="112"/>
      <c r="R24" s="112"/>
      <c r="S24" s="111"/>
      <c r="T24" s="93"/>
      <c r="U24" s="93"/>
      <c r="V24" s="93"/>
      <c r="W24" s="93"/>
      <c r="X24" s="93">
        <f>IF($B24="Yes",COUNTIF(Reference!P$52:P$67,$K24),"")</f>
        <v>1</v>
      </c>
      <c r="Y24" s="93">
        <f>IF($B24="Yes",COUNTIF(Reference!Q$52:Q$67,$K24),"")</f>
        <v>0</v>
      </c>
      <c r="Z24" s="93">
        <f>IF($B24="Yes",COUNTIF(Reference!R$52:R$67,$K24),"")</f>
        <v>1</v>
      </c>
      <c r="AA24" s="93">
        <f>IF($B24="Yes",COUNTIF(Reference!S$52:S$67,$K24),"")</f>
        <v>0</v>
      </c>
      <c r="AB24" s="93">
        <f>IF($B24="Yes",COUNTIF(Reference!T$52:T$67,$K24),"")</f>
        <v>0</v>
      </c>
      <c r="AC24" s="93">
        <f t="shared" si="2"/>
        <v>0</v>
      </c>
    </row>
    <row r="25" spans="1:29" x14ac:dyDescent="0.25">
      <c r="A25" s="95">
        <v>115</v>
      </c>
      <c r="B25" s="95" t="str">
        <f t="shared" si="0"/>
        <v>Yes</v>
      </c>
      <c r="H25" s="95" t="str">
        <f t="shared" si="1"/>
        <v>PL2-115</v>
      </c>
      <c r="I25" s="111"/>
      <c r="J25" s="112" t="s">
        <v>19</v>
      </c>
      <c r="K25" s="112" t="s">
        <v>423</v>
      </c>
      <c r="L25" s="112" t="s">
        <v>13</v>
      </c>
      <c r="M25" s="112" t="s">
        <v>809</v>
      </c>
      <c r="N25" s="112"/>
      <c r="O25" s="112">
        <v>85</v>
      </c>
      <c r="P25" s="112"/>
      <c r="Q25" s="112"/>
      <c r="R25" s="112"/>
      <c r="S25" s="111"/>
      <c r="T25" s="93"/>
      <c r="U25" s="93"/>
      <c r="V25" s="93"/>
      <c r="W25" s="93"/>
      <c r="X25" s="93">
        <f>IF($B25="Yes",COUNTIF(Reference!P$52:P$67,$K25),"")</f>
        <v>0</v>
      </c>
      <c r="Y25" s="93">
        <f>IF($B25="Yes",COUNTIF(Reference!Q$52:Q$67,$K25),"")</f>
        <v>1</v>
      </c>
      <c r="Z25" s="93">
        <f>IF($B25="Yes",COUNTIF(Reference!R$52:R$67,$K25),"")</f>
        <v>1</v>
      </c>
      <c r="AA25" s="93">
        <f>IF($B25="Yes",COUNTIF(Reference!S$52:S$67,$K25),"")</f>
        <v>0</v>
      </c>
      <c r="AB25" s="93">
        <f>IF($B25="Yes",COUNTIF(Reference!T$52:T$67,$K25),"")</f>
        <v>1</v>
      </c>
      <c r="AC25" s="93">
        <f t="shared" si="2"/>
        <v>0</v>
      </c>
    </row>
    <row r="26" spans="1:29" x14ac:dyDescent="0.25">
      <c r="A26" s="95">
        <v>116</v>
      </c>
      <c r="B26" s="95" t="str">
        <f t="shared" si="0"/>
        <v>Yes</v>
      </c>
      <c r="H26" s="95" t="str">
        <f t="shared" si="1"/>
        <v>PL2-116</v>
      </c>
      <c r="I26" s="111"/>
      <c r="J26" s="112" t="s">
        <v>913</v>
      </c>
      <c r="K26" s="112" t="s">
        <v>6</v>
      </c>
      <c r="L26" s="112" t="s">
        <v>13</v>
      </c>
      <c r="M26" s="112" t="s">
        <v>809</v>
      </c>
      <c r="N26" s="112"/>
      <c r="O26" s="112">
        <v>60</v>
      </c>
      <c r="P26" s="112"/>
      <c r="Q26" s="112"/>
      <c r="R26" s="112"/>
      <c r="S26" s="111"/>
      <c r="T26" s="93"/>
      <c r="U26" s="93"/>
      <c r="V26" s="93"/>
      <c r="W26" s="93"/>
      <c r="X26" s="93">
        <f>IF($B26="Yes",COUNTIF(Reference!P$52:P$67,$K26),"")</f>
        <v>0</v>
      </c>
      <c r="Y26" s="93">
        <f>IF($B26="Yes",COUNTIF(Reference!Q$52:Q$67,$K26),"")</f>
        <v>0</v>
      </c>
      <c r="Z26" s="93">
        <f>IF($B26="Yes",COUNTIF(Reference!R$52:R$67,$K26),"")</f>
        <v>0</v>
      </c>
      <c r="AA26" s="93">
        <f>IF($B26="Yes",COUNTIF(Reference!S$52:S$67,$K26),"")</f>
        <v>1</v>
      </c>
      <c r="AB26" s="93">
        <f>IF($B26="Yes",COUNTIF(Reference!T$52:T$67,$K26),"")</f>
        <v>0</v>
      </c>
      <c r="AC26" s="93">
        <f t="shared" si="2"/>
        <v>0</v>
      </c>
    </row>
    <row r="27" spans="1:29" x14ac:dyDescent="0.25">
      <c r="A27" s="95">
        <v>117</v>
      </c>
      <c r="B27" s="95" t="str">
        <f t="shared" si="0"/>
        <v>Yes</v>
      </c>
      <c r="H27" s="95" t="str">
        <f t="shared" si="1"/>
        <v>PL2-117</v>
      </c>
      <c r="I27" s="111"/>
      <c r="J27" s="112" t="s">
        <v>21</v>
      </c>
      <c r="K27" s="112" t="s">
        <v>417</v>
      </c>
      <c r="L27" s="112" t="s">
        <v>13</v>
      </c>
      <c r="M27" s="112" t="s">
        <v>809</v>
      </c>
      <c r="N27" s="112"/>
      <c r="O27" s="112">
        <v>60</v>
      </c>
      <c r="P27" s="112"/>
      <c r="Q27" s="112"/>
      <c r="R27" s="112"/>
      <c r="S27" s="111"/>
      <c r="T27" s="93"/>
      <c r="U27" s="93"/>
      <c r="V27" s="93"/>
      <c r="W27" s="93"/>
      <c r="X27" s="93">
        <f>IF($B27="Yes",COUNTIF(Reference!P$52:P$67,$K27),"")</f>
        <v>1</v>
      </c>
      <c r="Y27" s="93">
        <f>IF($B27="Yes",COUNTIF(Reference!Q$52:Q$67,$K27),"")</f>
        <v>0</v>
      </c>
      <c r="Z27" s="93">
        <f>IF($B27="Yes",COUNTIF(Reference!R$52:R$67,$K27),"")</f>
        <v>1</v>
      </c>
      <c r="AA27" s="93">
        <f>IF($B27="Yes",COUNTIF(Reference!S$52:S$67,$K27),"")</f>
        <v>0</v>
      </c>
      <c r="AB27" s="93">
        <f>IF($B27="Yes",COUNTIF(Reference!T$52:T$67,$K27),"")</f>
        <v>0</v>
      </c>
      <c r="AC27" s="93">
        <f t="shared" si="2"/>
        <v>0</v>
      </c>
    </row>
    <row r="28" spans="1:29" x14ac:dyDescent="0.25">
      <c r="A28" s="95">
        <v>118</v>
      </c>
      <c r="B28" s="95" t="str">
        <f t="shared" si="0"/>
        <v>Yes</v>
      </c>
      <c r="H28" s="95" t="str">
        <f t="shared" si="1"/>
        <v>PL2-118</v>
      </c>
      <c r="I28" s="111"/>
      <c r="J28" s="112" t="s">
        <v>914</v>
      </c>
      <c r="K28" s="112" t="s">
        <v>420</v>
      </c>
      <c r="L28" s="112" t="s">
        <v>14</v>
      </c>
      <c r="M28" s="112" t="s">
        <v>5</v>
      </c>
      <c r="N28" s="112"/>
      <c r="O28" s="112">
        <v>60</v>
      </c>
      <c r="P28" s="112"/>
      <c r="Q28" s="112"/>
      <c r="R28" s="112"/>
      <c r="S28" s="111"/>
      <c r="T28" s="93"/>
      <c r="U28" s="93"/>
      <c r="V28" s="93"/>
      <c r="W28" s="93"/>
      <c r="X28" s="93">
        <f>IF($B28="Yes",COUNTIF(Reference!P$52:P$67,$K28),"")</f>
        <v>0</v>
      </c>
      <c r="Y28" s="93">
        <f>IF($B28="Yes",COUNTIF(Reference!Q$52:Q$67,$K28),"")</f>
        <v>0</v>
      </c>
      <c r="Z28" s="93">
        <f>IF($B28="Yes",COUNTIF(Reference!R$52:R$67,$K28),"")</f>
        <v>1</v>
      </c>
      <c r="AA28" s="93">
        <f>IF($B28="Yes",COUNTIF(Reference!S$52:S$67,$K28),"")</f>
        <v>1</v>
      </c>
      <c r="AB28" s="93">
        <f>IF($B28="Yes",COUNTIF(Reference!T$52:T$67,$K28),"")</f>
        <v>0</v>
      </c>
      <c r="AC28" s="93">
        <f t="shared" si="2"/>
        <v>0</v>
      </c>
    </row>
    <row r="29" spans="1:29" x14ac:dyDescent="0.25">
      <c r="A29" s="95">
        <v>119</v>
      </c>
      <c r="B29" s="95" t="str">
        <f t="shared" si="0"/>
        <v>Yes</v>
      </c>
      <c r="H29" s="95" t="str">
        <f t="shared" si="1"/>
        <v>PL2-119</v>
      </c>
      <c r="I29" s="111"/>
      <c r="J29" s="112" t="s">
        <v>915</v>
      </c>
      <c r="K29" s="112" t="s">
        <v>5</v>
      </c>
      <c r="L29" s="112" t="s">
        <v>13</v>
      </c>
      <c r="M29" s="112" t="s">
        <v>809</v>
      </c>
      <c r="N29" s="112"/>
      <c r="O29" s="112">
        <v>60</v>
      </c>
      <c r="P29" s="112"/>
      <c r="Q29" s="112"/>
      <c r="R29" s="112"/>
      <c r="S29" s="111"/>
      <c r="T29" s="93"/>
      <c r="U29" s="93"/>
      <c r="V29" s="93"/>
      <c r="W29" s="93"/>
      <c r="X29" s="93">
        <f>IF($B29="Yes",COUNTIF(Reference!P$52:P$67,$K29),"")</f>
        <v>0</v>
      </c>
      <c r="Y29" s="93">
        <f>IF($B29="Yes",COUNTIF(Reference!Q$52:Q$67,$K29),"")</f>
        <v>0</v>
      </c>
      <c r="Z29" s="93">
        <f>IF($B29="Yes",COUNTIF(Reference!R$52:R$67,$K29),"")</f>
        <v>1</v>
      </c>
      <c r="AA29" s="93">
        <f>IF($B29="Yes",COUNTIF(Reference!S$52:S$67,$K29),"")</f>
        <v>0</v>
      </c>
      <c r="AB29" s="93">
        <f>IF($B29="Yes",COUNTIF(Reference!T$52:T$67,$K29),"")</f>
        <v>0</v>
      </c>
      <c r="AC29" s="93">
        <f t="shared" si="2"/>
        <v>0</v>
      </c>
    </row>
    <row r="30" spans="1:29" x14ac:dyDescent="0.25">
      <c r="A30" s="95">
        <v>120</v>
      </c>
      <c r="B30" s="95" t="str">
        <f t="shared" si="0"/>
        <v>Yes</v>
      </c>
      <c r="H30" s="95" t="str">
        <f t="shared" si="1"/>
        <v>PL2-120</v>
      </c>
      <c r="I30" s="111"/>
      <c r="J30" s="112" t="s">
        <v>22</v>
      </c>
      <c r="K30" s="112" t="s">
        <v>450</v>
      </c>
      <c r="L30" s="112" t="s">
        <v>13</v>
      </c>
      <c r="M30" s="112" t="s">
        <v>5</v>
      </c>
      <c r="N30" s="112"/>
      <c r="O30" s="112">
        <v>60</v>
      </c>
      <c r="P30" s="112"/>
      <c r="Q30" s="112"/>
      <c r="R30" s="112"/>
      <c r="S30" s="111"/>
      <c r="T30" s="93"/>
      <c r="U30" s="93"/>
      <c r="V30" s="93"/>
      <c r="W30" s="93"/>
      <c r="X30" s="93">
        <f>IF($B30="Yes",COUNTIF(Reference!P$52:P$67,$K30),"")</f>
        <v>1</v>
      </c>
      <c r="Y30" s="93">
        <f>IF($B30="Yes",COUNTIF(Reference!Q$52:Q$67,$K30),"")</f>
        <v>1</v>
      </c>
      <c r="Z30" s="93">
        <f>IF($B30="Yes",COUNTIF(Reference!R$52:R$67,$K30),"")</f>
        <v>1</v>
      </c>
      <c r="AA30" s="93">
        <f>IF($B30="Yes",COUNTIF(Reference!S$52:S$67,$K30),"")</f>
        <v>0</v>
      </c>
      <c r="AB30" s="93">
        <f>IF($B30="Yes",COUNTIF(Reference!T$52:T$67,$K30),"")</f>
        <v>0</v>
      </c>
      <c r="AC30" s="93">
        <f t="shared" si="2"/>
        <v>0</v>
      </c>
    </row>
    <row r="31" spans="1:29" x14ac:dyDescent="0.25">
      <c r="A31" s="95">
        <v>121</v>
      </c>
      <c r="B31" s="95" t="str">
        <f t="shared" si="0"/>
        <v>Yes</v>
      </c>
      <c r="H31" s="95" t="str">
        <f t="shared" si="1"/>
        <v>PL2-121</v>
      </c>
      <c r="I31" s="111"/>
      <c r="J31" s="112" t="s">
        <v>23</v>
      </c>
      <c r="K31" s="112" t="s">
        <v>5</v>
      </c>
      <c r="L31" s="112" t="s">
        <v>13</v>
      </c>
      <c r="M31" s="112" t="s">
        <v>809</v>
      </c>
      <c r="N31" s="112"/>
      <c r="O31" s="112">
        <v>60</v>
      </c>
      <c r="P31" s="112"/>
      <c r="Q31" s="112"/>
      <c r="R31" s="112"/>
      <c r="S31" s="111"/>
      <c r="T31" s="93"/>
      <c r="U31" s="93"/>
      <c r="V31" s="93"/>
      <c r="W31" s="93"/>
      <c r="X31" s="93">
        <f>IF($B31="Yes",COUNTIF(Reference!P$52:P$67,$K31),"")</f>
        <v>0</v>
      </c>
      <c r="Y31" s="93">
        <f>IF($B31="Yes",COUNTIF(Reference!Q$52:Q$67,$K31),"")</f>
        <v>0</v>
      </c>
      <c r="Z31" s="93">
        <f>IF($B31="Yes",COUNTIF(Reference!R$52:R$67,$K31),"")</f>
        <v>1</v>
      </c>
      <c r="AA31" s="93">
        <f>IF($B31="Yes",COUNTIF(Reference!S$52:S$67,$K31),"")</f>
        <v>0</v>
      </c>
      <c r="AB31" s="93">
        <f>IF($B31="Yes",COUNTIF(Reference!T$52:T$67,$K31),"")</f>
        <v>0</v>
      </c>
      <c r="AC31" s="93">
        <f t="shared" si="2"/>
        <v>0</v>
      </c>
    </row>
    <row r="32" spans="1:29" x14ac:dyDescent="0.25">
      <c r="A32" s="95">
        <v>122</v>
      </c>
      <c r="B32" s="95" t="str">
        <f t="shared" si="0"/>
        <v>Yes</v>
      </c>
      <c r="H32" s="95" t="str">
        <f t="shared" si="1"/>
        <v>PL2-122</v>
      </c>
      <c r="I32" s="111"/>
      <c r="J32" s="112" t="s">
        <v>25</v>
      </c>
      <c r="K32" s="112" t="s">
        <v>4</v>
      </c>
      <c r="L32" s="112" t="s">
        <v>13</v>
      </c>
      <c r="M32" s="112" t="s">
        <v>809</v>
      </c>
      <c r="N32" s="112"/>
      <c r="O32" s="112">
        <v>60</v>
      </c>
      <c r="P32" s="112"/>
      <c r="Q32" s="112"/>
      <c r="R32" s="112"/>
      <c r="S32" s="111"/>
      <c r="T32" s="93"/>
      <c r="U32" s="93"/>
      <c r="V32" s="93"/>
      <c r="W32" s="93"/>
      <c r="X32" s="93">
        <f>IF($B32="Yes",COUNTIF(Reference!P$52:P$67,$K32),"")</f>
        <v>0</v>
      </c>
      <c r="Y32" s="93">
        <f>IF($B32="Yes",COUNTIF(Reference!Q$52:Q$67,$K32),"")</f>
        <v>1</v>
      </c>
      <c r="Z32" s="93">
        <f>IF($B32="Yes",COUNTIF(Reference!R$52:R$67,$K32),"")</f>
        <v>0</v>
      </c>
      <c r="AA32" s="93">
        <f>IF($B32="Yes",COUNTIF(Reference!S$52:S$67,$K32),"")</f>
        <v>0</v>
      </c>
      <c r="AB32" s="93">
        <f>IF($B32="Yes",COUNTIF(Reference!T$52:T$67,$K32),"")</f>
        <v>0</v>
      </c>
      <c r="AC32" s="93">
        <f t="shared" si="2"/>
        <v>0</v>
      </c>
    </row>
    <row r="33" spans="1:29" x14ac:dyDescent="0.25">
      <c r="A33" s="95">
        <v>123</v>
      </c>
      <c r="B33" s="95" t="str">
        <f t="shared" si="0"/>
        <v>Yes</v>
      </c>
      <c r="H33" s="95" t="str">
        <f t="shared" si="1"/>
        <v>PL2-123</v>
      </c>
      <c r="I33" s="111"/>
      <c r="J33" s="112" t="s">
        <v>916</v>
      </c>
      <c r="K33" s="112" t="s">
        <v>4</v>
      </c>
      <c r="L33" s="112" t="s">
        <v>13</v>
      </c>
      <c r="M33" s="112" t="s">
        <v>5</v>
      </c>
      <c r="N33" s="112"/>
      <c r="O33" s="112">
        <v>60</v>
      </c>
      <c r="P33" s="112"/>
      <c r="Q33" s="112"/>
      <c r="R33" s="112"/>
      <c r="S33" s="111"/>
      <c r="T33" s="93"/>
      <c r="U33" s="93"/>
      <c r="V33" s="93"/>
      <c r="W33" s="93"/>
      <c r="X33" s="93">
        <f>IF($B33="Yes",COUNTIF(Reference!P$52:P$67,$K33),"")</f>
        <v>0</v>
      </c>
      <c r="Y33" s="93">
        <f>IF($B33="Yes",COUNTIF(Reference!Q$52:Q$67,$K33),"")</f>
        <v>1</v>
      </c>
      <c r="Z33" s="93">
        <f>IF($B33="Yes",COUNTIF(Reference!R$52:R$67,$K33),"")</f>
        <v>0</v>
      </c>
      <c r="AA33" s="93">
        <f>IF($B33="Yes",COUNTIF(Reference!S$52:S$67,$K33),"")</f>
        <v>0</v>
      </c>
      <c r="AB33" s="93">
        <f>IF($B33="Yes",COUNTIF(Reference!T$52:T$67,$K33),"")</f>
        <v>0</v>
      </c>
      <c r="AC33" s="93">
        <f t="shared" si="2"/>
        <v>0</v>
      </c>
    </row>
    <row r="34" spans="1:29" x14ac:dyDescent="0.25">
      <c r="A34" s="95">
        <v>124</v>
      </c>
      <c r="B34" s="95" t="str">
        <f t="shared" si="0"/>
        <v>Yes</v>
      </c>
      <c r="H34" s="95" t="str">
        <f t="shared" si="1"/>
        <v>PL2-124</v>
      </c>
      <c r="I34" s="111"/>
      <c r="J34" s="112" t="s">
        <v>917</v>
      </c>
      <c r="K34" s="112" t="s">
        <v>422</v>
      </c>
      <c r="L34" s="112" t="s">
        <v>13</v>
      </c>
      <c r="M34" s="112" t="s">
        <v>5</v>
      </c>
      <c r="N34" s="112"/>
      <c r="O34" s="112">
        <v>60</v>
      </c>
      <c r="P34" s="112"/>
      <c r="Q34" s="112"/>
      <c r="R34" s="112"/>
      <c r="S34" s="111"/>
      <c r="T34" s="93"/>
      <c r="U34" s="93"/>
      <c r="V34" s="93"/>
      <c r="W34" s="93"/>
      <c r="X34" s="93">
        <f>IF($B34="Yes",COUNTIF(Reference!P$52:P$67,$K34),"")</f>
        <v>1</v>
      </c>
      <c r="Y34" s="93">
        <f>IF($B34="Yes",COUNTIF(Reference!Q$52:Q$67,$K34),"")</f>
        <v>0</v>
      </c>
      <c r="Z34" s="93">
        <f>IF($B34="Yes",COUNTIF(Reference!R$52:R$67,$K34),"")</f>
        <v>1</v>
      </c>
      <c r="AA34" s="93">
        <f>IF($B34="Yes",COUNTIF(Reference!S$52:S$67,$K34),"")</f>
        <v>0</v>
      </c>
      <c r="AB34" s="93">
        <f>IF($B34="Yes",COUNTIF(Reference!T$52:T$67,$K34),"")</f>
        <v>1</v>
      </c>
      <c r="AC34" s="93">
        <f t="shared" si="2"/>
        <v>0</v>
      </c>
    </row>
    <row r="35" spans="1:29" x14ac:dyDescent="0.25">
      <c r="A35" s="95">
        <v>125</v>
      </c>
      <c r="B35" s="95" t="str">
        <f t="shared" si="0"/>
        <v>Yes</v>
      </c>
      <c r="H35" s="95" t="str">
        <f t="shared" si="1"/>
        <v>PL2-125</v>
      </c>
      <c r="I35" s="111"/>
      <c r="J35" s="112" t="s">
        <v>919</v>
      </c>
      <c r="K35" s="112" t="s">
        <v>6</v>
      </c>
      <c r="L35" s="112" t="s">
        <v>14</v>
      </c>
      <c r="M35" s="112" t="s">
        <v>809</v>
      </c>
      <c r="N35" s="112"/>
      <c r="O35" s="112">
        <v>60</v>
      </c>
      <c r="P35" s="112" t="s">
        <v>918</v>
      </c>
      <c r="Q35" s="112"/>
      <c r="R35" s="112"/>
      <c r="S35" s="111"/>
      <c r="T35" s="93"/>
      <c r="U35" s="93"/>
      <c r="V35" s="93"/>
      <c r="W35" s="93"/>
      <c r="X35" s="93">
        <f>IF($B35="Yes",COUNTIF(Reference!P$52:P$67,$K35),"")</f>
        <v>0</v>
      </c>
      <c r="Y35" s="93">
        <f>IF($B35="Yes",COUNTIF(Reference!Q$52:Q$67,$K35),"")</f>
        <v>0</v>
      </c>
      <c r="Z35" s="93">
        <f>IF($B35="Yes",COUNTIF(Reference!R$52:R$67,$K35),"")</f>
        <v>0</v>
      </c>
      <c r="AA35" s="93">
        <f>IF($B35="Yes",COUNTIF(Reference!S$52:S$67,$K35),"")</f>
        <v>1</v>
      </c>
      <c r="AB35" s="93">
        <f>IF($B35="Yes",COUNTIF(Reference!T$52:T$67,$K35),"")</f>
        <v>0</v>
      </c>
      <c r="AC35" s="93">
        <f t="shared" si="2"/>
        <v>0</v>
      </c>
    </row>
    <row r="36" spans="1:29" x14ac:dyDescent="0.25">
      <c r="A36" s="95">
        <v>126</v>
      </c>
      <c r="B36" s="95" t="str">
        <f t="shared" si="0"/>
        <v>Yes</v>
      </c>
      <c r="H36" s="95" t="str">
        <f t="shared" si="1"/>
        <v>PL2-126</v>
      </c>
      <c r="I36" s="111"/>
      <c r="J36" s="112" t="s">
        <v>920</v>
      </c>
      <c r="K36" s="112" t="s">
        <v>459</v>
      </c>
      <c r="L36" s="112" t="s">
        <v>13</v>
      </c>
      <c r="M36" s="112" t="s">
        <v>809</v>
      </c>
      <c r="N36" s="112"/>
      <c r="O36" s="112">
        <v>60</v>
      </c>
      <c r="P36" s="112"/>
      <c r="Q36" s="112"/>
      <c r="R36" s="112"/>
      <c r="S36" s="111"/>
      <c r="T36" s="93"/>
      <c r="U36" s="93"/>
      <c r="V36" s="93"/>
      <c r="W36" s="93"/>
      <c r="X36" s="93">
        <f>IF($B36="Yes",COUNTIF(Reference!P$52:P$67,$K36),"")</f>
        <v>1</v>
      </c>
      <c r="Y36" s="93">
        <f>IF($B36="Yes",COUNTIF(Reference!Q$52:Q$67,$K36),"")</f>
        <v>1</v>
      </c>
      <c r="Z36" s="93">
        <f>IF($B36="Yes",COUNTIF(Reference!R$52:R$67,$K36),"")</f>
        <v>1</v>
      </c>
      <c r="AA36" s="93">
        <f>IF($B36="Yes",COUNTIF(Reference!S$52:S$67,$K36),"")</f>
        <v>1</v>
      </c>
      <c r="AB36" s="93">
        <f>IF($B36="Yes",COUNTIF(Reference!T$52:T$67,$K36),"")</f>
        <v>1</v>
      </c>
      <c r="AC36" s="93">
        <f t="shared" si="2"/>
        <v>0</v>
      </c>
    </row>
    <row r="37" spans="1:29" x14ac:dyDescent="0.25">
      <c r="A37" s="95">
        <v>127</v>
      </c>
      <c r="B37" s="95" t="str">
        <f t="shared" si="0"/>
        <v>Yes</v>
      </c>
      <c r="H37" s="95" t="str">
        <f t="shared" si="1"/>
        <v>PL2-127</v>
      </c>
      <c r="I37" s="111"/>
      <c r="J37" s="112" t="s">
        <v>27</v>
      </c>
      <c r="K37" s="112" t="s">
        <v>456</v>
      </c>
      <c r="L37" s="112" t="s">
        <v>13</v>
      </c>
      <c r="M37" s="112" t="s">
        <v>5</v>
      </c>
      <c r="N37" s="112"/>
      <c r="O37" s="112">
        <v>60</v>
      </c>
      <c r="P37" s="112"/>
      <c r="Q37" s="112"/>
      <c r="R37" s="112"/>
      <c r="S37" s="111"/>
      <c r="T37" s="93"/>
      <c r="U37" s="93"/>
      <c r="V37" s="93"/>
      <c r="W37" s="93"/>
      <c r="X37" s="93">
        <f>IF($B37="Yes",COUNTIF(Reference!P$52:P$67,$K37),"")</f>
        <v>1</v>
      </c>
      <c r="Y37" s="93">
        <f>IF($B37="Yes",COUNTIF(Reference!Q$52:Q$67,$K37),"")</f>
        <v>1</v>
      </c>
      <c r="Z37" s="93">
        <f>IF($B37="Yes",COUNTIF(Reference!R$52:R$67,$K37),"")</f>
        <v>1</v>
      </c>
      <c r="AA37" s="93">
        <f>IF($B37="Yes",COUNTIF(Reference!S$52:S$67,$K37),"")</f>
        <v>1</v>
      </c>
      <c r="AB37" s="93">
        <f>IF($B37="Yes",COUNTIF(Reference!T$52:T$67,$K37),"")</f>
        <v>0</v>
      </c>
      <c r="AC37" s="93">
        <f t="shared" si="2"/>
        <v>0</v>
      </c>
    </row>
    <row r="38" spans="1:29" x14ac:dyDescent="0.25">
      <c r="A38" s="95">
        <v>128</v>
      </c>
      <c r="B38" s="95" t="str">
        <f t="shared" si="0"/>
        <v>Yes</v>
      </c>
      <c r="H38" s="95" t="str">
        <f t="shared" si="1"/>
        <v>PL2-128</v>
      </c>
      <c r="I38" s="111"/>
      <c r="J38" s="112" t="s">
        <v>921</v>
      </c>
      <c r="K38" s="112" t="s">
        <v>417</v>
      </c>
      <c r="L38" s="112" t="s">
        <v>13</v>
      </c>
      <c r="M38" s="112" t="s">
        <v>5</v>
      </c>
      <c r="N38" s="112"/>
      <c r="O38" s="112">
        <v>60</v>
      </c>
      <c r="P38" s="112"/>
      <c r="Q38" s="112"/>
      <c r="R38" s="112"/>
      <c r="S38" s="111"/>
      <c r="T38" s="93"/>
      <c r="U38" s="93"/>
      <c r="V38" s="93"/>
      <c r="W38" s="93"/>
      <c r="X38" s="93">
        <f>IF($B38="Yes",COUNTIF(Reference!P$52:P$67,$K38),"")</f>
        <v>1</v>
      </c>
      <c r="Y38" s="93">
        <f>IF($B38="Yes",COUNTIF(Reference!Q$52:Q$67,$K38),"")</f>
        <v>0</v>
      </c>
      <c r="Z38" s="93">
        <f>IF($B38="Yes",COUNTIF(Reference!R$52:R$67,$K38),"")</f>
        <v>1</v>
      </c>
      <c r="AA38" s="93">
        <f>IF($B38="Yes",COUNTIF(Reference!S$52:S$67,$K38),"")</f>
        <v>0</v>
      </c>
      <c r="AB38" s="93">
        <f>IF($B38="Yes",COUNTIF(Reference!T$52:T$67,$K38),"")</f>
        <v>0</v>
      </c>
      <c r="AC38" s="93">
        <f t="shared" si="2"/>
        <v>0</v>
      </c>
    </row>
    <row r="39" spans="1:29" x14ac:dyDescent="0.25">
      <c r="A39" s="95">
        <v>129</v>
      </c>
      <c r="B39" s="95" t="str">
        <f t="shared" si="0"/>
        <v>Yes</v>
      </c>
      <c r="H39" s="95" t="str">
        <f t="shared" si="1"/>
        <v>PL2-129</v>
      </c>
      <c r="I39" s="111"/>
      <c r="J39" s="112" t="s">
        <v>28</v>
      </c>
      <c r="K39" s="112" t="s">
        <v>459</v>
      </c>
      <c r="L39" s="112" t="s">
        <v>14</v>
      </c>
      <c r="M39" s="112" t="s">
        <v>809</v>
      </c>
      <c r="N39" s="112"/>
      <c r="O39" s="112">
        <v>60</v>
      </c>
      <c r="P39" s="112"/>
      <c r="Q39" s="112"/>
      <c r="R39" s="112"/>
      <c r="S39" s="111"/>
      <c r="T39" s="93"/>
      <c r="U39" s="93"/>
      <c r="V39" s="93"/>
      <c r="W39" s="93"/>
      <c r="X39" s="93">
        <f>IF($B39="Yes",COUNTIF(Reference!P$52:P$67,$K39),"")</f>
        <v>1</v>
      </c>
      <c r="Y39" s="93">
        <f>IF($B39="Yes",COUNTIF(Reference!Q$52:Q$67,$K39),"")</f>
        <v>1</v>
      </c>
      <c r="Z39" s="93">
        <f>IF($B39="Yes",COUNTIF(Reference!R$52:R$67,$K39),"")</f>
        <v>1</v>
      </c>
      <c r="AA39" s="93">
        <f>IF($B39="Yes",COUNTIF(Reference!S$52:S$67,$K39),"")</f>
        <v>1</v>
      </c>
      <c r="AB39" s="93">
        <f>IF($B39="Yes",COUNTIF(Reference!T$52:T$67,$K39),"")</f>
        <v>1</v>
      </c>
      <c r="AC39" s="93">
        <f t="shared" si="2"/>
        <v>0</v>
      </c>
    </row>
    <row r="40" spans="1:29" x14ac:dyDescent="0.25">
      <c r="A40" s="95">
        <v>130</v>
      </c>
      <c r="B40" s="95" t="str">
        <f t="shared" si="0"/>
        <v>Yes</v>
      </c>
      <c r="H40" s="95" t="str">
        <f t="shared" si="1"/>
        <v>PL2-130</v>
      </c>
      <c r="I40" s="111"/>
      <c r="J40" s="112" t="s">
        <v>29</v>
      </c>
      <c r="K40" s="112" t="s">
        <v>436</v>
      </c>
      <c r="L40" s="112" t="s">
        <v>30</v>
      </c>
      <c r="M40" s="112" t="s">
        <v>809</v>
      </c>
      <c r="N40" s="112"/>
      <c r="O40" s="112">
        <v>100</v>
      </c>
      <c r="P40" s="112"/>
      <c r="Q40" s="112"/>
      <c r="R40" s="112"/>
      <c r="S40" s="111"/>
      <c r="T40" s="93"/>
      <c r="U40" s="93"/>
      <c r="V40" s="93"/>
      <c r="W40" s="93"/>
      <c r="X40" s="93">
        <f>IF($B40="Yes",COUNTIF(Reference!P$52:P$67,$K40),"")</f>
        <v>1</v>
      </c>
      <c r="Y40" s="93">
        <f>IF($B40="Yes",COUNTIF(Reference!Q$52:Q$67,$K40),"")</f>
        <v>0</v>
      </c>
      <c r="Z40" s="93">
        <f>IF($B40="Yes",COUNTIF(Reference!R$52:R$67,$K40),"")</f>
        <v>0</v>
      </c>
      <c r="AA40" s="93">
        <f>IF($B40="Yes",COUNTIF(Reference!S$52:S$67,$K40),"")</f>
        <v>0</v>
      </c>
      <c r="AB40" s="93">
        <f>IF($B40="Yes",COUNTIF(Reference!T$52:T$67,$K40),"")</f>
        <v>1</v>
      </c>
      <c r="AC40" s="93">
        <f t="shared" si="2"/>
        <v>0</v>
      </c>
    </row>
    <row r="41" spans="1:29" x14ac:dyDescent="0.25">
      <c r="A41" s="95">
        <v>131</v>
      </c>
      <c r="B41" s="95" t="str">
        <f t="shared" si="0"/>
        <v>Yes</v>
      </c>
      <c r="H41" s="95" t="str">
        <f t="shared" si="1"/>
        <v>PL2-131</v>
      </c>
      <c r="I41" s="111"/>
      <c r="J41" s="112" t="s">
        <v>45</v>
      </c>
      <c r="K41" s="112" t="s">
        <v>462</v>
      </c>
      <c r="L41" s="112" t="s">
        <v>899</v>
      </c>
      <c r="M41" s="112" t="s">
        <v>809</v>
      </c>
      <c r="N41" s="112"/>
      <c r="O41" s="112">
        <v>100</v>
      </c>
      <c r="P41" s="112"/>
      <c r="Q41" s="112"/>
      <c r="R41" s="112"/>
      <c r="S41" s="111"/>
      <c r="T41" s="93"/>
      <c r="U41" s="93"/>
      <c r="V41" s="93"/>
      <c r="W41" s="93"/>
      <c r="X41" s="93">
        <f>IF($B41="Yes",COUNTIF(Reference!P$52:P$67,$K41),"")</f>
        <v>1</v>
      </c>
      <c r="Y41" s="93">
        <f>IF($B41="Yes",COUNTIF(Reference!Q$52:Q$67,$K41),"")</f>
        <v>1</v>
      </c>
      <c r="Z41" s="93">
        <f>IF($B41="Yes",COUNTIF(Reference!R$52:R$67,$K41),"")</f>
        <v>0</v>
      </c>
      <c r="AA41" s="93">
        <f>IF($B41="Yes",COUNTIF(Reference!S$52:S$67,$K41),"")</f>
        <v>0</v>
      </c>
      <c r="AB41" s="93">
        <f>IF($B41="Yes",COUNTIF(Reference!T$52:T$67,$K41),"")</f>
        <v>1</v>
      </c>
      <c r="AC41" s="93">
        <f t="shared" si="2"/>
        <v>0</v>
      </c>
    </row>
    <row r="42" spans="1:29" x14ac:dyDescent="0.25">
      <c r="A42" s="95">
        <v>132</v>
      </c>
      <c r="B42" s="95" t="str">
        <f t="shared" si="0"/>
        <v>Yes</v>
      </c>
      <c r="H42" s="95" t="str">
        <f t="shared" si="1"/>
        <v>PL2-132</v>
      </c>
      <c r="I42" s="111"/>
      <c r="J42" s="112" t="s">
        <v>44</v>
      </c>
      <c r="K42" s="112" t="s">
        <v>450</v>
      </c>
      <c r="L42" s="112" t="s">
        <v>899</v>
      </c>
      <c r="M42" s="112" t="s">
        <v>809</v>
      </c>
      <c r="N42" s="112"/>
      <c r="O42" s="112">
        <v>100</v>
      </c>
      <c r="P42" s="112"/>
      <c r="Q42" s="112"/>
      <c r="R42" s="112"/>
      <c r="S42" s="111"/>
      <c r="T42" s="93"/>
      <c r="U42" s="93"/>
      <c r="V42" s="93"/>
      <c r="W42" s="93"/>
      <c r="X42" s="93">
        <f>IF($B42="Yes",COUNTIF(Reference!P$52:P$67,$K42),"")</f>
        <v>1</v>
      </c>
      <c r="Y42" s="93">
        <f>IF($B42="Yes",COUNTIF(Reference!Q$52:Q$67,$K42),"")</f>
        <v>1</v>
      </c>
      <c r="Z42" s="93">
        <f>IF($B42="Yes",COUNTIF(Reference!R$52:R$67,$K42),"")</f>
        <v>1</v>
      </c>
      <c r="AA42" s="93">
        <f>IF($B42="Yes",COUNTIF(Reference!S$52:S$67,$K42),"")</f>
        <v>0</v>
      </c>
      <c r="AB42" s="93">
        <f>IF($B42="Yes",COUNTIF(Reference!T$52:T$67,$K42),"")</f>
        <v>0</v>
      </c>
      <c r="AC42" s="93">
        <f t="shared" si="2"/>
        <v>0</v>
      </c>
    </row>
    <row r="43" spans="1:29" x14ac:dyDescent="0.25">
      <c r="A43" s="95">
        <v>133</v>
      </c>
      <c r="B43" s="95" t="str">
        <f t="shared" si="0"/>
        <v>Yes</v>
      </c>
      <c r="H43" s="95" t="str">
        <f t="shared" si="1"/>
        <v>PL2-133</v>
      </c>
      <c r="I43" s="111"/>
      <c r="J43" s="112" t="s">
        <v>70</v>
      </c>
      <c r="K43" s="112" t="s">
        <v>445</v>
      </c>
      <c r="L43" s="112" t="s">
        <v>899</v>
      </c>
      <c r="M43" s="112" t="s">
        <v>809</v>
      </c>
      <c r="N43" s="112"/>
      <c r="O43" s="112">
        <v>100</v>
      </c>
      <c r="P43" s="112"/>
      <c r="Q43" s="112"/>
      <c r="R43" s="112"/>
      <c r="S43" s="111"/>
      <c r="T43" s="93"/>
      <c r="U43" s="93"/>
      <c r="V43" s="93"/>
      <c r="W43" s="93"/>
      <c r="X43" s="93">
        <f>IF($B43="Yes",COUNTIF(Reference!P$52:P$67,$K43),"")</f>
        <v>0</v>
      </c>
      <c r="Y43" s="93">
        <f>IF($B43="Yes",COUNTIF(Reference!Q$52:Q$67,$K43),"")</f>
        <v>1</v>
      </c>
      <c r="Z43" s="93">
        <f>IF($B43="Yes",COUNTIF(Reference!R$52:R$67,$K43),"")</f>
        <v>0</v>
      </c>
      <c r="AA43" s="93">
        <f>IF($B43="Yes",COUNTIF(Reference!S$52:S$67,$K43),"")</f>
        <v>1</v>
      </c>
      <c r="AB43" s="93">
        <f>IF($B43="Yes",COUNTIF(Reference!T$52:T$67,$K43),"")</f>
        <v>1</v>
      </c>
      <c r="AC43" s="93">
        <f t="shared" si="2"/>
        <v>0</v>
      </c>
    </row>
    <row r="44" spans="1:29" x14ac:dyDescent="0.25">
      <c r="A44" s="95">
        <v>134</v>
      </c>
      <c r="B44" s="95" t="str">
        <f t="shared" si="0"/>
        <v>Yes</v>
      </c>
      <c r="H44" s="95" t="str">
        <f t="shared" si="1"/>
        <v>PL2-134</v>
      </c>
      <c r="I44" s="111"/>
      <c r="J44" s="112" t="s">
        <v>75</v>
      </c>
      <c r="K44" s="112" t="s">
        <v>444</v>
      </c>
      <c r="L44" s="112" t="s">
        <v>899</v>
      </c>
      <c r="M44" s="112" t="s">
        <v>809</v>
      </c>
      <c r="N44" s="112"/>
      <c r="O44" s="112">
        <v>100</v>
      </c>
      <c r="P44" s="112"/>
      <c r="Q44" s="112"/>
      <c r="R44" s="112"/>
      <c r="S44" s="111"/>
      <c r="T44" s="93"/>
      <c r="U44" s="93"/>
      <c r="V44" s="93"/>
      <c r="W44" s="93"/>
      <c r="X44" s="93">
        <f>IF($B44="Yes",COUNTIF(Reference!P$52:P$67,$K44),"")</f>
        <v>1</v>
      </c>
      <c r="Y44" s="93">
        <f>IF($B44="Yes",COUNTIF(Reference!Q$52:Q$67,$K44),"")</f>
        <v>0</v>
      </c>
      <c r="Z44" s="93">
        <f>IF($B44="Yes",COUNTIF(Reference!R$52:R$67,$K44),"")</f>
        <v>0</v>
      </c>
      <c r="AA44" s="93">
        <f>IF($B44="Yes",COUNTIF(Reference!S$52:S$67,$K44),"")</f>
        <v>1</v>
      </c>
      <c r="AB44" s="93">
        <f>IF($B44="Yes",COUNTIF(Reference!T$52:T$67,$K44),"")</f>
        <v>1</v>
      </c>
      <c r="AC44" s="93">
        <f t="shared" si="2"/>
        <v>0</v>
      </c>
    </row>
    <row r="45" spans="1:29" x14ac:dyDescent="0.25">
      <c r="A45" s="95">
        <v>135</v>
      </c>
      <c r="B45" s="95" t="str">
        <f t="shared" si="0"/>
        <v>Yes</v>
      </c>
      <c r="H45" s="95" t="str">
        <f t="shared" si="1"/>
        <v>PL2-135</v>
      </c>
      <c r="I45" s="111"/>
      <c r="J45" s="112" t="s">
        <v>892</v>
      </c>
      <c r="K45" s="112" t="s">
        <v>3</v>
      </c>
      <c r="L45" s="112" t="s">
        <v>899</v>
      </c>
      <c r="M45" s="112" t="s">
        <v>809</v>
      </c>
      <c r="N45" s="112"/>
      <c r="O45" s="112">
        <v>100</v>
      </c>
      <c r="P45" s="112"/>
      <c r="Q45" s="112"/>
      <c r="R45" s="112"/>
      <c r="S45" s="111"/>
      <c r="T45" s="93"/>
      <c r="U45" s="93"/>
      <c r="V45" s="93"/>
      <c r="W45" s="93"/>
      <c r="X45" s="93">
        <f>IF($B45="Yes",COUNTIF(Reference!P$52:P$67,$K45),"")</f>
        <v>1</v>
      </c>
      <c r="Y45" s="93">
        <f>IF($B45="Yes",COUNTIF(Reference!Q$52:Q$67,$K45),"")</f>
        <v>0</v>
      </c>
      <c r="Z45" s="93">
        <f>IF($B45="Yes",COUNTIF(Reference!R$52:R$67,$K45),"")</f>
        <v>0</v>
      </c>
      <c r="AA45" s="93">
        <f>IF($B45="Yes",COUNTIF(Reference!S$52:S$67,$K45),"")</f>
        <v>0</v>
      </c>
      <c r="AB45" s="93">
        <f>IF($B45="Yes",COUNTIF(Reference!T$52:T$67,$K45),"")</f>
        <v>0</v>
      </c>
      <c r="AC45" s="93">
        <f t="shared" si="2"/>
        <v>0</v>
      </c>
    </row>
    <row r="46" spans="1:29" x14ac:dyDescent="0.25">
      <c r="A46" s="95">
        <v>136</v>
      </c>
      <c r="B46" s="95" t="str">
        <f t="shared" si="0"/>
        <v>Yes</v>
      </c>
      <c r="H46" s="95" t="str">
        <f t="shared" si="1"/>
        <v>PL2-136</v>
      </c>
      <c r="I46" s="111"/>
      <c r="J46" s="112" t="s">
        <v>80</v>
      </c>
      <c r="K46" s="112" t="s">
        <v>424</v>
      </c>
      <c r="L46" s="112" t="s">
        <v>899</v>
      </c>
      <c r="M46" s="112" t="s">
        <v>809</v>
      </c>
      <c r="N46" s="112"/>
      <c r="O46" s="112">
        <v>100</v>
      </c>
      <c r="P46" s="112"/>
      <c r="Q46" s="112"/>
      <c r="R46" s="112"/>
      <c r="S46" s="111"/>
      <c r="T46" s="93"/>
      <c r="U46" s="93"/>
      <c r="V46" s="93"/>
      <c r="W46" s="93"/>
      <c r="X46" s="93">
        <f>IF($B46="Yes",COUNTIF(Reference!P$52:P$67,$K46),"")</f>
        <v>0</v>
      </c>
      <c r="Y46" s="93">
        <f>IF($B46="Yes",COUNTIF(Reference!Q$52:Q$67,$K46),"")</f>
        <v>0</v>
      </c>
      <c r="Z46" s="93">
        <f>IF($B46="Yes",COUNTIF(Reference!R$52:R$67,$K46),"")</f>
        <v>1</v>
      </c>
      <c r="AA46" s="93">
        <f>IF($B46="Yes",COUNTIF(Reference!S$52:S$67,$K46),"")</f>
        <v>1</v>
      </c>
      <c r="AB46" s="93">
        <f>IF($B46="Yes",COUNTIF(Reference!T$52:T$67,$K46),"")</f>
        <v>1</v>
      </c>
      <c r="AC46" s="93">
        <f t="shared" si="2"/>
        <v>0</v>
      </c>
    </row>
    <row r="47" spans="1:29" x14ac:dyDescent="0.25">
      <c r="A47" s="95">
        <v>137</v>
      </c>
      <c r="B47" s="95" t="str">
        <f t="shared" si="0"/>
        <v>Yes</v>
      </c>
      <c r="H47" s="95" t="str">
        <f t="shared" si="1"/>
        <v>PL2-137</v>
      </c>
      <c r="I47" s="111"/>
      <c r="J47" s="112" t="s">
        <v>922</v>
      </c>
      <c r="K47" s="112" t="s">
        <v>7</v>
      </c>
      <c r="L47" s="112" t="s">
        <v>899</v>
      </c>
      <c r="M47" s="112" t="s">
        <v>809</v>
      </c>
      <c r="N47" s="112"/>
      <c r="O47" s="112">
        <v>100</v>
      </c>
      <c r="P47" s="112"/>
      <c r="Q47" s="112"/>
      <c r="R47" s="112"/>
      <c r="S47" s="111"/>
      <c r="T47" s="93"/>
      <c r="U47" s="93"/>
      <c r="V47" s="93"/>
      <c r="W47" s="93"/>
      <c r="X47" s="93">
        <f>IF($B47="Yes",COUNTIF(Reference!P$52:P$67,$K47),"")</f>
        <v>0</v>
      </c>
      <c r="Y47" s="93">
        <f>IF($B47="Yes",COUNTIF(Reference!Q$52:Q$67,$K47),"")</f>
        <v>0</v>
      </c>
      <c r="Z47" s="93">
        <f>IF($B47="Yes",COUNTIF(Reference!R$52:R$67,$K47),"")</f>
        <v>0</v>
      </c>
      <c r="AA47" s="93">
        <f>IF($B47="Yes",COUNTIF(Reference!S$52:S$67,$K47),"")</f>
        <v>0</v>
      </c>
      <c r="AB47" s="93">
        <f>IF($B47="Yes",COUNTIF(Reference!T$52:T$67,$K47),"")</f>
        <v>1</v>
      </c>
      <c r="AC47" s="93">
        <f t="shared" si="2"/>
        <v>0</v>
      </c>
    </row>
    <row r="48" spans="1:29" x14ac:dyDescent="0.25">
      <c r="A48" s="95">
        <v>138</v>
      </c>
      <c r="B48" s="95" t="str">
        <f t="shared" si="0"/>
        <v>Yes</v>
      </c>
      <c r="H48" s="95" t="str">
        <f t="shared" si="1"/>
        <v>PL2-138</v>
      </c>
      <c r="I48" s="111"/>
      <c r="J48" s="112" t="s">
        <v>923</v>
      </c>
      <c r="K48" s="112" t="s">
        <v>427</v>
      </c>
      <c r="L48" s="112" t="s">
        <v>899</v>
      </c>
      <c r="M48" s="112" t="s">
        <v>809</v>
      </c>
      <c r="N48" s="112"/>
      <c r="O48" s="112">
        <v>100</v>
      </c>
      <c r="P48" s="112"/>
      <c r="Q48" s="112"/>
      <c r="R48" s="112"/>
      <c r="S48" s="111"/>
      <c r="T48" s="93"/>
      <c r="U48" s="93"/>
      <c r="V48" s="93"/>
      <c r="W48" s="93"/>
      <c r="X48" s="93">
        <f>IF($B48="Yes",COUNTIF(Reference!P$52:P$67,$K48),"")</f>
        <v>0</v>
      </c>
      <c r="Y48" s="93">
        <f>IF($B48="Yes",COUNTIF(Reference!Q$52:Q$67,$K48),"")</f>
        <v>1</v>
      </c>
      <c r="Z48" s="93">
        <f>IF($B48="Yes",COUNTIF(Reference!R$52:R$67,$K48),"")</f>
        <v>1</v>
      </c>
      <c r="AA48" s="93">
        <f>IF($B48="Yes",COUNTIF(Reference!S$52:S$67,$K48),"")</f>
        <v>1</v>
      </c>
      <c r="AB48" s="93">
        <f>IF($B48="Yes",COUNTIF(Reference!T$52:T$67,$K48),"")</f>
        <v>0</v>
      </c>
      <c r="AC48" s="93">
        <f t="shared" si="2"/>
        <v>0</v>
      </c>
    </row>
    <row r="49" spans="1:29" x14ac:dyDescent="0.25">
      <c r="A49" s="95">
        <v>139</v>
      </c>
      <c r="B49" s="95" t="str">
        <f t="shared" si="0"/>
        <v>Yes</v>
      </c>
      <c r="H49" s="95" t="str">
        <f t="shared" si="1"/>
        <v>PL2-139</v>
      </c>
      <c r="I49" s="111"/>
      <c r="J49" s="112" t="s">
        <v>894</v>
      </c>
      <c r="K49" s="112" t="s">
        <v>5</v>
      </c>
      <c r="L49" s="112" t="s">
        <v>899</v>
      </c>
      <c r="M49" s="112" t="s">
        <v>809</v>
      </c>
      <c r="N49" s="112"/>
      <c r="O49" s="112">
        <v>100</v>
      </c>
      <c r="P49" s="112"/>
      <c r="Q49" s="112"/>
      <c r="R49" s="112"/>
      <c r="S49" s="111"/>
      <c r="T49" s="93"/>
      <c r="U49" s="93"/>
      <c r="V49" s="93"/>
      <c r="W49" s="93"/>
      <c r="X49" s="93">
        <f>IF($B49="Yes",COUNTIF(Reference!P$52:P$67,$K49),"")</f>
        <v>0</v>
      </c>
      <c r="Y49" s="93">
        <f>IF($B49="Yes",COUNTIF(Reference!Q$52:Q$67,$K49),"")</f>
        <v>0</v>
      </c>
      <c r="Z49" s="93">
        <f>IF($B49="Yes",COUNTIF(Reference!R$52:R$67,$K49),"")</f>
        <v>1</v>
      </c>
      <c r="AA49" s="93">
        <f>IF($B49="Yes",COUNTIF(Reference!S$52:S$67,$K49),"")</f>
        <v>0</v>
      </c>
      <c r="AB49" s="93">
        <f>IF($B49="Yes",COUNTIF(Reference!T$52:T$67,$K49),"")</f>
        <v>0</v>
      </c>
      <c r="AC49" s="93">
        <f t="shared" si="2"/>
        <v>0</v>
      </c>
    </row>
    <row r="50" spans="1:29" x14ac:dyDescent="0.25">
      <c r="A50" s="95">
        <v>140</v>
      </c>
      <c r="B50" s="95" t="str">
        <f t="shared" si="0"/>
        <v>Yes</v>
      </c>
      <c r="H50" s="95" t="str">
        <f t="shared" si="1"/>
        <v>PL2-140</v>
      </c>
      <c r="I50" s="111"/>
      <c r="J50" s="112" t="s">
        <v>32</v>
      </c>
      <c r="K50" s="112" t="s">
        <v>420</v>
      </c>
      <c r="L50" s="112" t="s">
        <v>14</v>
      </c>
      <c r="M50" s="112" t="s">
        <v>808</v>
      </c>
      <c r="N50" s="112"/>
      <c r="O50" s="112">
        <v>60</v>
      </c>
      <c r="P50" s="112"/>
      <c r="Q50" s="112"/>
      <c r="R50" s="112"/>
      <c r="S50" s="111"/>
      <c r="T50" s="93"/>
      <c r="U50" s="93"/>
      <c r="V50" s="93"/>
      <c r="W50" s="93"/>
      <c r="X50" s="93">
        <f>IF($B50="Yes",COUNTIF(Reference!P$52:P$67,$K50),"")</f>
        <v>0</v>
      </c>
      <c r="Y50" s="93">
        <f>IF($B50="Yes",COUNTIF(Reference!Q$52:Q$67,$K50),"")</f>
        <v>0</v>
      </c>
      <c r="Z50" s="93">
        <f>IF($B50="Yes",COUNTIF(Reference!R$52:R$67,$K50),"")</f>
        <v>1</v>
      </c>
      <c r="AA50" s="93">
        <f>IF($B50="Yes",COUNTIF(Reference!S$52:S$67,$K50),"")</f>
        <v>1</v>
      </c>
      <c r="AB50" s="93">
        <f>IF($B50="Yes",COUNTIF(Reference!T$52:T$67,$K50),"")</f>
        <v>0</v>
      </c>
      <c r="AC50" s="93">
        <f t="shared" si="2"/>
        <v>0</v>
      </c>
    </row>
    <row r="51" spans="1:29" x14ac:dyDescent="0.25">
      <c r="A51" s="95">
        <v>141</v>
      </c>
      <c r="B51" s="95" t="str">
        <f t="shared" si="0"/>
        <v>Yes</v>
      </c>
      <c r="H51" s="95" t="str">
        <f t="shared" si="1"/>
        <v>PL2-141</v>
      </c>
      <c r="I51" s="111"/>
      <c r="J51" s="112" t="s">
        <v>33</v>
      </c>
      <c r="K51" s="112" t="s">
        <v>417</v>
      </c>
      <c r="L51" s="112" t="s">
        <v>13</v>
      </c>
      <c r="M51" s="112" t="s">
        <v>809</v>
      </c>
      <c r="N51" s="112"/>
      <c r="O51" s="112">
        <v>60</v>
      </c>
      <c r="P51" s="112"/>
      <c r="Q51" s="112"/>
      <c r="R51" s="112"/>
      <c r="S51" s="111"/>
      <c r="T51" s="93"/>
      <c r="U51" s="93"/>
      <c r="V51" s="93"/>
      <c r="W51" s="93"/>
      <c r="X51" s="93">
        <f>IF($B51="Yes",COUNTIF(Reference!P$52:P$67,$K51),"")</f>
        <v>1</v>
      </c>
      <c r="Y51" s="93">
        <f>IF($B51="Yes",COUNTIF(Reference!Q$52:Q$67,$K51),"")</f>
        <v>0</v>
      </c>
      <c r="Z51" s="93">
        <f>IF($B51="Yes",COUNTIF(Reference!R$52:R$67,$K51),"")</f>
        <v>1</v>
      </c>
      <c r="AA51" s="93">
        <f>IF($B51="Yes",COUNTIF(Reference!S$52:S$67,$K51),"")</f>
        <v>0</v>
      </c>
      <c r="AB51" s="93">
        <f>IF($B51="Yes",COUNTIF(Reference!T$52:T$67,$K51),"")</f>
        <v>0</v>
      </c>
      <c r="AC51" s="93">
        <f t="shared" si="2"/>
        <v>0</v>
      </c>
    </row>
    <row r="52" spans="1:29" x14ac:dyDescent="0.25">
      <c r="A52" s="95">
        <v>142</v>
      </c>
      <c r="B52" s="95" t="str">
        <f t="shared" si="0"/>
        <v>Yes</v>
      </c>
      <c r="H52" s="95" t="str">
        <f t="shared" si="1"/>
        <v>PL2-142</v>
      </c>
      <c r="I52" s="111"/>
      <c r="J52" s="112" t="s">
        <v>34</v>
      </c>
      <c r="K52" s="112" t="s">
        <v>419</v>
      </c>
      <c r="L52" s="112" t="s">
        <v>14</v>
      </c>
      <c r="M52" s="112" t="s">
        <v>809</v>
      </c>
      <c r="N52" s="112"/>
      <c r="O52" s="112">
        <v>60</v>
      </c>
      <c r="P52" s="112"/>
      <c r="Q52" s="112"/>
      <c r="R52" s="112"/>
      <c r="S52" s="111"/>
      <c r="T52" s="93"/>
      <c r="U52" s="93"/>
      <c r="V52" s="93"/>
      <c r="W52" s="93"/>
      <c r="X52" s="93">
        <f>IF($B52="Yes",COUNTIF(Reference!P$52:P$67,$K52),"")</f>
        <v>0</v>
      </c>
      <c r="Y52" s="93">
        <f>IF($B52="Yes",COUNTIF(Reference!Q$52:Q$67,$K52),"")</f>
        <v>0</v>
      </c>
      <c r="Z52" s="93">
        <f>IF($B52="Yes",COUNTIF(Reference!R$52:R$67,$K52),"")</f>
        <v>1</v>
      </c>
      <c r="AA52" s="93">
        <f>IF($B52="Yes",COUNTIF(Reference!S$52:S$67,$K52),"")</f>
        <v>0</v>
      </c>
      <c r="AB52" s="93">
        <f>IF($B52="Yes",COUNTIF(Reference!T$52:T$67,$K52),"")</f>
        <v>1</v>
      </c>
      <c r="AC52" s="93">
        <f t="shared" si="2"/>
        <v>0</v>
      </c>
    </row>
    <row r="53" spans="1:29" x14ac:dyDescent="0.25">
      <c r="A53" s="95">
        <v>143</v>
      </c>
      <c r="B53" s="95" t="str">
        <f t="shared" si="0"/>
        <v>Yes</v>
      </c>
      <c r="H53" s="95" t="str">
        <f t="shared" si="1"/>
        <v>PL2-143</v>
      </c>
      <c r="I53" s="111"/>
      <c r="J53" s="112" t="s">
        <v>924</v>
      </c>
      <c r="K53" s="112" t="s">
        <v>5</v>
      </c>
      <c r="L53" s="112" t="s">
        <v>14</v>
      </c>
      <c r="M53" s="112" t="s">
        <v>5</v>
      </c>
      <c r="N53" s="112"/>
      <c r="O53" s="112">
        <v>60</v>
      </c>
      <c r="P53" s="112"/>
      <c r="Q53" s="112"/>
      <c r="R53" s="112"/>
      <c r="S53" s="111"/>
      <c r="T53" s="93"/>
      <c r="U53" s="93"/>
      <c r="V53" s="93"/>
      <c r="W53" s="93"/>
      <c r="X53" s="93">
        <f>IF($B53="Yes",COUNTIF(Reference!P$52:P$67,$K53),"")</f>
        <v>0</v>
      </c>
      <c r="Y53" s="93">
        <f>IF($B53="Yes",COUNTIF(Reference!Q$52:Q$67,$K53),"")</f>
        <v>0</v>
      </c>
      <c r="Z53" s="93">
        <f>IF($B53="Yes",COUNTIF(Reference!R$52:R$67,$K53),"")</f>
        <v>1</v>
      </c>
      <c r="AA53" s="93">
        <f>IF($B53="Yes",COUNTIF(Reference!S$52:S$67,$K53),"")</f>
        <v>0</v>
      </c>
      <c r="AB53" s="93">
        <f>IF($B53="Yes",COUNTIF(Reference!T$52:T$67,$K53),"")</f>
        <v>0</v>
      </c>
      <c r="AC53" s="93">
        <f t="shared" si="2"/>
        <v>0</v>
      </c>
    </row>
    <row r="54" spans="1:29" x14ac:dyDescent="0.25">
      <c r="A54" s="95">
        <v>144</v>
      </c>
      <c r="B54" s="95" t="str">
        <f t="shared" si="0"/>
        <v>Yes</v>
      </c>
      <c r="H54" s="95" t="str">
        <f t="shared" si="1"/>
        <v>PL2-144</v>
      </c>
      <c r="I54" s="111"/>
      <c r="J54" s="112" t="s">
        <v>35</v>
      </c>
      <c r="K54" s="112" t="s">
        <v>418</v>
      </c>
      <c r="L54" s="112" t="s">
        <v>13</v>
      </c>
      <c r="M54" s="112" t="s">
        <v>807</v>
      </c>
      <c r="N54" s="112"/>
      <c r="O54" s="112">
        <v>60</v>
      </c>
      <c r="P54" s="112"/>
      <c r="Q54" s="112"/>
      <c r="R54" s="112"/>
      <c r="S54" s="111"/>
      <c r="T54" s="93"/>
      <c r="U54" s="93"/>
      <c r="V54" s="93"/>
      <c r="W54" s="93"/>
      <c r="X54" s="93">
        <f>IF($B54="Yes",COUNTIF(Reference!P$52:P$67,$K54),"")</f>
        <v>0</v>
      </c>
      <c r="Y54" s="93">
        <f>IF($B54="Yes",COUNTIF(Reference!Q$52:Q$67,$K54),"")</f>
        <v>1</v>
      </c>
      <c r="Z54" s="93">
        <f>IF($B54="Yes",COUNTIF(Reference!R$52:R$67,$K54),"")</f>
        <v>1</v>
      </c>
      <c r="AA54" s="93">
        <f>IF($B54="Yes",COUNTIF(Reference!S$52:S$67,$K54),"")</f>
        <v>0</v>
      </c>
      <c r="AB54" s="93">
        <f>IF($B54="Yes",COUNTIF(Reference!T$52:T$67,$K54),"")</f>
        <v>0</v>
      </c>
      <c r="AC54" s="93">
        <f t="shared" si="2"/>
        <v>0</v>
      </c>
    </row>
    <row r="55" spans="1:29" x14ac:dyDescent="0.25">
      <c r="A55" s="95">
        <v>145</v>
      </c>
      <c r="B55" s="95" t="str">
        <f t="shared" si="0"/>
        <v>Yes</v>
      </c>
      <c r="H55" s="95" t="str">
        <f t="shared" si="1"/>
        <v>PL2-145</v>
      </c>
      <c r="I55" s="111"/>
      <c r="J55" s="112" t="s">
        <v>36</v>
      </c>
      <c r="K55" s="112" t="s">
        <v>418</v>
      </c>
      <c r="L55" s="112" t="s">
        <v>14</v>
      </c>
      <c r="M55" s="112" t="s">
        <v>809</v>
      </c>
      <c r="N55" s="112"/>
      <c r="O55" s="112">
        <v>60</v>
      </c>
      <c r="P55" s="112"/>
      <c r="Q55" s="112"/>
      <c r="R55" s="112"/>
      <c r="S55" s="111"/>
      <c r="T55" s="93"/>
      <c r="U55" s="93"/>
      <c r="V55" s="93"/>
      <c r="W55" s="93"/>
      <c r="X55" s="93">
        <f>IF($B55="Yes",COUNTIF(Reference!P$52:P$67,$K55),"")</f>
        <v>0</v>
      </c>
      <c r="Y55" s="93">
        <f>IF($B55="Yes",COUNTIF(Reference!Q$52:Q$67,$K55),"")</f>
        <v>1</v>
      </c>
      <c r="Z55" s="93">
        <f>IF($B55="Yes",COUNTIF(Reference!R$52:R$67,$K55),"")</f>
        <v>1</v>
      </c>
      <c r="AA55" s="93">
        <f>IF($B55="Yes",COUNTIF(Reference!S$52:S$67,$K55),"")</f>
        <v>0</v>
      </c>
      <c r="AB55" s="93">
        <f>IF($B55="Yes",COUNTIF(Reference!T$52:T$67,$K55),"")</f>
        <v>0</v>
      </c>
      <c r="AC55" s="93">
        <f t="shared" si="2"/>
        <v>0</v>
      </c>
    </row>
    <row r="56" spans="1:29" x14ac:dyDescent="0.25">
      <c r="A56" s="95">
        <v>146</v>
      </c>
      <c r="B56" s="95" t="str">
        <f t="shared" si="0"/>
        <v>Yes</v>
      </c>
      <c r="H56" s="95" t="str">
        <f t="shared" si="1"/>
        <v>PL2-146</v>
      </c>
      <c r="I56" s="111"/>
      <c r="J56" s="112" t="s">
        <v>38</v>
      </c>
      <c r="K56" s="112" t="s">
        <v>4</v>
      </c>
      <c r="L56" s="112" t="s">
        <v>13</v>
      </c>
      <c r="M56" s="112" t="s">
        <v>5</v>
      </c>
      <c r="N56" s="112"/>
      <c r="O56" s="112">
        <v>60</v>
      </c>
      <c r="P56" s="112"/>
      <c r="Q56" s="112"/>
      <c r="R56" s="112"/>
      <c r="S56" s="111"/>
      <c r="T56" s="93"/>
      <c r="U56" s="93"/>
      <c r="V56" s="93"/>
      <c r="W56" s="93"/>
      <c r="X56" s="93">
        <f>IF($B56="Yes",COUNTIF(Reference!P$52:P$67,$K56),"")</f>
        <v>0</v>
      </c>
      <c r="Y56" s="93">
        <f>IF($B56="Yes",COUNTIF(Reference!Q$52:Q$67,$K56),"")</f>
        <v>1</v>
      </c>
      <c r="Z56" s="93">
        <f>IF($B56="Yes",COUNTIF(Reference!R$52:R$67,$K56),"")</f>
        <v>0</v>
      </c>
      <c r="AA56" s="93">
        <f>IF($B56="Yes",COUNTIF(Reference!S$52:S$67,$K56),"")</f>
        <v>0</v>
      </c>
      <c r="AB56" s="93">
        <f>IF($B56="Yes",COUNTIF(Reference!T$52:T$67,$K56),"")</f>
        <v>0</v>
      </c>
      <c r="AC56" s="93">
        <f t="shared" si="2"/>
        <v>0</v>
      </c>
    </row>
    <row r="57" spans="1:29" x14ac:dyDescent="0.25">
      <c r="A57" s="95">
        <v>147</v>
      </c>
      <c r="B57" s="95" t="str">
        <f t="shared" si="0"/>
        <v>Yes</v>
      </c>
      <c r="H57" s="95" t="str">
        <f t="shared" si="1"/>
        <v>PL2-147</v>
      </c>
      <c r="I57" s="111"/>
      <c r="J57" s="112" t="s">
        <v>40</v>
      </c>
      <c r="K57" s="112" t="s">
        <v>6</v>
      </c>
      <c r="L57" s="112" t="s">
        <v>14</v>
      </c>
      <c r="M57" s="112" t="s">
        <v>809</v>
      </c>
      <c r="N57" s="112"/>
      <c r="O57" s="112">
        <v>60</v>
      </c>
      <c r="P57" s="112"/>
      <c r="Q57" s="112"/>
      <c r="R57" s="112"/>
      <c r="S57" s="111"/>
      <c r="T57" s="93"/>
      <c r="U57" s="93"/>
      <c r="V57" s="93"/>
      <c r="W57" s="93"/>
      <c r="X57" s="93">
        <f>IF($B57="Yes",COUNTIF(Reference!P$52:P$67,$K57),"")</f>
        <v>0</v>
      </c>
      <c r="Y57" s="93">
        <f>IF($B57="Yes",COUNTIF(Reference!Q$52:Q$67,$K57),"")</f>
        <v>0</v>
      </c>
      <c r="Z57" s="93">
        <f>IF($B57="Yes",COUNTIF(Reference!R$52:R$67,$K57),"")</f>
        <v>0</v>
      </c>
      <c r="AA57" s="93">
        <f>IF($B57="Yes",COUNTIF(Reference!S$52:S$67,$K57),"")</f>
        <v>1</v>
      </c>
      <c r="AB57" s="93">
        <f>IF($B57="Yes",COUNTIF(Reference!T$52:T$67,$K57),"")</f>
        <v>0</v>
      </c>
      <c r="AC57" s="93">
        <f t="shared" si="2"/>
        <v>0</v>
      </c>
    </row>
    <row r="58" spans="1:29" x14ac:dyDescent="0.25">
      <c r="A58" s="95">
        <v>148</v>
      </c>
      <c r="B58" s="95" t="str">
        <f t="shared" si="0"/>
        <v>Yes</v>
      </c>
      <c r="H58" s="95" t="str">
        <f t="shared" si="1"/>
        <v>PL2-148</v>
      </c>
      <c r="I58" s="111"/>
      <c r="J58" s="112" t="s">
        <v>42</v>
      </c>
      <c r="K58" s="112" t="s">
        <v>459</v>
      </c>
      <c r="L58" s="112" t="s">
        <v>14</v>
      </c>
      <c r="M58" s="112" t="s">
        <v>5</v>
      </c>
      <c r="N58" s="112"/>
      <c r="O58" s="112">
        <v>60</v>
      </c>
      <c r="P58" s="112"/>
      <c r="Q58" s="112"/>
      <c r="R58" s="112"/>
      <c r="S58" s="111"/>
      <c r="T58" s="93"/>
      <c r="U58" s="93"/>
      <c r="V58" s="93"/>
      <c r="W58" s="93"/>
      <c r="X58" s="93">
        <f>IF($B58="Yes",COUNTIF(Reference!P$52:P$67,$K58),"")</f>
        <v>1</v>
      </c>
      <c r="Y58" s="93">
        <f>IF($B58="Yes",COUNTIF(Reference!Q$52:Q$67,$K58),"")</f>
        <v>1</v>
      </c>
      <c r="Z58" s="93">
        <f>IF($B58="Yes",COUNTIF(Reference!R$52:R$67,$K58),"")</f>
        <v>1</v>
      </c>
      <c r="AA58" s="93">
        <f>IF($B58="Yes",COUNTIF(Reference!S$52:S$67,$K58),"")</f>
        <v>1</v>
      </c>
      <c r="AB58" s="93">
        <f>IF($B58="Yes",COUNTIF(Reference!T$52:T$67,$K58),"")</f>
        <v>1</v>
      </c>
      <c r="AC58" s="93">
        <f t="shared" si="2"/>
        <v>0</v>
      </c>
    </row>
    <row r="59" spans="1:29" x14ac:dyDescent="0.25">
      <c r="A59" s="95">
        <v>149</v>
      </c>
      <c r="B59" s="95" t="str">
        <f t="shared" si="0"/>
        <v>Yes</v>
      </c>
      <c r="H59" s="95" t="str">
        <f t="shared" si="1"/>
        <v>PL2-149</v>
      </c>
      <c r="I59" s="111"/>
      <c r="J59" s="112" t="s">
        <v>925</v>
      </c>
      <c r="K59" s="112" t="s">
        <v>7</v>
      </c>
      <c r="L59" s="112" t="s">
        <v>13</v>
      </c>
      <c r="M59" s="112" t="s">
        <v>809</v>
      </c>
      <c r="N59" s="112"/>
      <c r="O59" s="112">
        <v>60</v>
      </c>
      <c r="P59" s="112"/>
      <c r="Q59" s="112"/>
      <c r="R59" s="112"/>
      <c r="S59" s="111"/>
      <c r="T59" s="93"/>
      <c r="U59" s="93"/>
      <c r="V59" s="93"/>
      <c r="W59" s="93"/>
      <c r="X59" s="93">
        <f>IF($B59="Yes",COUNTIF(Reference!P$52:P$67,$K59),"")</f>
        <v>0</v>
      </c>
      <c r="Y59" s="93">
        <f>IF($B59="Yes",COUNTIF(Reference!Q$52:Q$67,$K59),"")</f>
        <v>0</v>
      </c>
      <c r="Z59" s="93">
        <f>IF($B59="Yes",COUNTIF(Reference!R$52:R$67,$K59),"")</f>
        <v>0</v>
      </c>
      <c r="AA59" s="93">
        <f>IF($B59="Yes",COUNTIF(Reference!S$52:S$67,$K59),"")</f>
        <v>0</v>
      </c>
      <c r="AB59" s="93">
        <f>IF($B59="Yes",COUNTIF(Reference!T$52:T$67,$K59),"")</f>
        <v>1</v>
      </c>
      <c r="AC59" s="93">
        <f t="shared" si="2"/>
        <v>0</v>
      </c>
    </row>
    <row r="60" spans="1:29" x14ac:dyDescent="0.25">
      <c r="A60" s="95">
        <v>150</v>
      </c>
      <c r="B60" s="95" t="str">
        <f t="shared" si="0"/>
        <v>Yes</v>
      </c>
      <c r="H60" s="95" t="str">
        <f t="shared" si="1"/>
        <v>PL2-150</v>
      </c>
      <c r="I60" s="111"/>
      <c r="J60" s="112" t="s">
        <v>43</v>
      </c>
      <c r="K60" s="112" t="s">
        <v>3</v>
      </c>
      <c r="L60" s="112" t="s">
        <v>14</v>
      </c>
      <c r="M60" s="112" t="s">
        <v>809</v>
      </c>
      <c r="N60" s="112"/>
      <c r="O60" s="112">
        <v>60</v>
      </c>
      <c r="P60" s="112" t="s">
        <v>926</v>
      </c>
      <c r="Q60" s="112"/>
      <c r="R60" s="112"/>
      <c r="S60" s="111"/>
      <c r="T60" s="93"/>
      <c r="U60" s="93"/>
      <c r="V60" s="93"/>
      <c r="W60" s="93"/>
      <c r="X60" s="93">
        <f>IF($B60="Yes",COUNTIF(Reference!P$52:P$67,$K60),"")</f>
        <v>1</v>
      </c>
      <c r="Y60" s="93">
        <f>IF($B60="Yes",COUNTIF(Reference!Q$52:Q$67,$K60),"")</f>
        <v>0</v>
      </c>
      <c r="Z60" s="93">
        <f>IF($B60="Yes",COUNTIF(Reference!R$52:R$67,$K60),"")</f>
        <v>0</v>
      </c>
      <c r="AA60" s="93">
        <f>IF($B60="Yes",COUNTIF(Reference!S$52:S$67,$K60),"")</f>
        <v>0</v>
      </c>
      <c r="AB60" s="93">
        <f>IF($B60="Yes",COUNTIF(Reference!T$52:T$67,$K60),"")</f>
        <v>0</v>
      </c>
      <c r="AC60" s="93">
        <f t="shared" si="2"/>
        <v>0</v>
      </c>
    </row>
    <row r="61" spans="1:29" x14ac:dyDescent="0.25">
      <c r="A61" s="95">
        <v>151</v>
      </c>
      <c r="B61" s="95" t="str">
        <f t="shared" si="0"/>
        <v>Yes</v>
      </c>
      <c r="H61" s="95" t="str">
        <f t="shared" si="1"/>
        <v>PL2-151</v>
      </c>
      <c r="I61" s="111"/>
      <c r="J61" s="112" t="s">
        <v>46</v>
      </c>
      <c r="K61" s="112" t="s">
        <v>420</v>
      </c>
      <c r="L61" s="112" t="s">
        <v>13</v>
      </c>
      <c r="M61" s="112" t="s">
        <v>5</v>
      </c>
      <c r="N61" s="112"/>
      <c r="O61" s="112">
        <v>60</v>
      </c>
      <c r="P61" s="112"/>
      <c r="Q61" s="112"/>
      <c r="R61" s="112"/>
      <c r="S61" s="111"/>
      <c r="T61" s="93"/>
      <c r="U61" s="93"/>
      <c r="V61" s="93"/>
      <c r="W61" s="93"/>
      <c r="X61" s="93">
        <f>IF($B61="Yes",COUNTIF(Reference!P$52:P$67,$K61),"")</f>
        <v>0</v>
      </c>
      <c r="Y61" s="93">
        <f>IF($B61="Yes",COUNTIF(Reference!Q$52:Q$67,$K61),"")</f>
        <v>0</v>
      </c>
      <c r="Z61" s="93">
        <f>IF($B61="Yes",COUNTIF(Reference!R$52:R$67,$K61),"")</f>
        <v>1</v>
      </c>
      <c r="AA61" s="93">
        <f>IF($B61="Yes",COUNTIF(Reference!S$52:S$67,$K61),"")</f>
        <v>1</v>
      </c>
      <c r="AB61" s="93">
        <f>IF($B61="Yes",COUNTIF(Reference!T$52:T$67,$K61),"")</f>
        <v>0</v>
      </c>
      <c r="AC61" s="93">
        <f t="shared" si="2"/>
        <v>0</v>
      </c>
    </row>
    <row r="62" spans="1:29" x14ac:dyDescent="0.25">
      <c r="A62" s="95">
        <v>152</v>
      </c>
      <c r="B62" s="95" t="str">
        <f t="shared" si="0"/>
        <v>Yes</v>
      </c>
      <c r="H62" s="95" t="str">
        <f t="shared" si="1"/>
        <v>PL2-152</v>
      </c>
      <c r="I62" s="111"/>
      <c r="J62" s="112" t="s">
        <v>927</v>
      </c>
      <c r="K62" s="112" t="s">
        <v>419</v>
      </c>
      <c r="L62" s="112" t="s">
        <v>13</v>
      </c>
      <c r="M62" s="112" t="s">
        <v>5</v>
      </c>
      <c r="N62" s="112"/>
      <c r="O62" s="112">
        <v>60</v>
      </c>
      <c r="P62" s="112"/>
      <c r="Q62" s="112"/>
      <c r="R62" s="112"/>
      <c r="S62" s="111"/>
      <c r="T62" s="93"/>
      <c r="U62" s="93"/>
      <c r="V62" s="93"/>
      <c r="W62" s="93"/>
      <c r="X62" s="93">
        <f>IF($B62="Yes",COUNTIF(Reference!P$52:P$67,$K62),"")</f>
        <v>0</v>
      </c>
      <c r="Y62" s="93">
        <f>IF($B62="Yes",COUNTIF(Reference!Q$52:Q$67,$K62),"")</f>
        <v>0</v>
      </c>
      <c r="Z62" s="93">
        <f>IF($B62="Yes",COUNTIF(Reference!R$52:R$67,$K62),"")</f>
        <v>1</v>
      </c>
      <c r="AA62" s="93">
        <f>IF($B62="Yes",COUNTIF(Reference!S$52:S$67,$K62),"")</f>
        <v>0</v>
      </c>
      <c r="AB62" s="93">
        <f>IF($B62="Yes",COUNTIF(Reference!T$52:T$67,$K62),"")</f>
        <v>1</v>
      </c>
      <c r="AC62" s="93">
        <f t="shared" si="2"/>
        <v>0</v>
      </c>
    </row>
    <row r="63" spans="1:29" x14ac:dyDescent="0.25">
      <c r="A63" s="95">
        <v>153</v>
      </c>
      <c r="B63" s="95" t="str">
        <f t="shared" si="0"/>
        <v>Yes</v>
      </c>
      <c r="H63" s="95" t="str">
        <f t="shared" si="1"/>
        <v>PL2-153</v>
      </c>
      <c r="I63" s="111"/>
      <c r="J63" s="112" t="s">
        <v>928</v>
      </c>
      <c r="K63" s="112" t="s">
        <v>420</v>
      </c>
      <c r="L63" s="112" t="s">
        <v>13</v>
      </c>
      <c r="M63" s="112" t="s">
        <v>5</v>
      </c>
      <c r="N63" s="112"/>
      <c r="O63" s="112">
        <v>60</v>
      </c>
      <c r="P63" s="112"/>
      <c r="Q63" s="112"/>
      <c r="R63" s="112"/>
      <c r="S63" s="111"/>
      <c r="T63" s="93"/>
      <c r="U63" s="93"/>
      <c r="V63" s="93"/>
      <c r="W63" s="93"/>
      <c r="X63" s="93">
        <f>IF($B63="Yes",COUNTIF(Reference!P$52:P$67,$K63),"")</f>
        <v>0</v>
      </c>
      <c r="Y63" s="93">
        <f>IF($B63="Yes",COUNTIF(Reference!Q$52:Q$67,$K63),"")</f>
        <v>0</v>
      </c>
      <c r="Z63" s="93">
        <f>IF($B63="Yes",COUNTIF(Reference!R$52:R$67,$K63),"")</f>
        <v>1</v>
      </c>
      <c r="AA63" s="93">
        <f>IF($B63="Yes",COUNTIF(Reference!S$52:S$67,$K63),"")</f>
        <v>1</v>
      </c>
      <c r="AB63" s="93">
        <f>IF($B63="Yes",COUNTIF(Reference!T$52:T$67,$K63),"")</f>
        <v>0</v>
      </c>
      <c r="AC63" s="93">
        <f t="shared" si="2"/>
        <v>0</v>
      </c>
    </row>
    <row r="64" spans="1:29" x14ac:dyDescent="0.25">
      <c r="A64" s="95">
        <v>154</v>
      </c>
      <c r="B64" s="95" t="str">
        <f t="shared" si="0"/>
        <v>Yes</v>
      </c>
      <c r="H64" s="95" t="str">
        <f t="shared" si="1"/>
        <v>PL2-154</v>
      </c>
      <c r="I64" s="111"/>
      <c r="J64" s="112" t="s">
        <v>47</v>
      </c>
      <c r="K64" s="112" t="s">
        <v>434</v>
      </c>
      <c r="L64" s="112" t="s">
        <v>13</v>
      </c>
      <c r="M64" s="112" t="s">
        <v>809</v>
      </c>
      <c r="N64" s="112"/>
      <c r="O64" s="112">
        <v>60</v>
      </c>
      <c r="P64" s="112"/>
      <c r="Q64" s="112"/>
      <c r="R64" s="112"/>
      <c r="S64" s="111"/>
      <c r="T64" s="93"/>
      <c r="U64" s="93"/>
      <c r="V64" s="93"/>
      <c r="W64" s="93"/>
      <c r="X64" s="93">
        <f>IF($B64="Yes",COUNTIF(Reference!P$52:P$67,$K64),"")</f>
        <v>1</v>
      </c>
      <c r="Y64" s="93">
        <f>IF($B64="Yes",COUNTIF(Reference!Q$52:Q$67,$K64),"")</f>
        <v>1</v>
      </c>
      <c r="Z64" s="93">
        <f>IF($B64="Yes",COUNTIF(Reference!R$52:R$67,$K64),"")</f>
        <v>0</v>
      </c>
      <c r="AA64" s="93">
        <f>IF($B64="Yes",COUNTIF(Reference!S$52:S$67,$K64),"")</f>
        <v>0</v>
      </c>
      <c r="AB64" s="93">
        <f>IF($B64="Yes",COUNTIF(Reference!T$52:T$67,$K64),"")</f>
        <v>0</v>
      </c>
      <c r="AC64" s="93">
        <f t="shared" si="2"/>
        <v>0</v>
      </c>
    </row>
    <row r="65" spans="1:29" x14ac:dyDescent="0.25">
      <c r="A65" s="95">
        <v>155</v>
      </c>
      <c r="B65" s="95" t="str">
        <f t="shared" si="0"/>
        <v>Yes</v>
      </c>
      <c r="H65" s="95" t="str">
        <f t="shared" si="1"/>
        <v>PL2-155</v>
      </c>
      <c r="I65" s="111"/>
      <c r="J65" s="112" t="s">
        <v>48</v>
      </c>
      <c r="K65" s="112" t="s">
        <v>437</v>
      </c>
      <c r="L65" s="112" t="s">
        <v>14</v>
      </c>
      <c r="M65" s="112" t="s">
        <v>809</v>
      </c>
      <c r="N65" s="112"/>
      <c r="O65" s="112">
        <v>60</v>
      </c>
      <c r="P65" s="112"/>
      <c r="Q65" s="112"/>
      <c r="R65" s="112"/>
      <c r="S65" s="111"/>
      <c r="T65" s="93"/>
      <c r="U65" s="93"/>
      <c r="V65" s="93"/>
      <c r="W65" s="93"/>
      <c r="X65" s="93">
        <f>IF($B65="Yes",COUNTIF(Reference!P$52:P$67,$K65),"")</f>
        <v>0</v>
      </c>
      <c r="Y65" s="93">
        <f>IF($B65="Yes",COUNTIF(Reference!Q$52:Q$67,$K65),"")</f>
        <v>1</v>
      </c>
      <c r="Z65" s="93">
        <f>IF($B65="Yes",COUNTIF(Reference!R$52:R$67,$K65),"")</f>
        <v>0</v>
      </c>
      <c r="AA65" s="93">
        <f>IF($B65="Yes",COUNTIF(Reference!S$52:S$67,$K65),"")</f>
        <v>0</v>
      </c>
      <c r="AB65" s="93">
        <f>IF($B65="Yes",COUNTIF(Reference!T$52:T$67,$K65),"")</f>
        <v>1</v>
      </c>
      <c r="AC65" s="93">
        <f t="shared" si="2"/>
        <v>0</v>
      </c>
    </row>
    <row r="66" spans="1:29" x14ac:dyDescent="0.25">
      <c r="A66" s="95">
        <v>156</v>
      </c>
      <c r="B66" s="95" t="str">
        <f t="shared" si="0"/>
        <v>Yes</v>
      </c>
      <c r="H66" s="95" t="str">
        <f t="shared" si="1"/>
        <v>PL2-156</v>
      </c>
      <c r="I66" s="111"/>
      <c r="J66" s="112" t="s">
        <v>929</v>
      </c>
      <c r="K66" s="112" t="s">
        <v>428</v>
      </c>
      <c r="L66" s="112" t="s">
        <v>14</v>
      </c>
      <c r="M66" s="112" t="s">
        <v>809</v>
      </c>
      <c r="N66" s="112"/>
      <c r="O66" s="112">
        <v>60</v>
      </c>
      <c r="P66" s="112"/>
      <c r="Q66" s="112"/>
      <c r="R66" s="112"/>
      <c r="S66" s="111"/>
      <c r="T66" s="93"/>
      <c r="U66" s="93"/>
      <c r="V66" s="93"/>
      <c r="W66" s="93"/>
      <c r="X66" s="93">
        <f>IF($B66="Yes",COUNTIF(Reference!P$52:P$67,$K66),"")</f>
        <v>0</v>
      </c>
      <c r="Y66" s="93">
        <f>IF($B66="Yes",COUNTIF(Reference!Q$52:Q$67,$K66),"")</f>
        <v>0</v>
      </c>
      <c r="Z66" s="93">
        <f>IF($B66="Yes",COUNTIF(Reference!R$52:R$67,$K66),"")</f>
        <v>0</v>
      </c>
      <c r="AA66" s="93">
        <f>IF($B66="Yes",COUNTIF(Reference!S$52:S$67,$K66),"")</f>
        <v>1</v>
      </c>
      <c r="AB66" s="93">
        <f>IF($B66="Yes",COUNTIF(Reference!T$52:T$67,$K66),"")</f>
        <v>1</v>
      </c>
      <c r="AC66" s="93">
        <f t="shared" si="2"/>
        <v>0</v>
      </c>
    </row>
    <row r="67" spans="1:29" x14ac:dyDescent="0.25">
      <c r="A67" s="95">
        <v>157</v>
      </c>
      <c r="B67" s="95" t="str">
        <f t="shared" si="0"/>
        <v>Yes</v>
      </c>
      <c r="H67" s="95" t="str">
        <f t="shared" si="1"/>
        <v>PL2-157</v>
      </c>
      <c r="I67" s="111"/>
      <c r="J67" s="112" t="s">
        <v>49</v>
      </c>
      <c r="K67" s="112" t="s">
        <v>420</v>
      </c>
      <c r="L67" s="112" t="s">
        <v>13</v>
      </c>
      <c r="M67" s="112" t="s">
        <v>809</v>
      </c>
      <c r="N67" s="112"/>
      <c r="O67" s="112">
        <v>60</v>
      </c>
      <c r="P67" s="112"/>
      <c r="Q67" s="112"/>
      <c r="R67" s="112"/>
      <c r="S67" s="111"/>
      <c r="T67" s="93"/>
      <c r="U67" s="93"/>
      <c r="V67" s="93"/>
      <c r="W67" s="93"/>
      <c r="X67" s="93">
        <f>IF($B67="Yes",COUNTIF(Reference!P$52:P$67,$K67),"")</f>
        <v>0</v>
      </c>
      <c r="Y67" s="93">
        <f>IF($B67="Yes",COUNTIF(Reference!Q$52:Q$67,$K67),"")</f>
        <v>0</v>
      </c>
      <c r="Z67" s="93">
        <f>IF($B67="Yes",COUNTIF(Reference!R$52:R$67,$K67),"")</f>
        <v>1</v>
      </c>
      <c r="AA67" s="93">
        <f>IF($B67="Yes",COUNTIF(Reference!S$52:S$67,$K67),"")</f>
        <v>1</v>
      </c>
      <c r="AB67" s="93">
        <f>IF($B67="Yes",COUNTIF(Reference!T$52:T$67,$K67),"")</f>
        <v>0</v>
      </c>
      <c r="AC67" s="93">
        <f t="shared" si="2"/>
        <v>0</v>
      </c>
    </row>
    <row r="68" spans="1:29" x14ac:dyDescent="0.25">
      <c r="A68" s="95">
        <v>158</v>
      </c>
      <c r="B68" s="95" t="str">
        <f t="shared" si="0"/>
        <v>Yes</v>
      </c>
      <c r="H68" s="95" t="str">
        <f t="shared" si="1"/>
        <v>PL2-158</v>
      </c>
      <c r="I68" s="111"/>
      <c r="J68" s="112" t="s">
        <v>50</v>
      </c>
      <c r="K68" s="112" t="s">
        <v>418</v>
      </c>
      <c r="L68" s="112" t="s">
        <v>13</v>
      </c>
      <c r="M68" s="112" t="s">
        <v>809</v>
      </c>
      <c r="N68" s="112"/>
      <c r="O68" s="112">
        <v>60</v>
      </c>
      <c r="P68" s="112"/>
      <c r="Q68" s="112"/>
      <c r="R68" s="112"/>
      <c r="S68" s="111"/>
      <c r="T68" s="93"/>
      <c r="U68" s="93"/>
      <c r="V68" s="93"/>
      <c r="W68" s="93"/>
      <c r="X68" s="93">
        <f>IF($B68="Yes",COUNTIF(Reference!P$52:P$67,$K68),"")</f>
        <v>0</v>
      </c>
      <c r="Y68" s="93">
        <f>IF($B68="Yes",COUNTIF(Reference!Q$52:Q$67,$K68),"")</f>
        <v>1</v>
      </c>
      <c r="Z68" s="93">
        <f>IF($B68="Yes",COUNTIF(Reference!R$52:R$67,$K68),"")</f>
        <v>1</v>
      </c>
      <c r="AA68" s="93">
        <f>IF($B68="Yes",COUNTIF(Reference!S$52:S$67,$K68),"")</f>
        <v>0</v>
      </c>
      <c r="AB68" s="93">
        <f>IF($B68="Yes",COUNTIF(Reference!T$52:T$67,$K68),"")</f>
        <v>0</v>
      </c>
      <c r="AC68" s="93">
        <f t="shared" si="2"/>
        <v>0</v>
      </c>
    </row>
    <row r="69" spans="1:29" x14ac:dyDescent="0.25">
      <c r="A69" s="95">
        <v>159</v>
      </c>
      <c r="B69" s="95" t="str">
        <f t="shared" si="0"/>
        <v>Yes</v>
      </c>
      <c r="H69" s="95" t="str">
        <f t="shared" si="1"/>
        <v>PL2-159</v>
      </c>
      <c r="I69" s="111"/>
      <c r="J69" s="112" t="s">
        <v>51</v>
      </c>
      <c r="K69" s="112" t="s">
        <v>6</v>
      </c>
      <c r="L69" s="112" t="s">
        <v>14</v>
      </c>
      <c r="M69" s="112" t="s">
        <v>809</v>
      </c>
      <c r="N69" s="112"/>
      <c r="O69" s="112">
        <v>60</v>
      </c>
      <c r="P69" s="112"/>
      <c r="Q69" s="112"/>
      <c r="R69" s="112"/>
      <c r="S69" s="111"/>
      <c r="T69" s="93"/>
      <c r="U69" s="93"/>
      <c r="V69" s="93"/>
      <c r="W69" s="93"/>
      <c r="X69" s="93">
        <f>IF($B69="Yes",COUNTIF(Reference!P$52:P$67,$K69),"")</f>
        <v>0</v>
      </c>
      <c r="Y69" s="93">
        <f>IF($B69="Yes",COUNTIF(Reference!Q$52:Q$67,$K69),"")</f>
        <v>0</v>
      </c>
      <c r="Z69" s="93">
        <f>IF($B69="Yes",COUNTIF(Reference!R$52:R$67,$K69),"")</f>
        <v>0</v>
      </c>
      <c r="AA69" s="93">
        <f>IF($B69="Yes",COUNTIF(Reference!S$52:S$67,$K69),"")</f>
        <v>1</v>
      </c>
      <c r="AB69" s="93">
        <f>IF($B69="Yes",COUNTIF(Reference!T$52:T$67,$K69),"")</f>
        <v>0</v>
      </c>
      <c r="AC69" s="93">
        <f t="shared" si="2"/>
        <v>0</v>
      </c>
    </row>
    <row r="70" spans="1:29" x14ac:dyDescent="0.25">
      <c r="A70" s="95">
        <v>160</v>
      </c>
      <c r="B70" s="95" t="str">
        <f t="shared" si="0"/>
        <v>Yes</v>
      </c>
      <c r="H70" s="95" t="str">
        <f t="shared" si="1"/>
        <v>PL2-160</v>
      </c>
      <c r="I70" s="111"/>
      <c r="J70" s="112" t="s">
        <v>52</v>
      </c>
      <c r="K70" s="112" t="s">
        <v>418</v>
      </c>
      <c r="L70" s="112" t="s">
        <v>13</v>
      </c>
      <c r="M70" s="112" t="s">
        <v>807</v>
      </c>
      <c r="N70" s="112"/>
      <c r="O70" s="112">
        <v>60</v>
      </c>
      <c r="P70" s="112"/>
      <c r="Q70" s="112"/>
      <c r="R70" s="112"/>
      <c r="S70" s="111"/>
      <c r="T70" s="93"/>
      <c r="U70" s="93"/>
      <c r="V70" s="93"/>
      <c r="W70" s="93"/>
      <c r="X70" s="93">
        <f>IF($B70="Yes",COUNTIF(Reference!P$52:P$67,$K70),"")</f>
        <v>0</v>
      </c>
      <c r="Y70" s="93">
        <f>IF($B70="Yes",COUNTIF(Reference!Q$52:Q$67,$K70),"")</f>
        <v>1</v>
      </c>
      <c r="Z70" s="93">
        <f>IF($B70="Yes",COUNTIF(Reference!R$52:R$67,$K70),"")</f>
        <v>1</v>
      </c>
      <c r="AA70" s="93">
        <f>IF($B70="Yes",COUNTIF(Reference!S$52:S$67,$K70),"")</f>
        <v>0</v>
      </c>
      <c r="AB70" s="93">
        <f>IF($B70="Yes",COUNTIF(Reference!T$52:T$67,$K70),"")</f>
        <v>0</v>
      </c>
      <c r="AC70" s="93">
        <f t="shared" si="2"/>
        <v>0</v>
      </c>
    </row>
    <row r="71" spans="1:29" x14ac:dyDescent="0.25">
      <c r="A71" s="95">
        <v>161</v>
      </c>
      <c r="B71" s="95" t="str">
        <f t="shared" si="0"/>
        <v>Yes</v>
      </c>
      <c r="H71" s="95" t="str">
        <f t="shared" si="1"/>
        <v>PL2-161</v>
      </c>
      <c r="I71" s="111"/>
      <c r="J71" s="112" t="s">
        <v>930</v>
      </c>
      <c r="K71" s="112" t="s">
        <v>6</v>
      </c>
      <c r="L71" s="112" t="s">
        <v>13</v>
      </c>
      <c r="M71" s="112" t="s">
        <v>5</v>
      </c>
      <c r="N71" s="112"/>
      <c r="O71" s="112">
        <v>60</v>
      </c>
      <c r="P71" s="112"/>
      <c r="Q71" s="112"/>
      <c r="R71" s="112"/>
      <c r="S71" s="111"/>
      <c r="T71" s="93"/>
      <c r="U71" s="93"/>
      <c r="V71" s="93"/>
      <c r="W71" s="93"/>
      <c r="X71" s="93">
        <f>IF($B71="Yes",COUNTIF(Reference!P$52:P$67,$K71),"")</f>
        <v>0</v>
      </c>
      <c r="Y71" s="93">
        <f>IF($B71="Yes",COUNTIF(Reference!Q$52:Q$67,$K71),"")</f>
        <v>0</v>
      </c>
      <c r="Z71" s="93">
        <f>IF($B71="Yes",COUNTIF(Reference!R$52:R$67,$K71),"")</f>
        <v>0</v>
      </c>
      <c r="AA71" s="93">
        <f>IF($B71="Yes",COUNTIF(Reference!S$52:S$67,$K71),"")</f>
        <v>1</v>
      </c>
      <c r="AB71" s="93">
        <f>IF($B71="Yes",COUNTIF(Reference!T$52:T$67,$K71),"")</f>
        <v>0</v>
      </c>
      <c r="AC71" s="93">
        <f t="shared" si="2"/>
        <v>0</v>
      </c>
    </row>
    <row r="72" spans="1:29" x14ac:dyDescent="0.25">
      <c r="A72" s="95">
        <v>162</v>
      </c>
      <c r="B72" s="95" t="str">
        <f t="shared" si="0"/>
        <v>Yes</v>
      </c>
      <c r="H72" s="95" t="str">
        <f t="shared" si="1"/>
        <v>PL2-162</v>
      </c>
      <c r="I72" s="111"/>
      <c r="J72" s="112" t="s">
        <v>931</v>
      </c>
      <c r="K72" s="112" t="s">
        <v>418</v>
      </c>
      <c r="L72" s="112" t="s">
        <v>13</v>
      </c>
      <c r="M72" s="112" t="s">
        <v>809</v>
      </c>
      <c r="N72" s="112"/>
      <c r="O72" s="112">
        <v>60</v>
      </c>
      <c r="P72" s="112"/>
      <c r="Q72" s="112"/>
      <c r="R72" s="112"/>
      <c r="S72" s="111"/>
      <c r="T72" s="93"/>
      <c r="U72" s="93"/>
      <c r="V72" s="93"/>
      <c r="W72" s="93"/>
      <c r="X72" s="93">
        <f>IF($B72="Yes",COUNTIF(Reference!P$52:P$67,$K72),"")</f>
        <v>0</v>
      </c>
      <c r="Y72" s="93">
        <f>IF($B72="Yes",COUNTIF(Reference!Q$52:Q$67,$K72),"")</f>
        <v>1</v>
      </c>
      <c r="Z72" s="93">
        <f>IF($B72="Yes",COUNTIF(Reference!R$52:R$67,$K72),"")</f>
        <v>1</v>
      </c>
      <c r="AA72" s="93">
        <f>IF($B72="Yes",COUNTIF(Reference!S$52:S$67,$K72),"")</f>
        <v>0</v>
      </c>
      <c r="AB72" s="93">
        <f>IF($B72="Yes",COUNTIF(Reference!T$52:T$67,$K72),"")</f>
        <v>0</v>
      </c>
      <c r="AC72" s="93">
        <f t="shared" si="2"/>
        <v>0</v>
      </c>
    </row>
    <row r="73" spans="1:29" x14ac:dyDescent="0.25">
      <c r="A73" s="95">
        <v>163</v>
      </c>
      <c r="B73" s="95" t="str">
        <f t="shared" si="0"/>
        <v>Yes</v>
      </c>
      <c r="H73" s="95" t="str">
        <f t="shared" si="1"/>
        <v>PL2-163</v>
      </c>
      <c r="I73" s="111"/>
      <c r="J73" s="112" t="s">
        <v>53</v>
      </c>
      <c r="K73" s="112" t="s">
        <v>419</v>
      </c>
      <c r="L73" s="112" t="s">
        <v>14</v>
      </c>
      <c r="M73" s="112" t="s">
        <v>809</v>
      </c>
      <c r="N73" s="112"/>
      <c r="O73" s="112">
        <v>60</v>
      </c>
      <c r="P73" s="112"/>
      <c r="Q73" s="112"/>
      <c r="R73" s="112"/>
      <c r="S73" s="111"/>
      <c r="T73" s="93"/>
      <c r="U73" s="93"/>
      <c r="V73" s="93"/>
      <c r="W73" s="93"/>
      <c r="X73" s="93">
        <f>IF($B73="Yes",COUNTIF(Reference!P$52:P$67,$K73),"")</f>
        <v>0</v>
      </c>
      <c r="Y73" s="93">
        <f>IF($B73="Yes",COUNTIF(Reference!Q$52:Q$67,$K73),"")</f>
        <v>0</v>
      </c>
      <c r="Z73" s="93">
        <f>IF($B73="Yes",COUNTIF(Reference!R$52:R$67,$K73),"")</f>
        <v>1</v>
      </c>
      <c r="AA73" s="93">
        <f>IF($B73="Yes",COUNTIF(Reference!S$52:S$67,$K73),"")</f>
        <v>0</v>
      </c>
      <c r="AB73" s="93">
        <f>IF($B73="Yes",COUNTIF(Reference!T$52:T$67,$K73),"")</f>
        <v>1</v>
      </c>
      <c r="AC73" s="93">
        <f t="shared" si="2"/>
        <v>0</v>
      </c>
    </row>
    <row r="74" spans="1:29" x14ac:dyDescent="0.25">
      <c r="A74" s="95">
        <v>164</v>
      </c>
      <c r="B74" s="95" t="str">
        <f t="shared" si="0"/>
        <v>Yes</v>
      </c>
      <c r="H74" s="95" t="str">
        <f t="shared" si="1"/>
        <v>PL2-164</v>
      </c>
      <c r="I74" s="111"/>
      <c r="J74" s="112" t="s">
        <v>54</v>
      </c>
      <c r="K74" s="112" t="s">
        <v>7</v>
      </c>
      <c r="L74" s="112" t="s">
        <v>13</v>
      </c>
      <c r="M74" s="112" t="s">
        <v>5</v>
      </c>
      <c r="N74" s="112"/>
      <c r="O74" s="112">
        <v>60</v>
      </c>
      <c r="P74" s="112"/>
      <c r="Q74" s="112"/>
      <c r="R74" s="112"/>
      <c r="S74" s="111"/>
      <c r="T74" s="93"/>
      <c r="U74" s="93"/>
      <c r="V74" s="93"/>
      <c r="W74" s="93"/>
      <c r="X74" s="93">
        <f>IF($B74="Yes",COUNTIF(Reference!P$52:P$67,$K74),"")</f>
        <v>0</v>
      </c>
      <c r="Y74" s="93">
        <f>IF($B74="Yes",COUNTIF(Reference!Q$52:Q$67,$K74),"")</f>
        <v>0</v>
      </c>
      <c r="Z74" s="93">
        <f>IF($B74="Yes",COUNTIF(Reference!R$52:R$67,$K74),"")</f>
        <v>0</v>
      </c>
      <c r="AA74" s="93">
        <f>IF($B74="Yes",COUNTIF(Reference!S$52:S$67,$K74),"")</f>
        <v>0</v>
      </c>
      <c r="AB74" s="93">
        <f>IF($B74="Yes",COUNTIF(Reference!T$52:T$67,$K74),"")</f>
        <v>1</v>
      </c>
      <c r="AC74" s="93">
        <f t="shared" si="2"/>
        <v>0</v>
      </c>
    </row>
    <row r="75" spans="1:29" x14ac:dyDescent="0.25">
      <c r="A75" s="95">
        <v>165</v>
      </c>
      <c r="B75" s="95" t="str">
        <f t="shared" ref="B75:B138" si="3">IF(COUNTBLANK(J75:M75)=0,"Yes","No")</f>
        <v>Yes</v>
      </c>
      <c r="H75" s="95" t="str">
        <f t="shared" ref="H75:H138" si="4">IF(J75="","",$A$1&amp;"-"&amp;A75)</f>
        <v>PL2-165</v>
      </c>
      <c r="I75" s="111"/>
      <c r="J75" s="112" t="s">
        <v>932</v>
      </c>
      <c r="K75" s="112" t="s">
        <v>428</v>
      </c>
      <c r="L75" s="112" t="s">
        <v>14</v>
      </c>
      <c r="M75" s="112" t="s">
        <v>5</v>
      </c>
      <c r="N75" s="112"/>
      <c r="O75" s="112">
        <v>60</v>
      </c>
      <c r="P75" s="112"/>
      <c r="Q75" s="112"/>
      <c r="R75" s="112"/>
      <c r="S75" s="111"/>
      <c r="T75" s="93"/>
      <c r="U75" s="93"/>
      <c r="V75" s="93"/>
      <c r="W75" s="93"/>
      <c r="X75" s="93">
        <f>IF($B75="Yes",COUNTIF(Reference!P$52:P$67,$K75),"")</f>
        <v>0</v>
      </c>
      <c r="Y75" s="93">
        <f>IF($B75="Yes",COUNTIF(Reference!Q$52:Q$67,$K75),"")</f>
        <v>0</v>
      </c>
      <c r="Z75" s="93">
        <f>IF($B75="Yes",COUNTIF(Reference!R$52:R$67,$K75),"")</f>
        <v>0</v>
      </c>
      <c r="AA75" s="93">
        <f>IF($B75="Yes",COUNTIF(Reference!S$52:S$67,$K75),"")</f>
        <v>1</v>
      </c>
      <c r="AB75" s="93">
        <f>IF($B75="Yes",COUNTIF(Reference!T$52:T$67,$K75),"")</f>
        <v>1</v>
      </c>
      <c r="AC75" s="93">
        <f t="shared" ref="AC75:AC138" si="5">IF($B75="Yes",COUNTIF(K75,"N"),"")</f>
        <v>0</v>
      </c>
    </row>
    <row r="76" spans="1:29" x14ac:dyDescent="0.25">
      <c r="A76" s="95">
        <v>166</v>
      </c>
      <c r="B76" s="95" t="str">
        <f t="shared" si="3"/>
        <v>Yes</v>
      </c>
      <c r="H76" s="95" t="str">
        <f t="shared" si="4"/>
        <v>PL2-166</v>
      </c>
      <c r="I76" s="111"/>
      <c r="J76" s="112" t="s">
        <v>933</v>
      </c>
      <c r="K76" s="112" t="s">
        <v>7</v>
      </c>
      <c r="L76" s="112" t="s">
        <v>14</v>
      </c>
      <c r="M76" s="112" t="s">
        <v>809</v>
      </c>
      <c r="N76" s="112"/>
      <c r="O76" s="112">
        <v>60</v>
      </c>
      <c r="P76" s="112"/>
      <c r="Q76" s="112"/>
      <c r="R76" s="112"/>
      <c r="S76" s="111"/>
      <c r="T76" s="93"/>
      <c r="U76" s="93"/>
      <c r="V76" s="93"/>
      <c r="W76" s="93"/>
      <c r="X76" s="93">
        <f>IF($B76="Yes",COUNTIF(Reference!P$52:P$67,$K76),"")</f>
        <v>0</v>
      </c>
      <c r="Y76" s="93">
        <f>IF($B76="Yes",COUNTIF(Reference!Q$52:Q$67,$K76),"")</f>
        <v>0</v>
      </c>
      <c r="Z76" s="93">
        <f>IF($B76="Yes",COUNTIF(Reference!R$52:R$67,$K76),"")</f>
        <v>0</v>
      </c>
      <c r="AA76" s="93">
        <f>IF($B76="Yes",COUNTIF(Reference!S$52:S$67,$K76),"")</f>
        <v>0</v>
      </c>
      <c r="AB76" s="93">
        <f>IF($B76="Yes",COUNTIF(Reference!T$52:T$67,$K76),"")</f>
        <v>1</v>
      </c>
      <c r="AC76" s="93">
        <f t="shared" si="5"/>
        <v>0</v>
      </c>
    </row>
    <row r="77" spans="1:29" x14ac:dyDescent="0.25">
      <c r="A77" s="95">
        <v>167</v>
      </c>
      <c r="B77" s="95" t="str">
        <f t="shared" si="3"/>
        <v>Yes</v>
      </c>
      <c r="H77" s="95" t="str">
        <f t="shared" si="4"/>
        <v>PL2-167</v>
      </c>
      <c r="I77" s="111"/>
      <c r="J77" s="112" t="s">
        <v>934</v>
      </c>
      <c r="K77" s="112" t="s">
        <v>434</v>
      </c>
      <c r="L77" s="112" t="s">
        <v>14</v>
      </c>
      <c r="M77" s="112" t="s">
        <v>5</v>
      </c>
      <c r="N77" s="112"/>
      <c r="O77" s="112">
        <v>60</v>
      </c>
      <c r="P77" s="112"/>
      <c r="Q77" s="112"/>
      <c r="R77" s="112"/>
      <c r="S77" s="111"/>
      <c r="T77" s="93"/>
      <c r="U77" s="93"/>
      <c r="V77" s="93"/>
      <c r="W77" s="93"/>
      <c r="X77" s="93">
        <f>IF($B77="Yes",COUNTIF(Reference!P$52:P$67,$K77),"")</f>
        <v>1</v>
      </c>
      <c r="Y77" s="93">
        <f>IF($B77="Yes",COUNTIF(Reference!Q$52:Q$67,$K77),"")</f>
        <v>1</v>
      </c>
      <c r="Z77" s="93">
        <f>IF($B77="Yes",COUNTIF(Reference!R$52:R$67,$K77),"")</f>
        <v>0</v>
      </c>
      <c r="AA77" s="93">
        <f>IF($B77="Yes",COUNTIF(Reference!S$52:S$67,$K77),"")</f>
        <v>0</v>
      </c>
      <c r="AB77" s="93">
        <f>IF($B77="Yes",COUNTIF(Reference!T$52:T$67,$K77),"")</f>
        <v>0</v>
      </c>
      <c r="AC77" s="93">
        <f t="shared" si="5"/>
        <v>0</v>
      </c>
    </row>
    <row r="78" spans="1:29" x14ac:dyDescent="0.25">
      <c r="A78" s="95">
        <v>168</v>
      </c>
      <c r="B78" s="95" t="str">
        <f t="shared" si="3"/>
        <v>Yes</v>
      </c>
      <c r="H78" s="95" t="str">
        <f t="shared" si="4"/>
        <v>PL2-168</v>
      </c>
      <c r="I78" s="111"/>
      <c r="J78" s="112" t="s">
        <v>55</v>
      </c>
      <c r="K78" s="112" t="s">
        <v>459</v>
      </c>
      <c r="L78" s="112" t="s">
        <v>13</v>
      </c>
      <c r="M78" s="112" t="s">
        <v>809</v>
      </c>
      <c r="N78" s="112"/>
      <c r="O78" s="112">
        <v>60</v>
      </c>
      <c r="P78" s="112"/>
      <c r="Q78" s="112"/>
      <c r="R78" s="112"/>
      <c r="S78" s="111"/>
      <c r="T78" s="93"/>
      <c r="U78" s="93"/>
      <c r="V78" s="93"/>
      <c r="W78" s="93"/>
      <c r="X78" s="93">
        <f>IF($B78="Yes",COUNTIF(Reference!P$52:P$67,$K78),"")</f>
        <v>1</v>
      </c>
      <c r="Y78" s="93">
        <f>IF($B78="Yes",COUNTIF(Reference!Q$52:Q$67,$K78),"")</f>
        <v>1</v>
      </c>
      <c r="Z78" s="93">
        <f>IF($B78="Yes",COUNTIF(Reference!R$52:R$67,$K78),"")</f>
        <v>1</v>
      </c>
      <c r="AA78" s="93">
        <f>IF($B78="Yes",COUNTIF(Reference!S$52:S$67,$K78),"")</f>
        <v>1</v>
      </c>
      <c r="AB78" s="93">
        <f>IF($B78="Yes",COUNTIF(Reference!T$52:T$67,$K78),"")</f>
        <v>1</v>
      </c>
      <c r="AC78" s="93">
        <f t="shared" si="5"/>
        <v>0</v>
      </c>
    </row>
    <row r="79" spans="1:29" x14ac:dyDescent="0.25">
      <c r="A79" s="95">
        <v>169</v>
      </c>
      <c r="B79" s="95" t="str">
        <f t="shared" si="3"/>
        <v>Yes</v>
      </c>
      <c r="H79" s="95" t="str">
        <f t="shared" si="4"/>
        <v>PL2-169</v>
      </c>
      <c r="I79" s="111"/>
      <c r="J79" s="112" t="s">
        <v>935</v>
      </c>
      <c r="K79" s="112" t="s">
        <v>440</v>
      </c>
      <c r="L79" s="112" t="s">
        <v>14</v>
      </c>
      <c r="M79" s="112" t="s">
        <v>809</v>
      </c>
      <c r="N79" s="112"/>
      <c r="O79" s="112">
        <v>60</v>
      </c>
      <c r="P79" s="112"/>
      <c r="Q79" s="112"/>
      <c r="R79" s="112"/>
      <c r="S79" s="111"/>
      <c r="T79" s="93"/>
      <c r="U79" s="93"/>
      <c r="V79" s="93"/>
      <c r="W79" s="93"/>
      <c r="X79" s="93">
        <f>IF($B79="Yes",COUNTIF(Reference!P$52:P$67,$K79),"")</f>
        <v>1</v>
      </c>
      <c r="Y79" s="93">
        <f>IF($B79="Yes",COUNTIF(Reference!Q$52:Q$67,$K79),"")</f>
        <v>0</v>
      </c>
      <c r="Z79" s="93">
        <f>IF($B79="Yes",COUNTIF(Reference!R$52:R$67,$K79),"")</f>
        <v>0</v>
      </c>
      <c r="AA79" s="93">
        <f>IF($B79="Yes",COUNTIF(Reference!S$52:S$67,$K79),"")</f>
        <v>1</v>
      </c>
      <c r="AB79" s="93">
        <f>IF($B79="Yes",COUNTIF(Reference!T$52:T$67,$K79),"")</f>
        <v>0</v>
      </c>
      <c r="AC79" s="93">
        <f t="shared" si="5"/>
        <v>0</v>
      </c>
    </row>
    <row r="80" spans="1:29" x14ac:dyDescent="0.25">
      <c r="A80" s="95">
        <v>170</v>
      </c>
      <c r="B80" s="95" t="str">
        <f t="shared" si="3"/>
        <v>Yes</v>
      </c>
      <c r="H80" s="95" t="str">
        <f t="shared" si="4"/>
        <v>PL2-170</v>
      </c>
      <c r="I80" s="111"/>
      <c r="J80" s="112" t="s">
        <v>936</v>
      </c>
      <c r="K80" s="112" t="s">
        <v>437</v>
      </c>
      <c r="L80" s="112" t="s">
        <v>13</v>
      </c>
      <c r="M80" s="112" t="s">
        <v>808</v>
      </c>
      <c r="N80" s="112"/>
      <c r="O80" s="112">
        <v>60</v>
      </c>
      <c r="P80" s="112"/>
      <c r="Q80" s="112"/>
      <c r="R80" s="112"/>
      <c r="S80" s="111"/>
      <c r="T80" s="93"/>
      <c r="U80" s="93"/>
      <c r="V80" s="93"/>
      <c r="W80" s="93"/>
      <c r="X80" s="93">
        <f>IF($B80="Yes",COUNTIF(Reference!P$52:P$67,$K80),"")</f>
        <v>0</v>
      </c>
      <c r="Y80" s="93">
        <f>IF($B80="Yes",COUNTIF(Reference!Q$52:Q$67,$K80),"")</f>
        <v>1</v>
      </c>
      <c r="Z80" s="93">
        <f>IF($B80="Yes",COUNTIF(Reference!R$52:R$67,$K80),"")</f>
        <v>0</v>
      </c>
      <c r="AA80" s="93">
        <f>IF($B80="Yes",COUNTIF(Reference!S$52:S$67,$K80),"")</f>
        <v>0</v>
      </c>
      <c r="AB80" s="93">
        <f>IF($B80="Yes",COUNTIF(Reference!T$52:T$67,$K80),"")</f>
        <v>1</v>
      </c>
      <c r="AC80" s="93">
        <f t="shared" si="5"/>
        <v>0</v>
      </c>
    </row>
    <row r="81" spans="1:29" x14ac:dyDescent="0.25">
      <c r="A81" s="95">
        <v>171</v>
      </c>
      <c r="B81" s="95" t="str">
        <f t="shared" si="3"/>
        <v>Yes</v>
      </c>
      <c r="H81" s="95" t="str">
        <f t="shared" si="4"/>
        <v>PL2-171</v>
      </c>
      <c r="I81" s="111"/>
      <c r="J81" s="112" t="s">
        <v>56</v>
      </c>
      <c r="K81" s="112" t="s">
        <v>3</v>
      </c>
      <c r="L81" s="112" t="s">
        <v>14</v>
      </c>
      <c r="M81" s="112" t="s">
        <v>807</v>
      </c>
      <c r="N81" s="112"/>
      <c r="O81" s="112">
        <v>60</v>
      </c>
      <c r="P81" s="112"/>
      <c r="Q81" s="112"/>
      <c r="R81" s="112"/>
      <c r="S81" s="111"/>
      <c r="T81" s="93"/>
      <c r="U81" s="93"/>
      <c r="V81" s="93"/>
      <c r="W81" s="93"/>
      <c r="X81" s="93">
        <f>IF($B81="Yes",COUNTIF(Reference!P$52:P$67,$K81),"")</f>
        <v>1</v>
      </c>
      <c r="Y81" s="93">
        <f>IF($B81="Yes",COUNTIF(Reference!Q$52:Q$67,$K81),"")</f>
        <v>0</v>
      </c>
      <c r="Z81" s="93">
        <f>IF($B81="Yes",COUNTIF(Reference!R$52:R$67,$K81),"")</f>
        <v>0</v>
      </c>
      <c r="AA81" s="93">
        <f>IF($B81="Yes",COUNTIF(Reference!S$52:S$67,$K81),"")</f>
        <v>0</v>
      </c>
      <c r="AB81" s="93">
        <f>IF($B81="Yes",COUNTIF(Reference!T$52:T$67,$K81),"")</f>
        <v>0</v>
      </c>
      <c r="AC81" s="93">
        <f t="shared" si="5"/>
        <v>0</v>
      </c>
    </row>
    <row r="82" spans="1:29" x14ac:dyDescent="0.25">
      <c r="A82" s="95">
        <v>172</v>
      </c>
      <c r="B82" s="95" t="str">
        <f t="shared" si="3"/>
        <v>Yes</v>
      </c>
      <c r="H82" s="95" t="str">
        <f t="shared" si="4"/>
        <v>PL2-172</v>
      </c>
      <c r="I82" s="111"/>
      <c r="J82" s="112" t="s">
        <v>59</v>
      </c>
      <c r="K82" s="112" t="s">
        <v>4</v>
      </c>
      <c r="L82" s="112" t="s">
        <v>13</v>
      </c>
      <c r="M82" s="112" t="s">
        <v>5</v>
      </c>
      <c r="N82" s="112"/>
      <c r="O82" s="112">
        <v>60</v>
      </c>
      <c r="P82" s="112"/>
      <c r="Q82" s="112"/>
      <c r="R82" s="112"/>
      <c r="S82" s="111"/>
      <c r="T82" s="93"/>
      <c r="U82" s="93"/>
      <c r="V82" s="93"/>
      <c r="W82" s="93"/>
      <c r="X82" s="93">
        <f>IF($B82="Yes",COUNTIF(Reference!P$52:P$67,$K82),"")</f>
        <v>0</v>
      </c>
      <c r="Y82" s="93">
        <f>IF($B82="Yes",COUNTIF(Reference!Q$52:Q$67,$K82),"")</f>
        <v>1</v>
      </c>
      <c r="Z82" s="93">
        <f>IF($B82="Yes",COUNTIF(Reference!R$52:R$67,$K82),"")</f>
        <v>0</v>
      </c>
      <c r="AA82" s="93">
        <f>IF($B82="Yes",COUNTIF(Reference!S$52:S$67,$K82),"")</f>
        <v>0</v>
      </c>
      <c r="AB82" s="93">
        <f>IF($B82="Yes",COUNTIF(Reference!T$52:T$67,$K82),"")</f>
        <v>0</v>
      </c>
      <c r="AC82" s="93">
        <f t="shared" si="5"/>
        <v>0</v>
      </c>
    </row>
    <row r="83" spans="1:29" x14ac:dyDescent="0.25">
      <c r="A83" s="95">
        <v>173</v>
      </c>
      <c r="B83" s="95" t="str">
        <f t="shared" si="3"/>
        <v>Yes</v>
      </c>
      <c r="H83" s="95" t="str">
        <f t="shared" si="4"/>
        <v>PL2-173</v>
      </c>
      <c r="I83" s="111"/>
      <c r="J83" s="112" t="s">
        <v>60</v>
      </c>
      <c r="K83" s="112" t="s">
        <v>3</v>
      </c>
      <c r="L83" s="112" t="s">
        <v>14</v>
      </c>
      <c r="M83" s="112" t="s">
        <v>807</v>
      </c>
      <c r="N83" s="112"/>
      <c r="O83" s="112">
        <v>60</v>
      </c>
      <c r="P83" s="112"/>
      <c r="Q83" s="112"/>
      <c r="R83" s="112"/>
      <c r="S83" s="111"/>
      <c r="T83" s="93"/>
      <c r="U83" s="93"/>
      <c r="V83" s="93"/>
      <c r="W83" s="93"/>
      <c r="X83" s="93">
        <f>IF($B83="Yes",COUNTIF(Reference!P$52:P$67,$K83),"")</f>
        <v>1</v>
      </c>
      <c r="Y83" s="93">
        <f>IF($B83="Yes",COUNTIF(Reference!Q$52:Q$67,$K83),"")</f>
        <v>0</v>
      </c>
      <c r="Z83" s="93">
        <f>IF($B83="Yes",COUNTIF(Reference!R$52:R$67,$K83),"")</f>
        <v>0</v>
      </c>
      <c r="AA83" s="93">
        <f>IF($B83="Yes",COUNTIF(Reference!S$52:S$67,$K83),"")</f>
        <v>0</v>
      </c>
      <c r="AB83" s="93">
        <f>IF($B83="Yes",COUNTIF(Reference!T$52:T$67,$K83),"")</f>
        <v>0</v>
      </c>
      <c r="AC83" s="93">
        <f t="shared" si="5"/>
        <v>0</v>
      </c>
    </row>
    <row r="84" spans="1:29" x14ac:dyDescent="0.25">
      <c r="A84" s="95">
        <v>174</v>
      </c>
      <c r="B84" s="95" t="str">
        <f t="shared" si="3"/>
        <v>Yes</v>
      </c>
      <c r="H84" s="95" t="str">
        <f t="shared" si="4"/>
        <v>PL2-174</v>
      </c>
      <c r="I84" s="111"/>
      <c r="J84" s="112" t="s">
        <v>61</v>
      </c>
      <c r="K84" s="112" t="s">
        <v>4</v>
      </c>
      <c r="L84" s="112" t="s">
        <v>14</v>
      </c>
      <c r="M84" s="112" t="s">
        <v>808</v>
      </c>
      <c r="N84" s="112"/>
      <c r="O84" s="112">
        <v>60</v>
      </c>
      <c r="P84" s="112"/>
      <c r="Q84" s="112"/>
      <c r="R84" s="112"/>
      <c r="S84" s="111"/>
      <c r="T84" s="93"/>
      <c r="U84" s="93"/>
      <c r="V84" s="93"/>
      <c r="W84" s="93"/>
      <c r="X84" s="93">
        <f>IF($B84="Yes",COUNTIF(Reference!P$52:P$67,$K84),"")</f>
        <v>0</v>
      </c>
      <c r="Y84" s="93">
        <f>IF($B84="Yes",COUNTIF(Reference!Q$52:Q$67,$K84),"")</f>
        <v>1</v>
      </c>
      <c r="Z84" s="93">
        <f>IF($B84="Yes",COUNTIF(Reference!R$52:R$67,$K84),"")</f>
        <v>0</v>
      </c>
      <c r="AA84" s="93">
        <f>IF($B84="Yes",COUNTIF(Reference!S$52:S$67,$K84),"")</f>
        <v>0</v>
      </c>
      <c r="AB84" s="93">
        <f>IF($B84="Yes",COUNTIF(Reference!T$52:T$67,$K84),"")</f>
        <v>0</v>
      </c>
      <c r="AC84" s="93">
        <f t="shared" si="5"/>
        <v>0</v>
      </c>
    </row>
    <row r="85" spans="1:29" x14ac:dyDescent="0.25">
      <c r="A85" s="95">
        <v>175</v>
      </c>
      <c r="B85" s="95" t="str">
        <f t="shared" si="3"/>
        <v>Yes</v>
      </c>
      <c r="H85" s="95" t="str">
        <f t="shared" si="4"/>
        <v>PL2-175</v>
      </c>
      <c r="I85" s="111"/>
      <c r="J85" s="112" t="s">
        <v>62</v>
      </c>
      <c r="K85" s="112" t="s">
        <v>441</v>
      </c>
      <c r="L85" s="112" t="s">
        <v>14</v>
      </c>
      <c r="M85" s="112" t="s">
        <v>807</v>
      </c>
      <c r="N85" s="112"/>
      <c r="O85" s="112">
        <v>60</v>
      </c>
      <c r="P85" s="112"/>
      <c r="Q85" s="112"/>
      <c r="R85" s="112"/>
      <c r="S85" s="111"/>
      <c r="T85" s="93"/>
      <c r="U85" s="93"/>
      <c r="V85" s="93"/>
      <c r="W85" s="93"/>
      <c r="X85" s="93">
        <f>IF($B85="Yes",COUNTIF(Reference!P$52:P$67,$K85),"")</f>
        <v>0</v>
      </c>
      <c r="Y85" s="93">
        <f>IF($B85="Yes",COUNTIF(Reference!Q$52:Q$67,$K85),"")</f>
        <v>1</v>
      </c>
      <c r="Z85" s="93">
        <f>IF($B85="Yes",COUNTIF(Reference!R$52:R$67,$K85),"")</f>
        <v>0</v>
      </c>
      <c r="AA85" s="93">
        <f>IF($B85="Yes",COUNTIF(Reference!S$52:S$67,$K85),"")</f>
        <v>1</v>
      </c>
      <c r="AB85" s="93">
        <f>IF($B85="Yes",COUNTIF(Reference!T$52:T$67,$K85),"")</f>
        <v>0</v>
      </c>
      <c r="AC85" s="93">
        <f t="shared" si="5"/>
        <v>0</v>
      </c>
    </row>
    <row r="86" spans="1:29" x14ac:dyDescent="0.25">
      <c r="A86" s="95">
        <v>176</v>
      </c>
      <c r="B86" s="95" t="str">
        <f t="shared" si="3"/>
        <v>Yes</v>
      </c>
      <c r="H86" s="95" t="str">
        <f t="shared" si="4"/>
        <v>PL2-176</v>
      </c>
      <c r="I86" s="111"/>
      <c r="J86" s="112" t="s">
        <v>68</v>
      </c>
      <c r="K86" s="112" t="s">
        <v>4</v>
      </c>
      <c r="L86" s="112" t="s">
        <v>14</v>
      </c>
      <c r="M86" s="112" t="s">
        <v>5</v>
      </c>
      <c r="N86" s="112"/>
      <c r="O86" s="112">
        <v>60</v>
      </c>
      <c r="P86" s="112" t="s">
        <v>69</v>
      </c>
      <c r="Q86" s="112"/>
      <c r="R86" s="112"/>
      <c r="S86" s="111"/>
      <c r="T86" s="93"/>
      <c r="U86" s="93"/>
      <c r="V86" s="93"/>
      <c r="W86" s="93"/>
      <c r="X86" s="93">
        <f>IF($B86="Yes",COUNTIF(Reference!P$52:P$67,$K86),"")</f>
        <v>0</v>
      </c>
      <c r="Y86" s="93">
        <f>IF($B86="Yes",COUNTIF(Reference!Q$52:Q$67,$K86),"")</f>
        <v>1</v>
      </c>
      <c r="Z86" s="93">
        <f>IF($B86="Yes",COUNTIF(Reference!R$52:R$67,$K86),"")</f>
        <v>0</v>
      </c>
      <c r="AA86" s="93">
        <f>IF($B86="Yes",COUNTIF(Reference!S$52:S$67,$K86),"")</f>
        <v>0</v>
      </c>
      <c r="AB86" s="93">
        <f>IF($B86="Yes",COUNTIF(Reference!T$52:T$67,$K86),"")</f>
        <v>0</v>
      </c>
      <c r="AC86" s="93">
        <f t="shared" si="5"/>
        <v>0</v>
      </c>
    </row>
    <row r="87" spans="1:29" x14ac:dyDescent="0.25">
      <c r="A87" s="95">
        <v>177</v>
      </c>
      <c r="B87" s="95" t="str">
        <f t="shared" si="3"/>
        <v>Yes</v>
      </c>
      <c r="H87" s="95" t="str">
        <f t="shared" si="4"/>
        <v>PL2-177</v>
      </c>
      <c r="I87" s="111"/>
      <c r="J87" s="112" t="s">
        <v>273</v>
      </c>
      <c r="K87" s="112" t="s">
        <v>4</v>
      </c>
      <c r="L87" s="112" t="s">
        <v>14</v>
      </c>
      <c r="M87" s="112" t="s">
        <v>809</v>
      </c>
      <c r="N87" s="112"/>
      <c r="O87" s="112">
        <v>60</v>
      </c>
      <c r="P87" s="112" t="s">
        <v>69</v>
      </c>
      <c r="Q87" s="112"/>
      <c r="R87" s="112"/>
      <c r="S87" s="111"/>
      <c r="T87" s="93"/>
      <c r="U87" s="93"/>
      <c r="V87" s="93"/>
      <c r="W87" s="93"/>
      <c r="X87" s="93">
        <f>IF($B87="Yes",COUNTIF(Reference!P$52:P$67,$K87),"")</f>
        <v>0</v>
      </c>
      <c r="Y87" s="93">
        <f>IF($B87="Yes",COUNTIF(Reference!Q$52:Q$67,$K87),"")</f>
        <v>1</v>
      </c>
      <c r="Z87" s="93">
        <f>IF($B87="Yes",COUNTIF(Reference!R$52:R$67,$K87),"")</f>
        <v>0</v>
      </c>
      <c r="AA87" s="93">
        <f>IF($B87="Yes",COUNTIF(Reference!S$52:S$67,$K87),"")</f>
        <v>0</v>
      </c>
      <c r="AB87" s="93">
        <f>IF($B87="Yes",COUNTIF(Reference!T$52:T$67,$K87),"")</f>
        <v>0</v>
      </c>
      <c r="AC87" s="93">
        <f t="shared" si="5"/>
        <v>0</v>
      </c>
    </row>
    <row r="88" spans="1:29" x14ac:dyDescent="0.25">
      <c r="A88" s="95">
        <v>178</v>
      </c>
      <c r="B88" s="95" t="str">
        <f t="shared" si="3"/>
        <v>Yes</v>
      </c>
      <c r="H88" s="95" t="str">
        <f t="shared" si="4"/>
        <v>PL2-178</v>
      </c>
      <c r="I88" s="111"/>
      <c r="J88" s="112" t="s">
        <v>937</v>
      </c>
      <c r="K88" s="112" t="s">
        <v>459</v>
      </c>
      <c r="L88" s="112" t="s">
        <v>13</v>
      </c>
      <c r="M88" s="112" t="s">
        <v>807</v>
      </c>
      <c r="N88" s="112"/>
      <c r="O88" s="112">
        <v>60</v>
      </c>
      <c r="P88" s="112"/>
      <c r="Q88" s="112"/>
      <c r="R88" s="112"/>
      <c r="S88" s="111"/>
      <c r="T88" s="93"/>
      <c r="U88" s="93"/>
      <c r="V88" s="93"/>
      <c r="W88" s="93"/>
      <c r="X88" s="93">
        <f>IF($B88="Yes",COUNTIF(Reference!P$52:P$67,$K88),"")</f>
        <v>1</v>
      </c>
      <c r="Y88" s="93">
        <f>IF($B88="Yes",COUNTIF(Reference!Q$52:Q$67,$K88),"")</f>
        <v>1</v>
      </c>
      <c r="Z88" s="93">
        <f>IF($B88="Yes",COUNTIF(Reference!R$52:R$67,$K88),"")</f>
        <v>1</v>
      </c>
      <c r="AA88" s="93">
        <f>IF($B88="Yes",COUNTIF(Reference!S$52:S$67,$K88),"")</f>
        <v>1</v>
      </c>
      <c r="AB88" s="93">
        <f>IF($B88="Yes",COUNTIF(Reference!T$52:T$67,$K88),"")</f>
        <v>1</v>
      </c>
      <c r="AC88" s="93">
        <f t="shared" si="5"/>
        <v>0</v>
      </c>
    </row>
    <row r="89" spans="1:29" x14ac:dyDescent="0.25">
      <c r="A89" s="95">
        <v>179</v>
      </c>
      <c r="B89" s="95" t="str">
        <f t="shared" si="3"/>
        <v>Yes</v>
      </c>
      <c r="H89" s="95" t="str">
        <f t="shared" si="4"/>
        <v>PL2-179</v>
      </c>
      <c r="I89" s="111"/>
      <c r="J89" s="112" t="s">
        <v>63</v>
      </c>
      <c r="K89" s="112" t="s">
        <v>436</v>
      </c>
      <c r="L89" s="112" t="s">
        <v>14</v>
      </c>
      <c r="M89" s="112" t="s">
        <v>809</v>
      </c>
      <c r="N89" s="112"/>
      <c r="O89" s="112">
        <v>60</v>
      </c>
      <c r="P89" s="112"/>
      <c r="Q89" s="112"/>
      <c r="R89" s="112"/>
      <c r="S89" s="111"/>
      <c r="T89" s="93"/>
      <c r="U89" s="93"/>
      <c r="V89" s="93"/>
      <c r="W89" s="93"/>
      <c r="X89" s="93">
        <f>IF($B89="Yes",COUNTIF(Reference!P$52:P$67,$K89),"")</f>
        <v>1</v>
      </c>
      <c r="Y89" s="93">
        <f>IF($B89="Yes",COUNTIF(Reference!Q$52:Q$67,$K89),"")</f>
        <v>0</v>
      </c>
      <c r="Z89" s="93">
        <f>IF($B89="Yes",COUNTIF(Reference!R$52:R$67,$K89),"")</f>
        <v>0</v>
      </c>
      <c r="AA89" s="93">
        <f>IF($B89="Yes",COUNTIF(Reference!S$52:S$67,$K89),"")</f>
        <v>0</v>
      </c>
      <c r="AB89" s="93">
        <f>IF($B89="Yes",COUNTIF(Reference!T$52:T$67,$K89),"")</f>
        <v>1</v>
      </c>
      <c r="AC89" s="93">
        <f t="shared" si="5"/>
        <v>0</v>
      </c>
    </row>
    <row r="90" spans="1:29" x14ac:dyDescent="0.25">
      <c r="A90" s="95">
        <v>180</v>
      </c>
      <c r="B90" s="95" t="str">
        <f t="shared" si="3"/>
        <v>Yes</v>
      </c>
      <c r="H90" s="95" t="str">
        <f t="shared" si="4"/>
        <v>PL2-180</v>
      </c>
      <c r="I90" s="111"/>
      <c r="J90" s="112" t="s">
        <v>939</v>
      </c>
      <c r="K90" s="112" t="s">
        <v>6</v>
      </c>
      <c r="L90" s="112" t="s">
        <v>14</v>
      </c>
      <c r="M90" s="112" t="s">
        <v>809</v>
      </c>
      <c r="N90" s="112"/>
      <c r="O90" s="112">
        <v>60</v>
      </c>
      <c r="P90" s="112" t="s">
        <v>938</v>
      </c>
      <c r="Q90" s="112"/>
      <c r="R90" s="112"/>
      <c r="S90" s="111"/>
      <c r="T90" s="93"/>
      <c r="U90" s="93"/>
      <c r="V90" s="93"/>
      <c r="W90" s="93"/>
      <c r="X90" s="93">
        <f>IF($B90="Yes",COUNTIF(Reference!P$52:P$67,$K90),"")</f>
        <v>0</v>
      </c>
      <c r="Y90" s="93">
        <f>IF($B90="Yes",COUNTIF(Reference!Q$52:Q$67,$K90),"")</f>
        <v>0</v>
      </c>
      <c r="Z90" s="93">
        <f>IF($B90="Yes",COUNTIF(Reference!R$52:R$67,$K90),"")</f>
        <v>0</v>
      </c>
      <c r="AA90" s="93">
        <f>IF($B90="Yes",COUNTIF(Reference!S$52:S$67,$K90),"")</f>
        <v>1</v>
      </c>
      <c r="AB90" s="93">
        <f>IF($B90="Yes",COUNTIF(Reference!T$52:T$67,$K90),"")</f>
        <v>0</v>
      </c>
      <c r="AC90" s="93">
        <f t="shared" si="5"/>
        <v>0</v>
      </c>
    </row>
    <row r="91" spans="1:29" x14ac:dyDescent="0.25">
      <c r="A91" s="95">
        <v>181</v>
      </c>
      <c r="B91" s="95" t="str">
        <f t="shared" si="3"/>
        <v>Yes</v>
      </c>
      <c r="H91" s="95" t="str">
        <f t="shared" si="4"/>
        <v>PL2-181</v>
      </c>
      <c r="I91" s="111"/>
      <c r="J91" s="112" t="s">
        <v>940</v>
      </c>
      <c r="K91" s="112" t="s">
        <v>436</v>
      </c>
      <c r="L91" s="112" t="s">
        <v>13</v>
      </c>
      <c r="M91" s="112" t="s">
        <v>807</v>
      </c>
      <c r="N91" s="112"/>
      <c r="O91" s="112">
        <v>60</v>
      </c>
      <c r="P91" s="112"/>
      <c r="Q91" s="112"/>
      <c r="R91" s="112"/>
      <c r="S91" s="111"/>
      <c r="T91" s="93"/>
      <c r="U91" s="93"/>
      <c r="V91" s="93"/>
      <c r="W91" s="93"/>
      <c r="X91" s="93">
        <f>IF($B91="Yes",COUNTIF(Reference!P$52:P$67,$K91),"")</f>
        <v>1</v>
      </c>
      <c r="Y91" s="93">
        <f>IF($B91="Yes",COUNTIF(Reference!Q$52:Q$67,$K91),"")</f>
        <v>0</v>
      </c>
      <c r="Z91" s="93">
        <f>IF($B91="Yes",COUNTIF(Reference!R$52:R$67,$K91),"")</f>
        <v>0</v>
      </c>
      <c r="AA91" s="93">
        <f>IF($B91="Yes",COUNTIF(Reference!S$52:S$67,$K91),"")</f>
        <v>0</v>
      </c>
      <c r="AB91" s="93">
        <f>IF($B91="Yes",COUNTIF(Reference!T$52:T$67,$K91),"")</f>
        <v>1</v>
      </c>
      <c r="AC91" s="93">
        <f t="shared" si="5"/>
        <v>0</v>
      </c>
    </row>
    <row r="92" spans="1:29" x14ac:dyDescent="0.25">
      <c r="A92" s="95">
        <v>182</v>
      </c>
      <c r="B92" s="95" t="str">
        <f t="shared" si="3"/>
        <v>Yes</v>
      </c>
      <c r="H92" s="95" t="str">
        <f t="shared" si="4"/>
        <v>PL2-182</v>
      </c>
      <c r="I92" s="111"/>
      <c r="J92" s="112" t="s">
        <v>64</v>
      </c>
      <c r="K92" s="112" t="s">
        <v>437</v>
      </c>
      <c r="L92" s="112" t="s">
        <v>13</v>
      </c>
      <c r="M92" s="112" t="s">
        <v>807</v>
      </c>
      <c r="N92" s="112"/>
      <c r="O92" s="112">
        <v>60</v>
      </c>
      <c r="P92" s="112"/>
      <c r="Q92" s="112"/>
      <c r="R92" s="112"/>
      <c r="S92" s="111"/>
      <c r="T92" s="93"/>
      <c r="U92" s="93"/>
      <c r="V92" s="93"/>
      <c r="W92" s="93"/>
      <c r="X92" s="93">
        <f>IF($B92="Yes",COUNTIF(Reference!P$52:P$67,$K92),"")</f>
        <v>0</v>
      </c>
      <c r="Y92" s="93">
        <f>IF($B92="Yes",COUNTIF(Reference!Q$52:Q$67,$K92),"")</f>
        <v>1</v>
      </c>
      <c r="Z92" s="93">
        <f>IF($B92="Yes",COUNTIF(Reference!R$52:R$67,$K92),"")</f>
        <v>0</v>
      </c>
      <c r="AA92" s="93">
        <f>IF($B92="Yes",COUNTIF(Reference!S$52:S$67,$K92),"")</f>
        <v>0</v>
      </c>
      <c r="AB92" s="93">
        <f>IF($B92="Yes",COUNTIF(Reference!T$52:T$67,$K92),"")</f>
        <v>1</v>
      </c>
      <c r="AC92" s="93">
        <f t="shared" si="5"/>
        <v>0</v>
      </c>
    </row>
    <row r="93" spans="1:29" x14ac:dyDescent="0.25">
      <c r="A93" s="95">
        <v>183</v>
      </c>
      <c r="B93" s="95" t="str">
        <f t="shared" si="3"/>
        <v>Yes</v>
      </c>
      <c r="H93" s="95" t="str">
        <f t="shared" si="4"/>
        <v>PL2-183</v>
      </c>
      <c r="I93" s="111"/>
      <c r="J93" s="112" t="s">
        <v>941</v>
      </c>
      <c r="K93" s="112" t="s">
        <v>440</v>
      </c>
      <c r="L93" s="112" t="s">
        <v>13</v>
      </c>
      <c r="M93" s="112" t="s">
        <v>809</v>
      </c>
      <c r="N93" s="112"/>
      <c r="O93" s="112">
        <v>60</v>
      </c>
      <c r="P93" s="112"/>
      <c r="Q93" s="112"/>
      <c r="R93" s="112"/>
      <c r="S93" s="111"/>
      <c r="T93" s="93"/>
      <c r="U93" s="93"/>
      <c r="V93" s="93"/>
      <c r="W93" s="93"/>
      <c r="X93" s="93">
        <f>IF($B93="Yes",COUNTIF(Reference!P$52:P$67,$K93),"")</f>
        <v>1</v>
      </c>
      <c r="Y93" s="93">
        <f>IF($B93="Yes",COUNTIF(Reference!Q$52:Q$67,$K93),"")</f>
        <v>0</v>
      </c>
      <c r="Z93" s="93">
        <f>IF($B93="Yes",COUNTIF(Reference!R$52:R$67,$K93),"")</f>
        <v>0</v>
      </c>
      <c r="AA93" s="93">
        <f>IF($B93="Yes",COUNTIF(Reference!S$52:S$67,$K93),"")</f>
        <v>1</v>
      </c>
      <c r="AB93" s="93">
        <f>IF($B93="Yes",COUNTIF(Reference!T$52:T$67,$K93),"")</f>
        <v>0</v>
      </c>
      <c r="AC93" s="93">
        <f t="shared" si="5"/>
        <v>0</v>
      </c>
    </row>
    <row r="94" spans="1:29" x14ac:dyDescent="0.25">
      <c r="A94" s="95">
        <v>184</v>
      </c>
      <c r="B94" s="95" t="str">
        <f t="shared" si="3"/>
        <v>Yes</v>
      </c>
      <c r="H94" s="95" t="str">
        <f t="shared" si="4"/>
        <v>PL2-184</v>
      </c>
      <c r="I94" s="111"/>
      <c r="J94" s="112" t="s">
        <v>942</v>
      </c>
      <c r="K94" s="112" t="s">
        <v>434</v>
      </c>
      <c r="L94" s="112" t="s">
        <v>14</v>
      </c>
      <c r="M94" s="112" t="s">
        <v>808</v>
      </c>
      <c r="N94" s="112"/>
      <c r="O94" s="112">
        <v>60</v>
      </c>
      <c r="P94" s="112"/>
      <c r="Q94" s="112"/>
      <c r="R94" s="112"/>
      <c r="S94" s="111"/>
      <c r="T94" s="93"/>
      <c r="U94" s="93"/>
      <c r="V94" s="93"/>
      <c r="W94" s="93"/>
      <c r="X94" s="93">
        <f>IF($B94="Yes",COUNTIF(Reference!P$52:P$67,$K94),"")</f>
        <v>1</v>
      </c>
      <c r="Y94" s="93">
        <f>IF($B94="Yes",COUNTIF(Reference!Q$52:Q$67,$K94),"")</f>
        <v>1</v>
      </c>
      <c r="Z94" s="93">
        <f>IF($B94="Yes",COUNTIF(Reference!R$52:R$67,$K94),"")</f>
        <v>0</v>
      </c>
      <c r="AA94" s="93">
        <f>IF($B94="Yes",COUNTIF(Reference!S$52:S$67,$K94),"")</f>
        <v>0</v>
      </c>
      <c r="AB94" s="93">
        <f>IF($B94="Yes",COUNTIF(Reference!T$52:T$67,$K94),"")</f>
        <v>0</v>
      </c>
      <c r="AC94" s="93">
        <f t="shared" si="5"/>
        <v>0</v>
      </c>
    </row>
    <row r="95" spans="1:29" x14ac:dyDescent="0.25">
      <c r="A95" s="95">
        <v>185</v>
      </c>
      <c r="B95" s="95" t="str">
        <f t="shared" si="3"/>
        <v>Yes</v>
      </c>
      <c r="H95" s="95" t="str">
        <f t="shared" si="4"/>
        <v>PL2-185</v>
      </c>
      <c r="I95" s="111"/>
      <c r="J95" s="112" t="s">
        <v>66</v>
      </c>
      <c r="K95" s="112" t="s">
        <v>3</v>
      </c>
      <c r="L95" s="112" t="s">
        <v>13</v>
      </c>
      <c r="M95" s="112" t="s">
        <v>5</v>
      </c>
      <c r="N95" s="112"/>
      <c r="O95" s="112">
        <v>85</v>
      </c>
      <c r="P95" s="112"/>
      <c r="Q95" s="112"/>
      <c r="R95" s="112"/>
      <c r="S95" s="111"/>
      <c r="T95" s="93"/>
      <c r="U95" s="93"/>
      <c r="V95" s="93"/>
      <c r="W95" s="93"/>
      <c r="X95" s="93">
        <f>IF($B95="Yes",COUNTIF(Reference!P$52:P$67,$K95),"")</f>
        <v>1</v>
      </c>
      <c r="Y95" s="93">
        <f>IF($B95="Yes",COUNTIF(Reference!Q$52:Q$67,$K95),"")</f>
        <v>0</v>
      </c>
      <c r="Z95" s="93">
        <f>IF($B95="Yes",COUNTIF(Reference!R$52:R$67,$K95),"")</f>
        <v>0</v>
      </c>
      <c r="AA95" s="93">
        <f>IF($B95="Yes",COUNTIF(Reference!S$52:S$67,$K95),"")</f>
        <v>0</v>
      </c>
      <c r="AB95" s="93">
        <f>IF($B95="Yes",COUNTIF(Reference!T$52:T$67,$K95),"")</f>
        <v>0</v>
      </c>
      <c r="AC95" s="93">
        <f t="shared" si="5"/>
        <v>0</v>
      </c>
    </row>
    <row r="96" spans="1:29" x14ac:dyDescent="0.25">
      <c r="A96" s="95">
        <v>186</v>
      </c>
      <c r="B96" s="95" t="str">
        <f t="shared" si="3"/>
        <v>Yes</v>
      </c>
      <c r="H96" s="95" t="str">
        <f t="shared" si="4"/>
        <v>PL2-186</v>
      </c>
      <c r="I96" s="111"/>
      <c r="J96" s="112" t="s">
        <v>65</v>
      </c>
      <c r="K96" s="112" t="s">
        <v>5</v>
      </c>
      <c r="L96" s="112" t="s">
        <v>14</v>
      </c>
      <c r="M96" s="112" t="s">
        <v>5</v>
      </c>
      <c r="N96" s="112"/>
      <c r="O96" s="112">
        <v>60</v>
      </c>
      <c r="P96" s="112" t="s">
        <v>943</v>
      </c>
      <c r="Q96" s="112"/>
      <c r="R96" s="112"/>
      <c r="S96" s="111"/>
      <c r="T96" s="93"/>
      <c r="U96" s="93"/>
      <c r="V96" s="93"/>
      <c r="W96" s="93"/>
      <c r="X96" s="93">
        <f>IF($B96="Yes",COUNTIF(Reference!P$52:P$67,$K96),"")</f>
        <v>0</v>
      </c>
      <c r="Y96" s="93">
        <f>IF($B96="Yes",COUNTIF(Reference!Q$52:Q$67,$K96),"")</f>
        <v>0</v>
      </c>
      <c r="Z96" s="93">
        <f>IF($B96="Yes",COUNTIF(Reference!R$52:R$67,$K96),"")</f>
        <v>1</v>
      </c>
      <c r="AA96" s="93">
        <f>IF($B96="Yes",COUNTIF(Reference!S$52:S$67,$K96),"")</f>
        <v>0</v>
      </c>
      <c r="AB96" s="93">
        <f>IF($B96="Yes",COUNTIF(Reference!T$52:T$67,$K96),"")</f>
        <v>0</v>
      </c>
      <c r="AC96" s="93">
        <f t="shared" si="5"/>
        <v>0</v>
      </c>
    </row>
    <row r="97" spans="1:29" x14ac:dyDescent="0.25">
      <c r="A97" s="95">
        <v>187</v>
      </c>
      <c r="B97" s="95" t="str">
        <f t="shared" si="3"/>
        <v>Yes</v>
      </c>
      <c r="H97" s="95" t="str">
        <f t="shared" si="4"/>
        <v>PL2-187</v>
      </c>
      <c r="I97" s="111"/>
      <c r="J97" s="112" t="s">
        <v>944</v>
      </c>
      <c r="K97" s="112" t="s">
        <v>434</v>
      </c>
      <c r="L97" s="112" t="s">
        <v>13</v>
      </c>
      <c r="M97" s="112" t="s">
        <v>809</v>
      </c>
      <c r="N97" s="112"/>
      <c r="O97" s="112">
        <v>70</v>
      </c>
      <c r="P97" s="112"/>
      <c r="Q97" s="112"/>
      <c r="R97" s="112"/>
      <c r="S97" s="111"/>
      <c r="T97" s="93"/>
      <c r="U97" s="93"/>
      <c r="V97" s="93"/>
      <c r="W97" s="93"/>
      <c r="X97" s="93">
        <f>IF($B97="Yes",COUNTIF(Reference!P$52:P$67,$K97),"")</f>
        <v>1</v>
      </c>
      <c r="Y97" s="93">
        <f>IF($B97="Yes",COUNTIF(Reference!Q$52:Q$67,$K97),"")</f>
        <v>1</v>
      </c>
      <c r="Z97" s="93">
        <f>IF($B97="Yes",COUNTIF(Reference!R$52:R$67,$K97),"")</f>
        <v>0</v>
      </c>
      <c r="AA97" s="93">
        <f>IF($B97="Yes",COUNTIF(Reference!S$52:S$67,$K97),"")</f>
        <v>0</v>
      </c>
      <c r="AB97" s="93">
        <f>IF($B97="Yes",COUNTIF(Reference!T$52:T$67,$K97),"")</f>
        <v>0</v>
      </c>
      <c r="AC97" s="93">
        <f t="shared" si="5"/>
        <v>0</v>
      </c>
    </row>
    <row r="98" spans="1:29" x14ac:dyDescent="0.25">
      <c r="A98" s="95">
        <v>188</v>
      </c>
      <c r="B98" s="95" t="str">
        <f t="shared" si="3"/>
        <v>Yes</v>
      </c>
      <c r="H98" s="95" t="str">
        <f t="shared" si="4"/>
        <v>PL2-188</v>
      </c>
      <c r="I98" s="111"/>
      <c r="J98" s="112" t="s">
        <v>71</v>
      </c>
      <c r="K98" s="112" t="s">
        <v>428</v>
      </c>
      <c r="L98" s="112" t="s">
        <v>14</v>
      </c>
      <c r="M98" s="112" t="s">
        <v>809</v>
      </c>
      <c r="N98" s="112"/>
      <c r="O98" s="112">
        <v>60</v>
      </c>
      <c r="P98" s="112"/>
      <c r="Q98" s="112"/>
      <c r="R98" s="112"/>
      <c r="S98" s="111"/>
      <c r="T98" s="93"/>
      <c r="U98" s="93"/>
      <c r="V98" s="93"/>
      <c r="W98" s="93"/>
      <c r="X98" s="93">
        <f>IF($B98="Yes",COUNTIF(Reference!P$52:P$67,$K98),"")</f>
        <v>0</v>
      </c>
      <c r="Y98" s="93">
        <f>IF($B98="Yes",COUNTIF(Reference!Q$52:Q$67,$K98),"")</f>
        <v>0</v>
      </c>
      <c r="Z98" s="93">
        <f>IF($B98="Yes",COUNTIF(Reference!R$52:R$67,$K98),"")</f>
        <v>0</v>
      </c>
      <c r="AA98" s="93">
        <f>IF($B98="Yes",COUNTIF(Reference!S$52:S$67,$K98),"")</f>
        <v>1</v>
      </c>
      <c r="AB98" s="93">
        <f>IF($B98="Yes",COUNTIF(Reference!T$52:T$67,$K98),"")</f>
        <v>1</v>
      </c>
      <c r="AC98" s="93">
        <f t="shared" si="5"/>
        <v>0</v>
      </c>
    </row>
    <row r="99" spans="1:29" x14ac:dyDescent="0.25">
      <c r="A99" s="95">
        <v>189</v>
      </c>
      <c r="B99" s="95" t="str">
        <f t="shared" si="3"/>
        <v>Yes</v>
      </c>
      <c r="H99" s="95" t="str">
        <f t="shared" si="4"/>
        <v>PL2-189</v>
      </c>
      <c r="I99" s="111"/>
      <c r="J99" s="112" t="s">
        <v>72</v>
      </c>
      <c r="K99" s="112" t="s">
        <v>428</v>
      </c>
      <c r="L99" s="112" t="s">
        <v>14</v>
      </c>
      <c r="M99" s="112" t="s">
        <v>5</v>
      </c>
      <c r="N99" s="112"/>
      <c r="O99" s="112">
        <v>60</v>
      </c>
      <c r="P99" s="112"/>
      <c r="Q99" s="112"/>
      <c r="R99" s="112"/>
      <c r="S99" s="111"/>
      <c r="T99" s="93"/>
      <c r="U99" s="93"/>
      <c r="V99" s="93"/>
      <c r="W99" s="93"/>
      <c r="X99" s="93">
        <f>IF($B99="Yes",COUNTIF(Reference!P$52:P$67,$K99),"")</f>
        <v>0</v>
      </c>
      <c r="Y99" s="93">
        <f>IF($B99="Yes",COUNTIF(Reference!Q$52:Q$67,$K99),"")</f>
        <v>0</v>
      </c>
      <c r="Z99" s="93">
        <f>IF($B99="Yes",COUNTIF(Reference!R$52:R$67,$K99),"")</f>
        <v>0</v>
      </c>
      <c r="AA99" s="93">
        <f>IF($B99="Yes",COUNTIF(Reference!S$52:S$67,$K99),"")</f>
        <v>1</v>
      </c>
      <c r="AB99" s="93">
        <f>IF($B99="Yes",COUNTIF(Reference!T$52:T$67,$K99),"")</f>
        <v>1</v>
      </c>
      <c r="AC99" s="93">
        <f t="shared" si="5"/>
        <v>0</v>
      </c>
    </row>
    <row r="100" spans="1:29" x14ac:dyDescent="0.25">
      <c r="A100" s="95">
        <v>190</v>
      </c>
      <c r="B100" s="95" t="str">
        <f t="shared" si="3"/>
        <v>Yes</v>
      </c>
      <c r="H100" s="95" t="str">
        <f t="shared" si="4"/>
        <v>PL2-190</v>
      </c>
      <c r="I100" s="111"/>
      <c r="J100" s="112" t="s">
        <v>73</v>
      </c>
      <c r="K100" s="112" t="s">
        <v>418</v>
      </c>
      <c r="L100" s="112" t="s">
        <v>14</v>
      </c>
      <c r="M100" s="112" t="s">
        <v>809</v>
      </c>
      <c r="N100" s="112"/>
      <c r="O100" s="112">
        <v>60</v>
      </c>
      <c r="P100" s="112"/>
      <c r="Q100" s="112"/>
      <c r="R100" s="112"/>
      <c r="S100" s="111"/>
      <c r="T100" s="93"/>
      <c r="U100" s="93"/>
      <c r="V100" s="93"/>
      <c r="W100" s="93"/>
      <c r="X100" s="93">
        <f>IF($B100="Yes",COUNTIF(Reference!P$52:P$67,$K100),"")</f>
        <v>0</v>
      </c>
      <c r="Y100" s="93">
        <f>IF($B100="Yes",COUNTIF(Reference!Q$52:Q$67,$K100),"")</f>
        <v>1</v>
      </c>
      <c r="Z100" s="93">
        <f>IF($B100="Yes",COUNTIF(Reference!R$52:R$67,$K100),"")</f>
        <v>1</v>
      </c>
      <c r="AA100" s="93">
        <f>IF($B100="Yes",COUNTIF(Reference!S$52:S$67,$K100),"")</f>
        <v>0</v>
      </c>
      <c r="AB100" s="93">
        <f>IF($B100="Yes",COUNTIF(Reference!T$52:T$67,$K100),"")</f>
        <v>0</v>
      </c>
      <c r="AC100" s="93">
        <f t="shared" si="5"/>
        <v>0</v>
      </c>
    </row>
    <row r="101" spans="1:29" x14ac:dyDescent="0.25">
      <c r="A101" s="95">
        <v>191</v>
      </c>
      <c r="B101" s="95" t="str">
        <f t="shared" si="3"/>
        <v>Yes</v>
      </c>
      <c r="H101" s="95" t="str">
        <f t="shared" si="4"/>
        <v>PL2-191</v>
      </c>
      <c r="I101" s="111"/>
      <c r="J101" s="112" t="s">
        <v>945</v>
      </c>
      <c r="K101" s="112" t="s">
        <v>418</v>
      </c>
      <c r="L101" s="112" t="s">
        <v>13</v>
      </c>
      <c r="M101" s="112" t="s">
        <v>807</v>
      </c>
      <c r="N101" s="112"/>
      <c r="O101" s="112">
        <v>60</v>
      </c>
      <c r="P101" s="112"/>
      <c r="Q101" s="112"/>
      <c r="R101" s="112"/>
      <c r="S101" s="111"/>
      <c r="T101" s="93"/>
      <c r="U101" s="93"/>
      <c r="V101" s="93"/>
      <c r="W101" s="93"/>
      <c r="X101" s="93">
        <f>IF($B101="Yes",COUNTIF(Reference!P$52:P$67,$K101),"")</f>
        <v>0</v>
      </c>
      <c r="Y101" s="93">
        <f>IF($B101="Yes",COUNTIF(Reference!Q$52:Q$67,$K101),"")</f>
        <v>1</v>
      </c>
      <c r="Z101" s="93">
        <f>IF($B101="Yes",COUNTIF(Reference!R$52:R$67,$K101),"")</f>
        <v>1</v>
      </c>
      <c r="AA101" s="93">
        <f>IF($B101="Yes",COUNTIF(Reference!S$52:S$67,$K101),"")</f>
        <v>0</v>
      </c>
      <c r="AB101" s="93">
        <f>IF($B101="Yes",COUNTIF(Reference!T$52:T$67,$K101),"")</f>
        <v>0</v>
      </c>
      <c r="AC101" s="93">
        <f t="shared" si="5"/>
        <v>0</v>
      </c>
    </row>
    <row r="102" spans="1:29" x14ac:dyDescent="0.25">
      <c r="A102" s="95">
        <v>192</v>
      </c>
      <c r="B102" s="95" t="str">
        <f t="shared" si="3"/>
        <v>Yes</v>
      </c>
      <c r="H102" s="95" t="str">
        <f t="shared" si="4"/>
        <v>PL2-192</v>
      </c>
      <c r="I102" s="111"/>
      <c r="J102" s="112" t="s">
        <v>74</v>
      </c>
      <c r="K102" s="112" t="s">
        <v>459</v>
      </c>
      <c r="L102" s="112" t="s">
        <v>13</v>
      </c>
      <c r="M102" s="112" t="s">
        <v>809</v>
      </c>
      <c r="N102" s="112"/>
      <c r="O102" s="112">
        <v>60</v>
      </c>
      <c r="P102" s="112"/>
      <c r="Q102" s="112"/>
      <c r="R102" s="112"/>
      <c r="S102" s="111"/>
      <c r="T102" s="93"/>
      <c r="U102" s="93"/>
      <c r="V102" s="93"/>
      <c r="W102" s="93"/>
      <c r="X102" s="93">
        <f>IF($B102="Yes",COUNTIF(Reference!P$52:P$67,$K102),"")</f>
        <v>1</v>
      </c>
      <c r="Y102" s="93">
        <f>IF($B102="Yes",COUNTIF(Reference!Q$52:Q$67,$K102),"")</f>
        <v>1</v>
      </c>
      <c r="Z102" s="93">
        <f>IF($B102="Yes",COUNTIF(Reference!R$52:R$67,$K102),"")</f>
        <v>1</v>
      </c>
      <c r="AA102" s="93">
        <f>IF($B102="Yes",COUNTIF(Reference!S$52:S$67,$K102),"")</f>
        <v>1</v>
      </c>
      <c r="AB102" s="93">
        <f>IF($B102="Yes",COUNTIF(Reference!T$52:T$67,$K102),"")</f>
        <v>1</v>
      </c>
      <c r="AC102" s="93">
        <f t="shared" si="5"/>
        <v>0</v>
      </c>
    </row>
    <row r="103" spans="1:29" x14ac:dyDescent="0.25">
      <c r="A103" s="95">
        <v>193</v>
      </c>
      <c r="B103" s="95" t="str">
        <f t="shared" si="3"/>
        <v>Yes</v>
      </c>
      <c r="H103" s="95" t="str">
        <f t="shared" si="4"/>
        <v>PL2-193</v>
      </c>
      <c r="I103" s="111"/>
      <c r="J103" s="112" t="s">
        <v>960</v>
      </c>
      <c r="K103" s="112" t="s">
        <v>6</v>
      </c>
      <c r="L103" s="112" t="s">
        <v>13</v>
      </c>
      <c r="M103" s="112" t="s">
        <v>809</v>
      </c>
      <c r="N103" s="112"/>
      <c r="O103" s="112">
        <v>60</v>
      </c>
      <c r="P103" s="112"/>
      <c r="Q103" s="112"/>
      <c r="R103" s="112"/>
      <c r="S103" s="111"/>
      <c r="T103" s="93"/>
      <c r="U103" s="93"/>
      <c r="V103" s="93"/>
      <c r="W103" s="93"/>
      <c r="X103" s="93">
        <f>IF($B103="Yes",COUNTIF(Reference!P$52:P$67,$K103),"")</f>
        <v>0</v>
      </c>
      <c r="Y103" s="93">
        <f>IF($B103="Yes",COUNTIF(Reference!Q$52:Q$67,$K103),"")</f>
        <v>0</v>
      </c>
      <c r="Z103" s="93">
        <f>IF($B103="Yes",COUNTIF(Reference!R$52:R$67,$K103),"")</f>
        <v>0</v>
      </c>
      <c r="AA103" s="93">
        <f>IF($B103="Yes",COUNTIF(Reference!S$52:S$67,$K103),"")</f>
        <v>1</v>
      </c>
      <c r="AB103" s="93">
        <f>IF($B103="Yes",COUNTIF(Reference!T$52:T$67,$K103),"")</f>
        <v>0</v>
      </c>
      <c r="AC103" s="93">
        <f t="shared" si="5"/>
        <v>0</v>
      </c>
    </row>
    <row r="104" spans="1:29" x14ac:dyDescent="0.25">
      <c r="A104" s="95">
        <v>194</v>
      </c>
      <c r="B104" s="95" t="str">
        <f t="shared" si="3"/>
        <v>Yes</v>
      </c>
      <c r="H104" s="95" t="str">
        <f t="shared" si="4"/>
        <v>PL2-194</v>
      </c>
      <c r="I104" s="111"/>
      <c r="J104" s="112" t="s">
        <v>76</v>
      </c>
      <c r="K104" s="112" t="s">
        <v>437</v>
      </c>
      <c r="L104" s="112" t="s">
        <v>14</v>
      </c>
      <c r="M104" s="112" t="s">
        <v>5</v>
      </c>
      <c r="N104" s="112"/>
      <c r="O104" s="112">
        <v>60</v>
      </c>
      <c r="P104" s="112"/>
      <c r="Q104" s="112"/>
      <c r="R104" s="112"/>
      <c r="S104" s="111"/>
      <c r="T104" s="93"/>
      <c r="U104" s="93"/>
      <c r="V104" s="93"/>
      <c r="W104" s="93"/>
      <c r="X104" s="93">
        <f>IF($B104="Yes",COUNTIF(Reference!P$52:P$67,$K104),"")</f>
        <v>0</v>
      </c>
      <c r="Y104" s="93">
        <f>IF($B104="Yes",COUNTIF(Reference!Q$52:Q$67,$K104),"")</f>
        <v>1</v>
      </c>
      <c r="Z104" s="93">
        <f>IF($B104="Yes",COUNTIF(Reference!R$52:R$67,$K104),"")</f>
        <v>0</v>
      </c>
      <c r="AA104" s="93">
        <f>IF($B104="Yes",COUNTIF(Reference!S$52:S$67,$K104),"")</f>
        <v>0</v>
      </c>
      <c r="AB104" s="93">
        <f>IF($B104="Yes",COUNTIF(Reference!T$52:T$67,$K104),"")</f>
        <v>1</v>
      </c>
      <c r="AC104" s="93">
        <f t="shared" si="5"/>
        <v>0</v>
      </c>
    </row>
    <row r="105" spans="1:29" x14ac:dyDescent="0.25">
      <c r="A105" s="95">
        <v>195</v>
      </c>
      <c r="B105" s="95" t="str">
        <f t="shared" si="3"/>
        <v>Yes</v>
      </c>
      <c r="H105" s="95" t="str">
        <f t="shared" si="4"/>
        <v>PL2-195</v>
      </c>
      <c r="I105" s="111"/>
      <c r="J105" s="112" t="s">
        <v>946</v>
      </c>
      <c r="K105" s="112" t="s">
        <v>427</v>
      </c>
      <c r="L105" s="112" t="s">
        <v>14</v>
      </c>
      <c r="M105" s="112" t="s">
        <v>809</v>
      </c>
      <c r="N105" s="112"/>
      <c r="O105" s="112">
        <v>60</v>
      </c>
      <c r="P105" s="112"/>
      <c r="Q105" s="112"/>
      <c r="R105" s="112"/>
      <c r="S105" s="111"/>
      <c r="T105" s="93"/>
      <c r="U105" s="93"/>
      <c r="V105" s="93"/>
      <c r="W105" s="93"/>
      <c r="X105" s="93">
        <f>IF($B105="Yes",COUNTIF(Reference!P$52:P$67,$K105),"")</f>
        <v>0</v>
      </c>
      <c r="Y105" s="93">
        <f>IF($B105="Yes",COUNTIF(Reference!Q$52:Q$67,$K105),"")</f>
        <v>1</v>
      </c>
      <c r="Z105" s="93">
        <f>IF($B105="Yes",COUNTIF(Reference!R$52:R$67,$K105),"")</f>
        <v>1</v>
      </c>
      <c r="AA105" s="93">
        <f>IF($B105="Yes",COUNTIF(Reference!S$52:S$67,$K105),"")</f>
        <v>1</v>
      </c>
      <c r="AB105" s="93">
        <f>IF($B105="Yes",COUNTIF(Reference!T$52:T$67,$K105),"")</f>
        <v>0</v>
      </c>
      <c r="AC105" s="93">
        <f t="shared" si="5"/>
        <v>0</v>
      </c>
    </row>
    <row r="106" spans="1:29" x14ac:dyDescent="0.25">
      <c r="A106" s="95">
        <v>196</v>
      </c>
      <c r="B106" s="95" t="str">
        <f t="shared" si="3"/>
        <v>Yes</v>
      </c>
      <c r="H106" s="95" t="str">
        <f t="shared" si="4"/>
        <v>PL2-196</v>
      </c>
      <c r="I106" s="111"/>
      <c r="J106" s="112" t="s">
        <v>78</v>
      </c>
      <c r="K106" s="112" t="s">
        <v>445</v>
      </c>
      <c r="L106" s="112" t="s">
        <v>13</v>
      </c>
      <c r="M106" s="112" t="s">
        <v>5</v>
      </c>
      <c r="N106" s="112"/>
      <c r="O106" s="112">
        <v>60</v>
      </c>
      <c r="P106" s="112"/>
      <c r="Q106" s="112"/>
      <c r="R106" s="112"/>
      <c r="S106" s="111"/>
      <c r="T106" s="93"/>
      <c r="U106" s="93"/>
      <c r="V106" s="93"/>
      <c r="W106" s="93"/>
      <c r="X106" s="93">
        <f>IF($B106="Yes",COUNTIF(Reference!P$52:P$67,$K106),"")</f>
        <v>0</v>
      </c>
      <c r="Y106" s="93">
        <f>IF($B106="Yes",COUNTIF(Reference!Q$52:Q$67,$K106),"")</f>
        <v>1</v>
      </c>
      <c r="Z106" s="93">
        <f>IF($B106="Yes",COUNTIF(Reference!R$52:R$67,$K106),"")</f>
        <v>0</v>
      </c>
      <c r="AA106" s="93">
        <f>IF($B106="Yes",COUNTIF(Reference!S$52:S$67,$K106),"")</f>
        <v>1</v>
      </c>
      <c r="AB106" s="93">
        <f>IF($B106="Yes",COUNTIF(Reference!T$52:T$67,$K106),"")</f>
        <v>1</v>
      </c>
      <c r="AC106" s="93">
        <f t="shared" si="5"/>
        <v>0</v>
      </c>
    </row>
    <row r="107" spans="1:29" x14ac:dyDescent="0.25">
      <c r="A107" s="95">
        <v>197</v>
      </c>
      <c r="B107" s="95" t="str">
        <f t="shared" si="3"/>
        <v>Yes</v>
      </c>
      <c r="H107" s="95" t="str">
        <f t="shared" si="4"/>
        <v>PL2-197</v>
      </c>
      <c r="I107" s="111"/>
      <c r="J107" s="112" t="s">
        <v>79</v>
      </c>
      <c r="K107" s="112" t="s">
        <v>5</v>
      </c>
      <c r="L107" s="112" t="s">
        <v>14</v>
      </c>
      <c r="M107" s="112" t="s">
        <v>807</v>
      </c>
      <c r="N107" s="112"/>
      <c r="O107" s="112">
        <v>60</v>
      </c>
      <c r="P107" s="112"/>
      <c r="Q107" s="112"/>
      <c r="R107" s="112"/>
      <c r="S107" s="111"/>
      <c r="T107" s="93"/>
      <c r="U107" s="93"/>
      <c r="V107" s="93"/>
      <c r="W107" s="93"/>
      <c r="X107" s="93">
        <f>IF($B107="Yes",COUNTIF(Reference!P$52:P$67,$K107),"")</f>
        <v>0</v>
      </c>
      <c r="Y107" s="93">
        <f>IF($B107="Yes",COUNTIF(Reference!Q$52:Q$67,$K107),"")</f>
        <v>0</v>
      </c>
      <c r="Z107" s="93">
        <f>IF($B107="Yes",COUNTIF(Reference!R$52:R$67,$K107),"")</f>
        <v>1</v>
      </c>
      <c r="AA107" s="93">
        <f>IF($B107="Yes",COUNTIF(Reference!S$52:S$67,$K107),"")</f>
        <v>0</v>
      </c>
      <c r="AB107" s="93">
        <f>IF($B107="Yes",COUNTIF(Reference!T$52:T$67,$K107),"")</f>
        <v>0</v>
      </c>
      <c r="AC107" s="93">
        <f t="shared" si="5"/>
        <v>0</v>
      </c>
    </row>
    <row r="108" spans="1:29" x14ac:dyDescent="0.25">
      <c r="A108" s="95">
        <v>198</v>
      </c>
      <c r="B108" s="95" t="str">
        <f t="shared" si="3"/>
        <v>Yes</v>
      </c>
      <c r="H108" s="95" t="str">
        <f t="shared" si="4"/>
        <v>PL2-198</v>
      </c>
      <c r="I108" s="111"/>
      <c r="J108" s="112" t="s">
        <v>947</v>
      </c>
      <c r="K108" s="112" t="s">
        <v>459</v>
      </c>
      <c r="L108" s="112" t="s">
        <v>14</v>
      </c>
      <c r="M108" s="112" t="s">
        <v>809</v>
      </c>
      <c r="N108" s="112"/>
      <c r="O108" s="112">
        <v>60</v>
      </c>
      <c r="P108" s="112" t="s">
        <v>949</v>
      </c>
      <c r="Q108" s="112"/>
      <c r="R108" s="112"/>
      <c r="S108" s="111"/>
      <c r="T108" s="93"/>
      <c r="U108" s="93"/>
      <c r="V108" s="93"/>
      <c r="W108" s="93"/>
      <c r="X108" s="93">
        <f>IF($B108="Yes",COUNTIF(Reference!P$52:P$67,$K108),"")</f>
        <v>1</v>
      </c>
      <c r="Y108" s="93">
        <f>IF($B108="Yes",COUNTIF(Reference!Q$52:Q$67,$K108),"")</f>
        <v>1</v>
      </c>
      <c r="Z108" s="93">
        <f>IF($B108="Yes",COUNTIF(Reference!R$52:R$67,$K108),"")</f>
        <v>1</v>
      </c>
      <c r="AA108" s="93">
        <f>IF($B108="Yes",COUNTIF(Reference!S$52:S$67,$K108),"")</f>
        <v>1</v>
      </c>
      <c r="AB108" s="93">
        <f>IF($B108="Yes",COUNTIF(Reference!T$52:T$67,$K108),"")</f>
        <v>1</v>
      </c>
      <c r="AC108" s="93">
        <f t="shared" si="5"/>
        <v>0</v>
      </c>
    </row>
    <row r="109" spans="1:29" x14ac:dyDescent="0.25">
      <c r="A109" s="95">
        <v>199</v>
      </c>
      <c r="B109" s="95" t="str">
        <f t="shared" si="3"/>
        <v>Yes</v>
      </c>
      <c r="H109" s="95" t="str">
        <f t="shared" si="4"/>
        <v>PL2-199</v>
      </c>
      <c r="I109" s="111"/>
      <c r="J109" s="112" t="s">
        <v>948</v>
      </c>
      <c r="K109" s="112" t="s">
        <v>459</v>
      </c>
      <c r="L109" s="112" t="s">
        <v>14</v>
      </c>
      <c r="M109" s="112" t="s">
        <v>809</v>
      </c>
      <c r="N109" s="112"/>
      <c r="O109" s="112">
        <v>60</v>
      </c>
      <c r="P109" s="112" t="s">
        <v>949</v>
      </c>
      <c r="Q109" s="112"/>
      <c r="R109" s="112"/>
      <c r="S109" s="111"/>
      <c r="T109" s="93"/>
      <c r="U109" s="93"/>
      <c r="V109" s="93"/>
      <c r="W109" s="93"/>
      <c r="X109" s="93">
        <f>IF($B109="Yes",COUNTIF(Reference!P$52:P$67,$K109),"")</f>
        <v>1</v>
      </c>
      <c r="Y109" s="93">
        <f>IF($B109="Yes",COUNTIF(Reference!Q$52:Q$67,$K109),"")</f>
        <v>1</v>
      </c>
      <c r="Z109" s="93">
        <f>IF($B109="Yes",COUNTIF(Reference!R$52:R$67,$K109),"")</f>
        <v>1</v>
      </c>
      <c r="AA109" s="93">
        <f>IF($B109="Yes",COUNTIF(Reference!S$52:S$67,$K109),"")</f>
        <v>1</v>
      </c>
      <c r="AB109" s="93">
        <f>IF($B109="Yes",COUNTIF(Reference!T$52:T$67,$K109),"")</f>
        <v>1</v>
      </c>
      <c r="AC109" s="93">
        <f t="shared" si="5"/>
        <v>0</v>
      </c>
    </row>
    <row r="110" spans="1:29" x14ac:dyDescent="0.25">
      <c r="A110" s="95">
        <v>200</v>
      </c>
      <c r="B110" s="95" t="str">
        <f t="shared" si="3"/>
        <v>Yes</v>
      </c>
      <c r="H110" s="95" t="str">
        <f t="shared" si="4"/>
        <v>PL2-200</v>
      </c>
      <c r="I110" s="111"/>
      <c r="J110" s="112" t="s">
        <v>41</v>
      </c>
      <c r="K110" s="112" t="s">
        <v>428</v>
      </c>
      <c r="L110" s="112" t="s">
        <v>14</v>
      </c>
      <c r="M110" s="112" t="s">
        <v>809</v>
      </c>
      <c r="N110" s="112"/>
      <c r="O110" s="112">
        <v>60</v>
      </c>
      <c r="P110" s="112" t="s">
        <v>949</v>
      </c>
      <c r="Q110" s="112"/>
      <c r="R110" s="112"/>
      <c r="S110" s="111"/>
      <c r="T110" s="93"/>
      <c r="U110" s="93"/>
      <c r="V110" s="93"/>
      <c r="W110" s="93"/>
      <c r="X110" s="93">
        <f>IF($B110="Yes",COUNTIF(Reference!P$52:P$67,$K110),"")</f>
        <v>0</v>
      </c>
      <c r="Y110" s="93">
        <f>IF($B110="Yes",COUNTIF(Reference!Q$52:Q$67,$K110),"")</f>
        <v>0</v>
      </c>
      <c r="Z110" s="93">
        <f>IF($B110="Yes",COUNTIF(Reference!R$52:R$67,$K110),"")</f>
        <v>0</v>
      </c>
      <c r="AA110" s="93">
        <f>IF($B110="Yes",COUNTIF(Reference!S$52:S$67,$K110),"")</f>
        <v>1</v>
      </c>
      <c r="AB110" s="93">
        <f>IF($B110="Yes",COUNTIF(Reference!T$52:T$67,$K110),"")</f>
        <v>1</v>
      </c>
      <c r="AC110" s="93">
        <f t="shared" si="5"/>
        <v>0</v>
      </c>
    </row>
    <row r="111" spans="1:29" x14ac:dyDescent="0.25">
      <c r="A111" s="95">
        <v>201</v>
      </c>
      <c r="B111" s="95" t="str">
        <f t="shared" si="3"/>
        <v>Yes</v>
      </c>
      <c r="H111" s="95" t="str">
        <f t="shared" si="4"/>
        <v>PL2-201</v>
      </c>
      <c r="I111" s="111"/>
      <c r="J111" s="112" t="s">
        <v>77</v>
      </c>
      <c r="K111" s="112" t="s">
        <v>418</v>
      </c>
      <c r="L111" s="112" t="s">
        <v>14</v>
      </c>
      <c r="M111" s="112" t="s">
        <v>809</v>
      </c>
      <c r="N111" s="112"/>
      <c r="O111" s="112">
        <v>60</v>
      </c>
      <c r="P111" s="112" t="s">
        <v>949</v>
      </c>
      <c r="Q111" s="112"/>
      <c r="R111" s="112"/>
      <c r="S111" s="111"/>
      <c r="T111" s="93"/>
      <c r="U111" s="93"/>
      <c r="V111" s="93"/>
      <c r="W111" s="93"/>
      <c r="X111" s="93">
        <f>IF($B111="Yes",COUNTIF(Reference!P$52:P$67,$K111),"")</f>
        <v>0</v>
      </c>
      <c r="Y111" s="93">
        <f>IF($B111="Yes",COUNTIF(Reference!Q$52:Q$67,$K111),"")</f>
        <v>1</v>
      </c>
      <c r="Z111" s="93">
        <f>IF($B111="Yes",COUNTIF(Reference!R$52:R$67,$K111),"")</f>
        <v>1</v>
      </c>
      <c r="AA111" s="93">
        <f>IF($B111="Yes",COUNTIF(Reference!S$52:S$67,$K111),"")</f>
        <v>0</v>
      </c>
      <c r="AB111" s="93">
        <f>IF($B111="Yes",COUNTIF(Reference!T$52:T$67,$K111),"")</f>
        <v>0</v>
      </c>
      <c r="AC111" s="93">
        <f t="shared" si="5"/>
        <v>0</v>
      </c>
    </row>
    <row r="112" spans="1:29" x14ac:dyDescent="0.25">
      <c r="A112" s="95">
        <v>202</v>
      </c>
      <c r="B112" s="95" t="str">
        <f t="shared" si="3"/>
        <v>Yes</v>
      </c>
      <c r="H112" s="95" t="str">
        <f t="shared" si="4"/>
        <v>PL2-202</v>
      </c>
      <c r="I112" s="111"/>
      <c r="J112" s="112" t="s">
        <v>81</v>
      </c>
      <c r="K112" s="112" t="s">
        <v>428</v>
      </c>
      <c r="L112" s="112" t="s">
        <v>14</v>
      </c>
      <c r="M112" s="112" t="s">
        <v>809</v>
      </c>
      <c r="N112" s="112"/>
      <c r="O112" s="112">
        <v>60</v>
      </c>
      <c r="P112" s="112" t="s">
        <v>949</v>
      </c>
      <c r="Q112" s="112"/>
      <c r="R112" s="112"/>
      <c r="S112" s="111"/>
      <c r="T112" s="93"/>
      <c r="U112" s="93"/>
      <c r="V112" s="93"/>
      <c r="W112" s="93"/>
      <c r="X112" s="93">
        <f>IF($B112="Yes",COUNTIF(Reference!P$52:P$67,$K112),"")</f>
        <v>0</v>
      </c>
      <c r="Y112" s="93">
        <f>IF($B112="Yes",COUNTIF(Reference!Q$52:Q$67,$K112),"")</f>
        <v>0</v>
      </c>
      <c r="Z112" s="93">
        <f>IF($B112="Yes",COUNTIF(Reference!R$52:R$67,$K112),"")</f>
        <v>0</v>
      </c>
      <c r="AA112" s="93">
        <f>IF($B112="Yes",COUNTIF(Reference!S$52:S$67,$K112),"")</f>
        <v>1</v>
      </c>
      <c r="AB112" s="93">
        <f>IF($B112="Yes",COUNTIF(Reference!T$52:T$67,$K112),"")</f>
        <v>1</v>
      </c>
      <c r="AC112" s="93">
        <f t="shared" si="5"/>
        <v>0</v>
      </c>
    </row>
    <row r="113" spans="1:29" x14ac:dyDescent="0.25">
      <c r="A113" s="95">
        <v>203</v>
      </c>
      <c r="B113" s="95" t="str">
        <f t="shared" si="3"/>
        <v>Yes</v>
      </c>
      <c r="H113" s="95" t="str">
        <f t="shared" si="4"/>
        <v>PL2-203</v>
      </c>
      <c r="I113" s="111"/>
      <c r="J113" s="112" t="s">
        <v>89</v>
      </c>
      <c r="K113" s="112" t="s">
        <v>436</v>
      </c>
      <c r="L113" s="112" t="s">
        <v>14</v>
      </c>
      <c r="M113" s="112" t="s">
        <v>5</v>
      </c>
      <c r="N113" s="112"/>
      <c r="O113" s="112">
        <v>60</v>
      </c>
      <c r="P113" s="112" t="s">
        <v>949</v>
      </c>
      <c r="Q113" s="112"/>
      <c r="R113" s="112"/>
      <c r="S113" s="111"/>
      <c r="T113" s="93"/>
      <c r="U113" s="93"/>
      <c r="V113" s="93"/>
      <c r="W113" s="93"/>
      <c r="X113" s="93">
        <f>IF($B113="Yes",COUNTIF(Reference!P$52:P$67,$K113),"")</f>
        <v>1</v>
      </c>
      <c r="Y113" s="93">
        <f>IF($B113="Yes",COUNTIF(Reference!Q$52:Q$67,$K113),"")</f>
        <v>0</v>
      </c>
      <c r="Z113" s="93">
        <f>IF($B113="Yes",COUNTIF(Reference!R$52:R$67,$K113),"")</f>
        <v>0</v>
      </c>
      <c r="AA113" s="93">
        <f>IF($B113="Yes",COUNTIF(Reference!S$52:S$67,$K113),"")</f>
        <v>0</v>
      </c>
      <c r="AB113" s="93">
        <f>IF($B113="Yes",COUNTIF(Reference!T$52:T$67,$K113),"")</f>
        <v>1</v>
      </c>
      <c r="AC113" s="93">
        <f t="shared" si="5"/>
        <v>0</v>
      </c>
    </row>
    <row r="114" spans="1:29" x14ac:dyDescent="0.25">
      <c r="A114" s="95">
        <v>204</v>
      </c>
      <c r="B114" s="95" t="str">
        <f t="shared" si="3"/>
        <v>Yes</v>
      </c>
      <c r="H114" s="95" t="str">
        <f t="shared" si="4"/>
        <v>PL2-204</v>
      </c>
      <c r="I114" s="111"/>
      <c r="J114" s="112" t="s">
        <v>950</v>
      </c>
      <c r="K114" s="112" t="s">
        <v>440</v>
      </c>
      <c r="L114" s="112" t="s">
        <v>14</v>
      </c>
      <c r="M114" s="112" t="s">
        <v>809</v>
      </c>
      <c r="N114" s="112"/>
      <c r="O114" s="112">
        <v>60</v>
      </c>
      <c r="P114" s="112" t="s">
        <v>949</v>
      </c>
      <c r="Q114" s="112"/>
      <c r="R114" s="112"/>
      <c r="S114" s="111"/>
      <c r="T114" s="93"/>
      <c r="U114" s="93"/>
      <c r="V114" s="93"/>
      <c r="W114" s="93"/>
      <c r="X114" s="93">
        <f>IF($B114="Yes",COUNTIF(Reference!P$52:P$67,$K114),"")</f>
        <v>1</v>
      </c>
      <c r="Y114" s="93">
        <f>IF($B114="Yes",COUNTIF(Reference!Q$52:Q$67,$K114),"")</f>
        <v>0</v>
      </c>
      <c r="Z114" s="93">
        <f>IF($B114="Yes",COUNTIF(Reference!R$52:R$67,$K114),"")</f>
        <v>0</v>
      </c>
      <c r="AA114" s="93">
        <f>IF($B114="Yes",COUNTIF(Reference!S$52:S$67,$K114),"")</f>
        <v>1</v>
      </c>
      <c r="AB114" s="93">
        <f>IF($B114="Yes",COUNTIF(Reference!T$52:T$67,$K114),"")</f>
        <v>0</v>
      </c>
      <c r="AC114" s="93">
        <f t="shared" si="5"/>
        <v>0</v>
      </c>
    </row>
    <row r="115" spans="1:29" x14ac:dyDescent="0.25">
      <c r="A115" s="95">
        <v>205</v>
      </c>
      <c r="B115" s="95" t="str">
        <f t="shared" si="3"/>
        <v>Yes</v>
      </c>
      <c r="H115" s="95" t="str">
        <f t="shared" si="4"/>
        <v>PL2-205</v>
      </c>
      <c r="I115" s="111"/>
      <c r="J115" s="112" t="s">
        <v>951</v>
      </c>
      <c r="K115" s="112" t="s">
        <v>5</v>
      </c>
      <c r="L115" s="112" t="s">
        <v>14</v>
      </c>
      <c r="M115" s="112" t="s">
        <v>809</v>
      </c>
      <c r="N115" s="112"/>
      <c r="O115" s="112">
        <v>60</v>
      </c>
      <c r="P115" s="112" t="s">
        <v>949</v>
      </c>
      <c r="Q115" s="112"/>
      <c r="R115" s="112"/>
      <c r="S115" s="111"/>
      <c r="T115" s="93"/>
      <c r="U115" s="93"/>
      <c r="V115" s="93"/>
      <c r="W115" s="93"/>
      <c r="X115" s="93">
        <f>IF($B115="Yes",COUNTIF(Reference!P$52:P$67,$K115),"")</f>
        <v>0</v>
      </c>
      <c r="Y115" s="93">
        <f>IF($B115="Yes",COUNTIF(Reference!Q$52:Q$67,$K115),"")</f>
        <v>0</v>
      </c>
      <c r="Z115" s="93">
        <f>IF($B115="Yes",COUNTIF(Reference!R$52:R$67,$K115),"")</f>
        <v>1</v>
      </c>
      <c r="AA115" s="93">
        <f>IF($B115="Yes",COUNTIF(Reference!S$52:S$67,$K115),"")</f>
        <v>0</v>
      </c>
      <c r="AB115" s="93">
        <f>IF($B115="Yes",COUNTIF(Reference!T$52:T$67,$K115),"")</f>
        <v>0</v>
      </c>
      <c r="AC115" s="93">
        <f t="shared" si="5"/>
        <v>0</v>
      </c>
    </row>
    <row r="116" spans="1:29" x14ac:dyDescent="0.25">
      <c r="A116" s="95">
        <v>206</v>
      </c>
      <c r="B116" s="95" t="str">
        <f t="shared" si="3"/>
        <v>Yes</v>
      </c>
      <c r="H116" s="95" t="str">
        <f t="shared" si="4"/>
        <v>PL2-206</v>
      </c>
      <c r="I116" s="111"/>
      <c r="J116" s="112" t="s">
        <v>952</v>
      </c>
      <c r="K116" s="112" t="s">
        <v>434</v>
      </c>
      <c r="L116" s="112" t="s">
        <v>14</v>
      </c>
      <c r="M116" s="112" t="s">
        <v>5</v>
      </c>
      <c r="N116" s="112"/>
      <c r="O116" s="112">
        <v>60</v>
      </c>
      <c r="P116" s="112"/>
      <c r="Q116" s="112"/>
      <c r="R116" s="112"/>
      <c r="S116" s="111"/>
      <c r="T116" s="93"/>
      <c r="U116" s="93"/>
      <c r="V116" s="93"/>
      <c r="W116" s="93"/>
      <c r="X116" s="93">
        <f>IF($B116="Yes",COUNTIF(Reference!P$52:P$67,$K116),"")</f>
        <v>1</v>
      </c>
      <c r="Y116" s="93">
        <f>IF($B116="Yes",COUNTIF(Reference!Q$52:Q$67,$K116),"")</f>
        <v>1</v>
      </c>
      <c r="Z116" s="93">
        <f>IF($B116="Yes",COUNTIF(Reference!R$52:R$67,$K116),"")</f>
        <v>0</v>
      </c>
      <c r="AA116" s="93">
        <f>IF($B116="Yes",COUNTIF(Reference!S$52:S$67,$K116),"")</f>
        <v>0</v>
      </c>
      <c r="AB116" s="93">
        <f>IF($B116="Yes",COUNTIF(Reference!T$52:T$67,$K116),"")</f>
        <v>0</v>
      </c>
      <c r="AC116" s="93">
        <f t="shared" si="5"/>
        <v>0</v>
      </c>
    </row>
    <row r="117" spans="1:29" x14ac:dyDescent="0.25">
      <c r="A117" s="95">
        <v>207</v>
      </c>
      <c r="B117" s="95" t="str">
        <f t="shared" si="3"/>
        <v>Yes</v>
      </c>
      <c r="H117" s="95" t="str">
        <f t="shared" si="4"/>
        <v>PL2-207</v>
      </c>
      <c r="I117" s="111"/>
      <c r="J117" s="112" t="s">
        <v>953</v>
      </c>
      <c r="K117" s="112" t="s">
        <v>459</v>
      </c>
      <c r="L117" s="112" t="s">
        <v>14</v>
      </c>
      <c r="M117" s="112" t="s">
        <v>809</v>
      </c>
      <c r="N117" s="112"/>
      <c r="O117" s="112">
        <v>60</v>
      </c>
      <c r="P117" s="112" t="s">
        <v>954</v>
      </c>
      <c r="Q117" s="112"/>
      <c r="R117" s="112"/>
      <c r="S117" s="111"/>
      <c r="T117" s="93"/>
      <c r="U117" s="93"/>
      <c r="V117" s="93"/>
      <c r="W117" s="93"/>
      <c r="X117" s="93">
        <f>IF($B117="Yes",COUNTIF(Reference!P$52:P$67,$K117),"")</f>
        <v>1</v>
      </c>
      <c r="Y117" s="93">
        <f>IF($B117="Yes",COUNTIF(Reference!Q$52:Q$67,$K117),"")</f>
        <v>1</v>
      </c>
      <c r="Z117" s="93">
        <f>IF($B117="Yes",COUNTIF(Reference!R$52:R$67,$K117),"")</f>
        <v>1</v>
      </c>
      <c r="AA117" s="93">
        <f>IF($B117="Yes",COUNTIF(Reference!S$52:S$67,$K117),"")</f>
        <v>1</v>
      </c>
      <c r="AB117" s="93">
        <f>IF($B117="Yes",COUNTIF(Reference!T$52:T$67,$K117),"")</f>
        <v>1</v>
      </c>
      <c r="AC117" s="93">
        <f t="shared" si="5"/>
        <v>0</v>
      </c>
    </row>
    <row r="118" spans="1:29" x14ac:dyDescent="0.25">
      <c r="A118" s="95">
        <v>208</v>
      </c>
      <c r="B118" s="95" t="str">
        <f t="shared" si="3"/>
        <v>Yes</v>
      </c>
      <c r="H118" s="95" t="str">
        <f t="shared" si="4"/>
        <v>PL2-208</v>
      </c>
      <c r="I118" s="111"/>
      <c r="J118" s="112" t="s">
        <v>82</v>
      </c>
      <c r="K118" s="112" t="s">
        <v>418</v>
      </c>
      <c r="L118" s="112" t="s">
        <v>13</v>
      </c>
      <c r="M118" s="112" t="s">
        <v>809</v>
      </c>
      <c r="N118" s="112"/>
      <c r="O118" s="112">
        <v>60</v>
      </c>
      <c r="P118" s="112"/>
      <c r="Q118" s="112"/>
      <c r="R118" s="112"/>
      <c r="S118" s="111"/>
      <c r="T118" s="93"/>
      <c r="U118" s="93"/>
      <c r="V118" s="93"/>
      <c r="W118" s="93"/>
      <c r="X118" s="93">
        <f>IF($B118="Yes",COUNTIF(Reference!P$52:P$67,$K118),"")</f>
        <v>0</v>
      </c>
      <c r="Y118" s="93">
        <f>IF($B118="Yes",COUNTIF(Reference!Q$52:Q$67,$K118),"")</f>
        <v>1</v>
      </c>
      <c r="Z118" s="93">
        <f>IF($B118="Yes",COUNTIF(Reference!R$52:R$67,$K118),"")</f>
        <v>1</v>
      </c>
      <c r="AA118" s="93">
        <f>IF($B118="Yes",COUNTIF(Reference!S$52:S$67,$K118),"")</f>
        <v>0</v>
      </c>
      <c r="AB118" s="93">
        <f>IF($B118="Yes",COUNTIF(Reference!T$52:T$67,$K118),"")</f>
        <v>0</v>
      </c>
      <c r="AC118" s="93">
        <f t="shared" si="5"/>
        <v>0</v>
      </c>
    </row>
    <row r="119" spans="1:29" x14ac:dyDescent="0.25">
      <c r="A119" s="95">
        <v>209</v>
      </c>
      <c r="B119" s="95" t="str">
        <f t="shared" si="3"/>
        <v>Yes</v>
      </c>
      <c r="H119" s="95" t="str">
        <f t="shared" si="4"/>
        <v>PL2-209</v>
      </c>
      <c r="I119" s="111"/>
      <c r="J119" s="112" t="s">
        <v>83</v>
      </c>
      <c r="K119" s="112" t="s">
        <v>7</v>
      </c>
      <c r="L119" s="112" t="s">
        <v>13</v>
      </c>
      <c r="M119" s="112" t="s">
        <v>5</v>
      </c>
      <c r="N119" s="112"/>
      <c r="O119" s="112">
        <v>70</v>
      </c>
      <c r="P119" s="112"/>
      <c r="Q119" s="112"/>
      <c r="R119" s="112"/>
      <c r="S119" s="111"/>
      <c r="T119" s="93"/>
      <c r="U119" s="93"/>
      <c r="V119" s="93"/>
      <c r="W119" s="93"/>
      <c r="X119" s="93">
        <f>IF($B119="Yes",COUNTIF(Reference!P$52:P$67,$K119),"")</f>
        <v>0</v>
      </c>
      <c r="Y119" s="93">
        <f>IF($B119="Yes",COUNTIF(Reference!Q$52:Q$67,$K119),"")</f>
        <v>0</v>
      </c>
      <c r="Z119" s="93">
        <f>IF($B119="Yes",COUNTIF(Reference!R$52:R$67,$K119),"")</f>
        <v>0</v>
      </c>
      <c r="AA119" s="93">
        <f>IF($B119="Yes",COUNTIF(Reference!S$52:S$67,$K119),"")</f>
        <v>0</v>
      </c>
      <c r="AB119" s="93">
        <f>IF($B119="Yes",COUNTIF(Reference!T$52:T$67,$K119),"")</f>
        <v>1</v>
      </c>
      <c r="AC119" s="93">
        <f t="shared" si="5"/>
        <v>0</v>
      </c>
    </row>
    <row r="120" spans="1:29" x14ac:dyDescent="0.25">
      <c r="A120" s="95">
        <v>210</v>
      </c>
      <c r="B120" s="95" t="str">
        <f t="shared" si="3"/>
        <v>Yes</v>
      </c>
      <c r="H120" s="95" t="str">
        <f t="shared" si="4"/>
        <v>PL2-210</v>
      </c>
      <c r="I120" s="111"/>
      <c r="J120" s="112" t="s">
        <v>955</v>
      </c>
      <c r="K120" s="112" t="s">
        <v>420</v>
      </c>
      <c r="L120" s="112" t="s">
        <v>14</v>
      </c>
      <c r="M120" s="112" t="s">
        <v>807</v>
      </c>
      <c r="N120" s="112"/>
      <c r="O120" s="112">
        <v>60</v>
      </c>
      <c r="P120" s="112"/>
      <c r="Q120" s="112"/>
      <c r="R120" s="112"/>
      <c r="S120" s="111"/>
      <c r="T120" s="93"/>
      <c r="U120" s="93"/>
      <c r="V120" s="93"/>
      <c r="W120" s="93"/>
      <c r="X120" s="93">
        <f>IF($B120="Yes",COUNTIF(Reference!P$52:P$67,$K120),"")</f>
        <v>0</v>
      </c>
      <c r="Y120" s="93">
        <f>IF($B120="Yes",COUNTIF(Reference!Q$52:Q$67,$K120),"")</f>
        <v>0</v>
      </c>
      <c r="Z120" s="93">
        <f>IF($B120="Yes",COUNTIF(Reference!R$52:R$67,$K120),"")</f>
        <v>1</v>
      </c>
      <c r="AA120" s="93">
        <f>IF($B120="Yes",COUNTIF(Reference!S$52:S$67,$K120),"")</f>
        <v>1</v>
      </c>
      <c r="AB120" s="93">
        <f>IF($B120="Yes",COUNTIF(Reference!T$52:T$67,$K120),"")</f>
        <v>0</v>
      </c>
      <c r="AC120" s="93">
        <f t="shared" si="5"/>
        <v>0</v>
      </c>
    </row>
    <row r="121" spans="1:29" x14ac:dyDescent="0.25">
      <c r="A121" s="95">
        <v>211</v>
      </c>
      <c r="B121" s="95" t="str">
        <f t="shared" si="3"/>
        <v>Yes</v>
      </c>
      <c r="H121" s="95" t="str">
        <f t="shared" si="4"/>
        <v>PL2-211</v>
      </c>
      <c r="I121" s="111"/>
      <c r="J121" s="112" t="s">
        <v>956</v>
      </c>
      <c r="K121" s="112" t="s">
        <v>418</v>
      </c>
      <c r="L121" s="112" t="s">
        <v>13</v>
      </c>
      <c r="M121" s="112" t="s">
        <v>5</v>
      </c>
      <c r="N121" s="112"/>
      <c r="O121" s="112">
        <v>70</v>
      </c>
      <c r="P121" s="112"/>
      <c r="Q121" s="112"/>
      <c r="R121" s="112"/>
      <c r="S121" s="111"/>
      <c r="T121" s="93"/>
      <c r="U121" s="93"/>
      <c r="V121" s="93"/>
      <c r="W121" s="93"/>
      <c r="X121" s="93">
        <f>IF($B121="Yes",COUNTIF(Reference!P$52:P$67,$K121),"")</f>
        <v>0</v>
      </c>
      <c r="Y121" s="93">
        <f>IF($B121="Yes",COUNTIF(Reference!Q$52:Q$67,$K121),"")</f>
        <v>1</v>
      </c>
      <c r="Z121" s="93">
        <f>IF($B121="Yes",COUNTIF(Reference!R$52:R$67,$K121),"")</f>
        <v>1</v>
      </c>
      <c r="AA121" s="93">
        <f>IF($B121="Yes",COUNTIF(Reference!S$52:S$67,$K121),"")</f>
        <v>0</v>
      </c>
      <c r="AB121" s="93">
        <f>IF($B121="Yes",COUNTIF(Reference!T$52:T$67,$K121),"")</f>
        <v>0</v>
      </c>
      <c r="AC121" s="93">
        <f t="shared" si="5"/>
        <v>0</v>
      </c>
    </row>
    <row r="122" spans="1:29" x14ac:dyDescent="0.25">
      <c r="A122" s="95">
        <v>212</v>
      </c>
      <c r="B122" s="95" t="str">
        <f t="shared" si="3"/>
        <v>Yes</v>
      </c>
      <c r="H122" s="95" t="str">
        <f t="shared" si="4"/>
        <v>PL2-212</v>
      </c>
      <c r="I122" s="111"/>
      <c r="J122" s="112" t="s">
        <v>84</v>
      </c>
      <c r="K122" s="112" t="s">
        <v>465</v>
      </c>
      <c r="L122" s="112" t="s">
        <v>13</v>
      </c>
      <c r="M122" s="112" t="s">
        <v>809</v>
      </c>
      <c r="N122" s="112"/>
      <c r="O122" s="112">
        <v>60</v>
      </c>
      <c r="P122" s="112"/>
      <c r="Q122" s="112"/>
      <c r="R122" s="112"/>
      <c r="S122" s="111"/>
      <c r="T122" s="93"/>
      <c r="U122" s="93"/>
      <c r="V122" s="93"/>
      <c r="W122" s="93"/>
      <c r="X122" s="93">
        <f>IF($B122="Yes",COUNTIF(Reference!P$52:P$67,$K122),"")</f>
        <v>1</v>
      </c>
      <c r="Y122" s="93">
        <f>IF($B122="Yes",COUNTIF(Reference!Q$52:Q$67,$K122),"")</f>
        <v>1</v>
      </c>
      <c r="Z122" s="93">
        <f>IF($B122="Yes",COUNTIF(Reference!R$52:R$67,$K122),"")</f>
        <v>0</v>
      </c>
      <c r="AA122" s="93">
        <f>IF($B122="Yes",COUNTIF(Reference!S$52:S$67,$K122),"")</f>
        <v>1</v>
      </c>
      <c r="AB122" s="93">
        <f>IF($B122="Yes",COUNTIF(Reference!T$52:T$67,$K122),"")</f>
        <v>0</v>
      </c>
      <c r="AC122" s="93">
        <f t="shared" si="5"/>
        <v>0</v>
      </c>
    </row>
    <row r="123" spans="1:29" x14ac:dyDescent="0.25">
      <c r="A123" s="95">
        <v>213</v>
      </c>
      <c r="B123" s="95" t="str">
        <f t="shared" si="3"/>
        <v>Yes</v>
      </c>
      <c r="H123" s="95" t="str">
        <f t="shared" si="4"/>
        <v>PL2-213</v>
      </c>
      <c r="I123" s="111"/>
      <c r="J123" s="112" t="s">
        <v>85</v>
      </c>
      <c r="K123" s="112" t="s">
        <v>417</v>
      </c>
      <c r="L123" s="112" t="s">
        <v>14</v>
      </c>
      <c r="M123" s="112" t="s">
        <v>5</v>
      </c>
      <c r="N123" s="112"/>
      <c r="O123" s="112">
        <v>60</v>
      </c>
      <c r="P123" s="112"/>
      <c r="Q123" s="112"/>
      <c r="R123" s="112"/>
      <c r="S123" s="111"/>
      <c r="T123" s="93"/>
      <c r="U123" s="93"/>
      <c r="V123" s="93"/>
      <c r="W123" s="93"/>
      <c r="X123" s="93">
        <f>IF($B123="Yes",COUNTIF(Reference!P$52:P$67,$K123),"")</f>
        <v>1</v>
      </c>
      <c r="Y123" s="93">
        <f>IF($B123="Yes",COUNTIF(Reference!Q$52:Q$67,$K123),"")</f>
        <v>0</v>
      </c>
      <c r="Z123" s="93">
        <f>IF($B123="Yes",COUNTIF(Reference!R$52:R$67,$K123),"")</f>
        <v>1</v>
      </c>
      <c r="AA123" s="93">
        <f>IF($B123="Yes",COUNTIF(Reference!S$52:S$67,$K123),"")</f>
        <v>0</v>
      </c>
      <c r="AB123" s="93">
        <f>IF($B123="Yes",COUNTIF(Reference!T$52:T$67,$K123),"")</f>
        <v>0</v>
      </c>
      <c r="AC123" s="93">
        <f t="shared" si="5"/>
        <v>0</v>
      </c>
    </row>
    <row r="124" spans="1:29" x14ac:dyDescent="0.25">
      <c r="A124" s="95">
        <v>214</v>
      </c>
      <c r="B124" s="95" t="str">
        <f t="shared" si="3"/>
        <v>Yes</v>
      </c>
      <c r="H124" s="95" t="str">
        <f t="shared" si="4"/>
        <v>PL2-214</v>
      </c>
      <c r="I124" s="111"/>
      <c r="J124" s="112" t="s">
        <v>1004</v>
      </c>
      <c r="K124" s="112" t="s">
        <v>6</v>
      </c>
      <c r="L124" s="112" t="s">
        <v>13</v>
      </c>
      <c r="M124" s="112" t="s">
        <v>809</v>
      </c>
      <c r="N124" s="112"/>
      <c r="O124" s="112">
        <v>60</v>
      </c>
      <c r="P124" s="112"/>
      <c r="Q124" s="112"/>
      <c r="R124" s="112"/>
      <c r="S124" s="111"/>
      <c r="T124" s="93"/>
      <c r="U124" s="93"/>
      <c r="V124" s="93"/>
      <c r="W124" s="93"/>
      <c r="X124" s="93">
        <f>IF($B124="Yes",COUNTIF(Reference!P$52:P$67,$K124),"")</f>
        <v>0</v>
      </c>
      <c r="Y124" s="93">
        <f>IF($B124="Yes",COUNTIF(Reference!Q$52:Q$67,$K124),"")</f>
        <v>0</v>
      </c>
      <c r="Z124" s="93">
        <f>IF($B124="Yes",COUNTIF(Reference!R$52:R$67,$K124),"")</f>
        <v>0</v>
      </c>
      <c r="AA124" s="93">
        <f>IF($B124="Yes",COUNTIF(Reference!S$52:S$67,$K124),"")</f>
        <v>1</v>
      </c>
      <c r="AB124" s="93">
        <f>IF($B124="Yes",COUNTIF(Reference!T$52:T$67,$K124),"")</f>
        <v>0</v>
      </c>
      <c r="AC124" s="93">
        <f t="shared" si="5"/>
        <v>0</v>
      </c>
    </row>
    <row r="125" spans="1:29" x14ac:dyDescent="0.25">
      <c r="A125" s="95">
        <v>215</v>
      </c>
      <c r="B125" s="95" t="str">
        <f t="shared" si="3"/>
        <v>Yes</v>
      </c>
      <c r="H125" s="95" t="str">
        <f t="shared" si="4"/>
        <v>PL2-215</v>
      </c>
      <c r="I125" s="111"/>
      <c r="J125" s="112" t="s">
        <v>20</v>
      </c>
      <c r="K125" s="112" t="s">
        <v>6</v>
      </c>
      <c r="L125" s="112" t="s">
        <v>14</v>
      </c>
      <c r="M125" s="112" t="s">
        <v>807</v>
      </c>
      <c r="N125" s="112"/>
      <c r="O125" s="112">
        <v>60</v>
      </c>
      <c r="P125" s="112"/>
      <c r="Q125" s="112"/>
      <c r="R125" s="112"/>
      <c r="S125" s="111"/>
      <c r="T125" s="93"/>
      <c r="U125" s="93"/>
      <c r="V125" s="93"/>
      <c r="W125" s="93"/>
      <c r="X125" s="93">
        <f>IF($B125="Yes",COUNTIF(Reference!P$52:P$67,$K125),"")</f>
        <v>0</v>
      </c>
      <c r="Y125" s="93">
        <f>IF($B125="Yes",COUNTIF(Reference!Q$52:Q$67,$K125),"")</f>
        <v>0</v>
      </c>
      <c r="Z125" s="93">
        <f>IF($B125="Yes",COUNTIF(Reference!R$52:R$67,$K125),"")</f>
        <v>0</v>
      </c>
      <c r="AA125" s="93">
        <f>IF($B125="Yes",COUNTIF(Reference!S$52:S$67,$K125),"")</f>
        <v>1</v>
      </c>
      <c r="AB125" s="93">
        <f>IF($B125="Yes",COUNTIF(Reference!T$52:T$67,$K125),"")</f>
        <v>0</v>
      </c>
      <c r="AC125" s="93">
        <f t="shared" si="5"/>
        <v>0</v>
      </c>
    </row>
    <row r="126" spans="1:29" x14ac:dyDescent="0.25">
      <c r="A126" s="95">
        <v>216</v>
      </c>
      <c r="B126" s="95" t="str">
        <f t="shared" si="3"/>
        <v>Yes</v>
      </c>
      <c r="H126" s="95" t="str">
        <f t="shared" si="4"/>
        <v>PL2-216</v>
      </c>
      <c r="I126" s="111"/>
      <c r="J126" s="112" t="s">
        <v>86</v>
      </c>
      <c r="K126" s="112" t="s">
        <v>419</v>
      </c>
      <c r="L126" s="112" t="s">
        <v>14</v>
      </c>
      <c r="M126" s="112" t="s">
        <v>5</v>
      </c>
      <c r="N126" s="112"/>
      <c r="O126" s="112">
        <v>60</v>
      </c>
      <c r="P126" s="112"/>
      <c r="Q126" s="112"/>
      <c r="R126" s="112"/>
      <c r="S126" s="111"/>
      <c r="T126" s="93"/>
      <c r="U126" s="93"/>
      <c r="V126" s="93"/>
      <c r="W126" s="93"/>
      <c r="X126" s="93">
        <f>IF($B126="Yes",COUNTIF(Reference!P$52:P$67,$K126),"")</f>
        <v>0</v>
      </c>
      <c r="Y126" s="93">
        <f>IF($B126="Yes",COUNTIF(Reference!Q$52:Q$67,$K126),"")</f>
        <v>0</v>
      </c>
      <c r="Z126" s="93">
        <f>IF($B126="Yes",COUNTIF(Reference!R$52:R$67,$K126),"")</f>
        <v>1</v>
      </c>
      <c r="AA126" s="93">
        <f>IF($B126="Yes",COUNTIF(Reference!S$52:S$67,$K126),"")</f>
        <v>0</v>
      </c>
      <c r="AB126" s="93">
        <f>IF($B126="Yes",COUNTIF(Reference!T$52:T$67,$K126),"")</f>
        <v>1</v>
      </c>
      <c r="AC126" s="93">
        <f t="shared" si="5"/>
        <v>0</v>
      </c>
    </row>
    <row r="127" spans="1:29" x14ac:dyDescent="0.25">
      <c r="A127" s="95">
        <v>217</v>
      </c>
      <c r="B127" s="95" t="str">
        <f t="shared" si="3"/>
        <v>Yes</v>
      </c>
      <c r="H127" s="95" t="str">
        <f t="shared" si="4"/>
        <v>PL2-217</v>
      </c>
      <c r="I127" s="111"/>
      <c r="J127" s="112" t="s">
        <v>87</v>
      </c>
      <c r="K127" s="112" t="s">
        <v>441</v>
      </c>
      <c r="L127" s="112" t="s">
        <v>13</v>
      </c>
      <c r="M127" s="112" t="s">
        <v>809</v>
      </c>
      <c r="N127" s="112"/>
      <c r="O127" s="112">
        <v>60</v>
      </c>
      <c r="P127" s="112"/>
      <c r="Q127" s="112"/>
      <c r="R127" s="112"/>
      <c r="S127" s="111"/>
      <c r="T127" s="93"/>
      <c r="U127" s="93"/>
      <c r="V127" s="93"/>
      <c r="W127" s="93"/>
      <c r="X127" s="93">
        <f>IF($B127="Yes",COUNTIF(Reference!P$52:P$67,$K127),"")</f>
        <v>0</v>
      </c>
      <c r="Y127" s="93">
        <f>IF($B127="Yes",COUNTIF(Reference!Q$52:Q$67,$K127),"")</f>
        <v>1</v>
      </c>
      <c r="Z127" s="93">
        <f>IF($B127="Yes",COUNTIF(Reference!R$52:R$67,$K127),"")</f>
        <v>0</v>
      </c>
      <c r="AA127" s="93">
        <f>IF($B127="Yes",COUNTIF(Reference!S$52:S$67,$K127),"")</f>
        <v>1</v>
      </c>
      <c r="AB127" s="93">
        <f>IF($B127="Yes",COUNTIF(Reference!T$52:T$67,$K127),"")</f>
        <v>0</v>
      </c>
      <c r="AC127" s="93">
        <f t="shared" si="5"/>
        <v>0</v>
      </c>
    </row>
    <row r="128" spans="1:29" x14ac:dyDescent="0.25">
      <c r="A128" s="95">
        <v>218</v>
      </c>
      <c r="B128" s="95" t="str">
        <f t="shared" si="3"/>
        <v>Yes</v>
      </c>
      <c r="H128" s="95" t="str">
        <f t="shared" si="4"/>
        <v>PL2-218</v>
      </c>
      <c r="I128" s="111"/>
      <c r="J128" s="112" t="s">
        <v>1003</v>
      </c>
      <c r="K128" s="112" t="s">
        <v>434</v>
      </c>
      <c r="L128" s="112" t="s">
        <v>14</v>
      </c>
      <c r="M128" s="112" t="s">
        <v>5</v>
      </c>
      <c r="N128" s="112"/>
      <c r="O128" s="112">
        <v>60</v>
      </c>
      <c r="P128" s="112"/>
      <c r="Q128" s="112"/>
      <c r="R128" s="112"/>
      <c r="S128" s="111"/>
      <c r="T128" s="93"/>
      <c r="U128" s="93"/>
      <c r="V128" s="93"/>
      <c r="W128" s="93"/>
      <c r="X128" s="93">
        <f>IF($B128="Yes",COUNTIF(Reference!P$52:P$67,$K128),"")</f>
        <v>1</v>
      </c>
      <c r="Y128" s="93">
        <f>IF($B128="Yes",COUNTIF(Reference!Q$52:Q$67,$K128),"")</f>
        <v>1</v>
      </c>
      <c r="Z128" s="93">
        <f>IF($B128="Yes",COUNTIF(Reference!R$52:R$67,$K128),"")</f>
        <v>0</v>
      </c>
      <c r="AA128" s="93">
        <f>IF($B128="Yes",COUNTIF(Reference!S$52:S$67,$K128),"")</f>
        <v>0</v>
      </c>
      <c r="AB128" s="93">
        <f>IF($B128="Yes",COUNTIF(Reference!T$52:T$67,$K128),"")</f>
        <v>0</v>
      </c>
      <c r="AC128" s="93">
        <f t="shared" si="5"/>
        <v>0</v>
      </c>
    </row>
    <row r="129" spans="1:29" x14ac:dyDescent="0.25">
      <c r="A129" s="95">
        <v>219</v>
      </c>
      <c r="B129" s="95" t="str">
        <f t="shared" si="3"/>
        <v>Yes</v>
      </c>
      <c r="H129" s="95" t="str">
        <f t="shared" si="4"/>
        <v>PL2-219</v>
      </c>
      <c r="I129" s="111"/>
      <c r="J129" s="112" t="s">
        <v>957</v>
      </c>
      <c r="K129" s="112" t="s">
        <v>418</v>
      </c>
      <c r="L129" s="112" t="s">
        <v>13</v>
      </c>
      <c r="M129" s="112" t="s">
        <v>809</v>
      </c>
      <c r="N129" s="112"/>
      <c r="O129" s="112">
        <v>60</v>
      </c>
      <c r="P129" s="112"/>
      <c r="Q129" s="112"/>
      <c r="R129" s="112"/>
      <c r="S129" s="111"/>
      <c r="T129" s="93"/>
      <c r="U129" s="93"/>
      <c r="V129" s="93"/>
      <c r="W129" s="93"/>
      <c r="X129" s="93">
        <f>IF($B129="Yes",COUNTIF(Reference!P$52:P$67,$K129),"")</f>
        <v>0</v>
      </c>
      <c r="Y129" s="93">
        <f>IF($B129="Yes",COUNTIF(Reference!Q$52:Q$67,$K129),"")</f>
        <v>1</v>
      </c>
      <c r="Z129" s="93">
        <f>IF($B129="Yes",COUNTIF(Reference!R$52:R$67,$K129),"")</f>
        <v>1</v>
      </c>
      <c r="AA129" s="93">
        <f>IF($B129="Yes",COUNTIF(Reference!S$52:S$67,$K129),"")</f>
        <v>0</v>
      </c>
      <c r="AB129" s="93">
        <f>IF($B129="Yes",COUNTIF(Reference!T$52:T$67,$K129),"")</f>
        <v>0</v>
      </c>
      <c r="AC129" s="93">
        <f t="shared" si="5"/>
        <v>0</v>
      </c>
    </row>
    <row r="130" spans="1:29" x14ac:dyDescent="0.25">
      <c r="A130" s="95">
        <v>220</v>
      </c>
      <c r="B130" s="95" t="str">
        <f t="shared" si="3"/>
        <v>Yes</v>
      </c>
      <c r="H130" s="95" t="str">
        <f t="shared" si="4"/>
        <v>PL2-220</v>
      </c>
      <c r="I130" s="111"/>
      <c r="J130" s="112" t="s">
        <v>88</v>
      </c>
      <c r="K130" s="112" t="s">
        <v>420</v>
      </c>
      <c r="L130" s="112" t="s">
        <v>13</v>
      </c>
      <c r="M130" s="112" t="s">
        <v>808</v>
      </c>
      <c r="N130" s="112"/>
      <c r="O130" s="112">
        <v>60</v>
      </c>
      <c r="P130" s="112"/>
      <c r="Q130" s="112"/>
      <c r="R130" s="112"/>
      <c r="S130" s="111"/>
      <c r="T130" s="93"/>
      <c r="U130" s="93"/>
      <c r="V130" s="93"/>
      <c r="W130" s="93"/>
      <c r="X130" s="93">
        <f>IF($B130="Yes",COUNTIF(Reference!P$52:P$67,$K130),"")</f>
        <v>0</v>
      </c>
      <c r="Y130" s="93">
        <f>IF($B130="Yes",COUNTIF(Reference!Q$52:Q$67,$K130),"")</f>
        <v>0</v>
      </c>
      <c r="Z130" s="93">
        <f>IF($B130="Yes",COUNTIF(Reference!R$52:R$67,$K130),"")</f>
        <v>1</v>
      </c>
      <c r="AA130" s="93">
        <f>IF($B130="Yes",COUNTIF(Reference!S$52:S$67,$K130),"")</f>
        <v>1</v>
      </c>
      <c r="AB130" s="93">
        <f>IF($B130="Yes",COUNTIF(Reference!T$52:T$67,$K130),"")</f>
        <v>0</v>
      </c>
      <c r="AC130" s="93">
        <f t="shared" si="5"/>
        <v>0</v>
      </c>
    </row>
    <row r="131" spans="1:29" x14ac:dyDescent="0.25">
      <c r="A131" s="95">
        <v>221</v>
      </c>
      <c r="B131" s="95" t="str">
        <f t="shared" si="3"/>
        <v>Yes</v>
      </c>
      <c r="H131" s="95" t="str">
        <f t="shared" si="4"/>
        <v>PL2-221</v>
      </c>
      <c r="I131" s="111"/>
      <c r="J131" s="112" t="s">
        <v>958</v>
      </c>
      <c r="K131" s="112" t="s">
        <v>417</v>
      </c>
      <c r="L131" s="112" t="s">
        <v>14</v>
      </c>
      <c r="M131" s="112" t="s">
        <v>809</v>
      </c>
      <c r="N131" s="112"/>
      <c r="O131" s="112">
        <v>60</v>
      </c>
      <c r="P131" s="112"/>
      <c r="Q131" s="112"/>
      <c r="R131" s="112"/>
      <c r="S131" s="111"/>
      <c r="T131" s="93"/>
      <c r="U131" s="93"/>
      <c r="V131" s="93"/>
      <c r="W131" s="93"/>
      <c r="X131" s="93">
        <f>IF($B131="Yes",COUNTIF(Reference!P$52:P$67,$K131),"")</f>
        <v>1</v>
      </c>
      <c r="Y131" s="93">
        <f>IF($B131="Yes",COUNTIF(Reference!Q$52:Q$67,$K131),"")</f>
        <v>0</v>
      </c>
      <c r="Z131" s="93">
        <f>IF($B131="Yes",COUNTIF(Reference!R$52:R$67,$K131),"")</f>
        <v>1</v>
      </c>
      <c r="AA131" s="93">
        <f>IF($B131="Yes",COUNTIF(Reference!S$52:S$67,$K131),"")</f>
        <v>0</v>
      </c>
      <c r="AB131" s="93">
        <f>IF($B131="Yes",COUNTIF(Reference!T$52:T$67,$K131),"")</f>
        <v>0</v>
      </c>
      <c r="AC131" s="93">
        <f t="shared" si="5"/>
        <v>0</v>
      </c>
    </row>
    <row r="132" spans="1:29" x14ac:dyDescent="0.25">
      <c r="A132" s="95">
        <v>222</v>
      </c>
      <c r="B132" s="95" t="str">
        <f t="shared" si="3"/>
        <v>Yes</v>
      </c>
      <c r="H132" s="95" t="str">
        <f t="shared" si="4"/>
        <v>PL2-222</v>
      </c>
      <c r="I132" s="111"/>
      <c r="J132" s="112" t="s">
        <v>90</v>
      </c>
      <c r="K132" s="112" t="s">
        <v>422</v>
      </c>
      <c r="L132" s="112" t="s">
        <v>14</v>
      </c>
      <c r="M132" s="112" t="s">
        <v>5</v>
      </c>
      <c r="N132" s="112"/>
      <c r="O132" s="112">
        <v>60</v>
      </c>
      <c r="P132" s="112"/>
      <c r="Q132" s="112"/>
      <c r="R132" s="112"/>
      <c r="S132" s="111"/>
      <c r="T132" s="93"/>
      <c r="U132" s="93"/>
      <c r="V132" s="93"/>
      <c r="W132" s="93"/>
      <c r="X132" s="93">
        <f>IF($B132="Yes",COUNTIF(Reference!P$52:P$67,$K132),"")</f>
        <v>1</v>
      </c>
      <c r="Y132" s="93">
        <f>IF($B132="Yes",COUNTIF(Reference!Q$52:Q$67,$K132),"")</f>
        <v>0</v>
      </c>
      <c r="Z132" s="93">
        <f>IF($B132="Yes",COUNTIF(Reference!R$52:R$67,$K132),"")</f>
        <v>1</v>
      </c>
      <c r="AA132" s="93">
        <f>IF($B132="Yes",COUNTIF(Reference!S$52:S$67,$K132),"")</f>
        <v>0</v>
      </c>
      <c r="AB132" s="93">
        <f>IF($B132="Yes",COUNTIF(Reference!T$52:T$67,$K132),"")</f>
        <v>1</v>
      </c>
      <c r="AC132" s="93">
        <f t="shared" si="5"/>
        <v>0</v>
      </c>
    </row>
    <row r="133" spans="1:29" x14ac:dyDescent="0.25">
      <c r="A133" s="95">
        <v>223</v>
      </c>
      <c r="B133" s="95" t="str">
        <f t="shared" si="3"/>
        <v>Yes</v>
      </c>
      <c r="H133" s="95" t="str">
        <f t="shared" si="4"/>
        <v>PL2-223</v>
      </c>
      <c r="I133" s="111"/>
      <c r="J133" s="112" t="s">
        <v>91</v>
      </c>
      <c r="K133" s="112" t="s">
        <v>441</v>
      </c>
      <c r="L133" s="112" t="s">
        <v>14</v>
      </c>
      <c r="M133" s="112" t="s">
        <v>809</v>
      </c>
      <c r="N133" s="112"/>
      <c r="O133" s="112">
        <v>60</v>
      </c>
      <c r="P133" s="112"/>
      <c r="Q133" s="112"/>
      <c r="R133" s="112"/>
      <c r="S133" s="111"/>
      <c r="T133" s="93"/>
      <c r="U133" s="93"/>
      <c r="V133" s="93"/>
      <c r="W133" s="93"/>
      <c r="X133" s="93">
        <f>IF($B133="Yes",COUNTIF(Reference!P$52:P$67,$K133),"")</f>
        <v>0</v>
      </c>
      <c r="Y133" s="93">
        <f>IF($B133="Yes",COUNTIF(Reference!Q$52:Q$67,$K133),"")</f>
        <v>1</v>
      </c>
      <c r="Z133" s="93">
        <f>IF($B133="Yes",COUNTIF(Reference!R$52:R$67,$K133),"")</f>
        <v>0</v>
      </c>
      <c r="AA133" s="93">
        <f>IF($B133="Yes",COUNTIF(Reference!S$52:S$67,$K133),"")</f>
        <v>1</v>
      </c>
      <c r="AB133" s="93">
        <f>IF($B133="Yes",COUNTIF(Reference!T$52:T$67,$K133),"")</f>
        <v>0</v>
      </c>
      <c r="AC133" s="93">
        <f t="shared" si="5"/>
        <v>0</v>
      </c>
    </row>
    <row r="134" spans="1:29" x14ac:dyDescent="0.25">
      <c r="A134" s="95">
        <v>224</v>
      </c>
      <c r="B134" s="95" t="str">
        <f t="shared" si="3"/>
        <v>Yes</v>
      </c>
      <c r="H134" s="95" t="str">
        <f t="shared" si="4"/>
        <v>PL2-224</v>
      </c>
      <c r="I134" s="111"/>
      <c r="J134" s="112" t="s">
        <v>92</v>
      </c>
      <c r="K134" s="112" t="s">
        <v>436</v>
      </c>
      <c r="L134" s="112" t="s">
        <v>13</v>
      </c>
      <c r="M134" s="112" t="s">
        <v>5</v>
      </c>
      <c r="N134" s="112"/>
      <c r="O134" s="112">
        <v>60</v>
      </c>
      <c r="P134" s="112"/>
      <c r="Q134" s="112"/>
      <c r="R134" s="112"/>
      <c r="S134" s="111"/>
      <c r="T134" s="93"/>
      <c r="U134" s="93"/>
      <c r="V134" s="93"/>
      <c r="W134" s="93"/>
      <c r="X134" s="93">
        <f>IF($B134="Yes",COUNTIF(Reference!P$52:P$67,$K134),"")</f>
        <v>1</v>
      </c>
      <c r="Y134" s="93">
        <f>IF($B134="Yes",COUNTIF(Reference!Q$52:Q$67,$K134),"")</f>
        <v>0</v>
      </c>
      <c r="Z134" s="93">
        <f>IF($B134="Yes",COUNTIF(Reference!R$52:R$67,$K134),"")</f>
        <v>0</v>
      </c>
      <c r="AA134" s="93">
        <f>IF($B134="Yes",COUNTIF(Reference!S$52:S$67,$K134),"")</f>
        <v>0</v>
      </c>
      <c r="AB134" s="93">
        <f>IF($B134="Yes",COUNTIF(Reference!T$52:T$67,$K134),"")</f>
        <v>1</v>
      </c>
      <c r="AC134" s="93">
        <f t="shared" si="5"/>
        <v>0</v>
      </c>
    </row>
    <row r="135" spans="1:29" x14ac:dyDescent="0.25">
      <c r="A135" s="95">
        <v>225</v>
      </c>
      <c r="B135" s="95" t="str">
        <f t="shared" si="3"/>
        <v>Yes</v>
      </c>
      <c r="H135" s="95" t="str">
        <f t="shared" si="4"/>
        <v>PL2-225</v>
      </c>
      <c r="I135" s="111"/>
      <c r="J135" s="112" t="s">
        <v>959</v>
      </c>
      <c r="K135" s="112" t="s">
        <v>7</v>
      </c>
      <c r="L135" s="112" t="s">
        <v>14</v>
      </c>
      <c r="M135" s="112" t="s">
        <v>5</v>
      </c>
      <c r="N135" s="112"/>
      <c r="O135" s="112">
        <v>60</v>
      </c>
      <c r="P135" s="112"/>
      <c r="Q135" s="112"/>
      <c r="R135" s="112"/>
      <c r="S135" s="111"/>
      <c r="T135" s="93"/>
      <c r="U135" s="93"/>
      <c r="V135" s="93"/>
      <c r="W135" s="93"/>
      <c r="X135" s="93">
        <f>IF($B135="Yes",COUNTIF(Reference!P$52:P$67,$K135),"")</f>
        <v>0</v>
      </c>
      <c r="Y135" s="93">
        <f>IF($B135="Yes",COUNTIF(Reference!Q$52:Q$67,$K135),"")</f>
        <v>0</v>
      </c>
      <c r="Z135" s="93">
        <f>IF($B135="Yes",COUNTIF(Reference!R$52:R$67,$K135),"")</f>
        <v>0</v>
      </c>
      <c r="AA135" s="93">
        <f>IF($B135="Yes",COUNTIF(Reference!S$52:S$67,$K135),"")</f>
        <v>0</v>
      </c>
      <c r="AB135" s="93">
        <f>IF($B135="Yes",COUNTIF(Reference!T$52:T$67,$K135),"")</f>
        <v>1</v>
      </c>
      <c r="AC135" s="93">
        <f t="shared" si="5"/>
        <v>0</v>
      </c>
    </row>
    <row r="136" spans="1:29" x14ac:dyDescent="0.25">
      <c r="A136" s="95">
        <v>226</v>
      </c>
      <c r="B136" s="95" t="str">
        <f t="shared" si="3"/>
        <v>Yes</v>
      </c>
      <c r="H136" s="95" t="str">
        <f t="shared" si="4"/>
        <v>PL2-226</v>
      </c>
      <c r="I136" s="111"/>
      <c r="J136" s="112" t="s">
        <v>961</v>
      </c>
      <c r="K136" s="112" t="s">
        <v>434</v>
      </c>
      <c r="L136" s="112" t="s">
        <v>14</v>
      </c>
      <c r="M136" s="112" t="s">
        <v>808</v>
      </c>
      <c r="N136" s="112"/>
      <c r="O136" s="112">
        <v>60</v>
      </c>
      <c r="P136" s="112"/>
      <c r="Q136" s="112"/>
      <c r="R136" s="112"/>
      <c r="S136" s="111"/>
      <c r="T136" s="93"/>
      <c r="U136" s="93"/>
      <c r="V136" s="93"/>
      <c r="W136" s="93"/>
      <c r="X136" s="93">
        <f>IF($B136="Yes",COUNTIF(Reference!P$52:P$67,$K136),"")</f>
        <v>1</v>
      </c>
      <c r="Y136" s="93">
        <f>IF($B136="Yes",COUNTIF(Reference!Q$52:Q$67,$K136),"")</f>
        <v>1</v>
      </c>
      <c r="Z136" s="93">
        <f>IF($B136="Yes",COUNTIF(Reference!R$52:R$67,$K136),"")</f>
        <v>0</v>
      </c>
      <c r="AA136" s="93">
        <f>IF($B136="Yes",COUNTIF(Reference!S$52:S$67,$K136),"")</f>
        <v>0</v>
      </c>
      <c r="AB136" s="93">
        <f>IF($B136="Yes",COUNTIF(Reference!T$52:T$67,$K136),"")</f>
        <v>0</v>
      </c>
      <c r="AC136" s="93">
        <f t="shared" si="5"/>
        <v>0</v>
      </c>
    </row>
    <row r="137" spans="1:29" x14ac:dyDescent="0.25">
      <c r="A137" s="95">
        <v>227</v>
      </c>
      <c r="B137" s="95" t="str">
        <f t="shared" si="3"/>
        <v>Yes</v>
      </c>
      <c r="H137" s="95" t="str">
        <f t="shared" si="4"/>
        <v>PL2-227</v>
      </c>
      <c r="I137" s="111"/>
      <c r="J137" s="112" t="s">
        <v>962</v>
      </c>
      <c r="K137" s="112" t="s">
        <v>434</v>
      </c>
      <c r="L137" s="112" t="s">
        <v>14</v>
      </c>
      <c r="M137" s="112" t="s">
        <v>808</v>
      </c>
      <c r="N137" s="112"/>
      <c r="O137" s="112">
        <v>60</v>
      </c>
      <c r="P137" s="112"/>
      <c r="Q137" s="112"/>
      <c r="R137" s="112"/>
      <c r="S137" s="111"/>
      <c r="T137" s="93"/>
      <c r="U137" s="93"/>
      <c r="V137" s="93"/>
      <c r="W137" s="93"/>
      <c r="X137" s="93">
        <f>IF($B137="Yes",COUNTIF(Reference!P$52:P$67,$K137),"")</f>
        <v>1</v>
      </c>
      <c r="Y137" s="93">
        <f>IF($B137="Yes",COUNTIF(Reference!Q$52:Q$67,$K137),"")</f>
        <v>1</v>
      </c>
      <c r="Z137" s="93">
        <f>IF($B137="Yes",COUNTIF(Reference!R$52:R$67,$K137),"")</f>
        <v>0</v>
      </c>
      <c r="AA137" s="93">
        <f>IF($B137="Yes",COUNTIF(Reference!S$52:S$67,$K137),"")</f>
        <v>0</v>
      </c>
      <c r="AB137" s="93">
        <f>IF($B137="Yes",COUNTIF(Reference!T$52:T$67,$K137),"")</f>
        <v>0</v>
      </c>
      <c r="AC137" s="93">
        <f t="shared" si="5"/>
        <v>0</v>
      </c>
    </row>
    <row r="138" spans="1:29" x14ac:dyDescent="0.25">
      <c r="A138" s="95">
        <v>228</v>
      </c>
      <c r="B138" s="95" t="str">
        <f t="shared" si="3"/>
        <v>Yes</v>
      </c>
      <c r="H138" s="95" t="str">
        <f t="shared" si="4"/>
        <v>PL2-228</v>
      </c>
      <c r="I138" s="111"/>
      <c r="J138" s="112" t="s">
        <v>57</v>
      </c>
      <c r="K138" s="112" t="s">
        <v>417</v>
      </c>
      <c r="L138" s="112" t="s">
        <v>14</v>
      </c>
      <c r="M138" s="112" t="s">
        <v>809</v>
      </c>
      <c r="N138" s="112"/>
      <c r="O138" s="112">
        <v>60</v>
      </c>
      <c r="P138" s="112" t="s">
        <v>58</v>
      </c>
      <c r="Q138" s="112"/>
      <c r="R138" s="112"/>
      <c r="S138" s="111"/>
      <c r="T138" s="93"/>
      <c r="U138" s="93"/>
      <c r="V138" s="93"/>
      <c r="W138" s="93"/>
      <c r="X138" s="93">
        <f>IF($B138="Yes",COUNTIF(Reference!P$52:P$67,$K138),"")</f>
        <v>1</v>
      </c>
      <c r="Y138" s="93">
        <f>IF($B138="Yes",COUNTIF(Reference!Q$52:Q$67,$K138),"")</f>
        <v>0</v>
      </c>
      <c r="Z138" s="93">
        <f>IF($B138="Yes",COUNTIF(Reference!R$52:R$67,$K138),"")</f>
        <v>1</v>
      </c>
      <c r="AA138" s="93">
        <f>IF($B138="Yes",COUNTIF(Reference!S$52:S$67,$K138),"")</f>
        <v>0</v>
      </c>
      <c r="AB138" s="93">
        <f>IF($B138="Yes",COUNTIF(Reference!T$52:T$67,$K138),"")</f>
        <v>0</v>
      </c>
      <c r="AC138" s="93">
        <f t="shared" si="5"/>
        <v>0</v>
      </c>
    </row>
    <row r="139" spans="1:29" x14ac:dyDescent="0.25">
      <c r="A139" s="95">
        <v>229</v>
      </c>
      <c r="B139" s="95" t="str">
        <f t="shared" ref="B139:B202" si="6">IF(COUNTBLANK(J139:M139)=0,"Yes","No")</f>
        <v>Yes</v>
      </c>
      <c r="H139" s="95" t="str">
        <f t="shared" ref="H139:H202" si="7">IF(J139="","",$A$1&amp;"-"&amp;A139)</f>
        <v>PL2-229</v>
      </c>
      <c r="I139" s="111"/>
      <c r="J139" s="112" t="s">
        <v>94</v>
      </c>
      <c r="K139" s="112" t="s">
        <v>428</v>
      </c>
      <c r="L139" s="112" t="s">
        <v>13</v>
      </c>
      <c r="M139" s="112" t="s">
        <v>809</v>
      </c>
      <c r="N139" s="112"/>
      <c r="O139" s="112">
        <v>60</v>
      </c>
      <c r="P139" s="112"/>
      <c r="Q139" s="112"/>
      <c r="R139" s="112"/>
      <c r="S139" s="111"/>
      <c r="T139" s="93"/>
      <c r="U139" s="93"/>
      <c r="V139" s="93"/>
      <c r="W139" s="93"/>
      <c r="X139" s="93">
        <f>IF($B139="Yes",COUNTIF(Reference!P$52:P$67,$K139),"")</f>
        <v>0</v>
      </c>
      <c r="Y139" s="93">
        <f>IF($B139="Yes",COUNTIF(Reference!Q$52:Q$67,$K139),"")</f>
        <v>0</v>
      </c>
      <c r="Z139" s="93">
        <f>IF($B139="Yes",COUNTIF(Reference!R$52:R$67,$K139),"")</f>
        <v>0</v>
      </c>
      <c r="AA139" s="93">
        <f>IF($B139="Yes",COUNTIF(Reference!S$52:S$67,$K139),"")</f>
        <v>1</v>
      </c>
      <c r="AB139" s="93">
        <f>IF($B139="Yes",COUNTIF(Reference!T$52:T$67,$K139),"")</f>
        <v>1</v>
      </c>
      <c r="AC139" s="93">
        <f t="shared" ref="AC139:AC202" si="8">IF($B139="Yes",COUNTIF(K139,"N"),"")</f>
        <v>0</v>
      </c>
    </row>
    <row r="140" spans="1:29" x14ac:dyDescent="0.25">
      <c r="A140" s="95">
        <v>230</v>
      </c>
      <c r="B140" s="95" t="str">
        <f t="shared" si="6"/>
        <v>Yes</v>
      </c>
      <c r="H140" s="95" t="str">
        <f t="shared" si="7"/>
        <v>PL2-230</v>
      </c>
      <c r="I140" s="111"/>
      <c r="J140" s="112" t="s">
        <v>95</v>
      </c>
      <c r="K140" s="112" t="s">
        <v>428</v>
      </c>
      <c r="L140" s="112" t="s">
        <v>13</v>
      </c>
      <c r="M140" s="112" t="s">
        <v>807</v>
      </c>
      <c r="N140" s="112"/>
      <c r="O140" s="112">
        <v>60</v>
      </c>
      <c r="P140" s="112"/>
      <c r="Q140" s="112"/>
      <c r="R140" s="112"/>
      <c r="S140" s="111"/>
      <c r="T140" s="93"/>
      <c r="U140" s="93"/>
      <c r="V140" s="93"/>
      <c r="W140" s="93"/>
      <c r="X140" s="93">
        <f>IF($B140="Yes",COUNTIF(Reference!P$52:P$67,$K140),"")</f>
        <v>0</v>
      </c>
      <c r="Y140" s="93">
        <f>IF($B140="Yes",COUNTIF(Reference!Q$52:Q$67,$K140),"")</f>
        <v>0</v>
      </c>
      <c r="Z140" s="93">
        <f>IF($B140="Yes",COUNTIF(Reference!R$52:R$67,$K140),"")</f>
        <v>0</v>
      </c>
      <c r="AA140" s="93">
        <f>IF($B140="Yes",COUNTIF(Reference!S$52:S$67,$K140),"")</f>
        <v>1</v>
      </c>
      <c r="AB140" s="93">
        <f>IF($B140="Yes",COUNTIF(Reference!T$52:T$67,$K140),"")</f>
        <v>1</v>
      </c>
      <c r="AC140" s="93">
        <f t="shared" si="8"/>
        <v>0</v>
      </c>
    </row>
    <row r="141" spans="1:29" x14ac:dyDescent="0.25">
      <c r="A141" s="95">
        <v>231</v>
      </c>
      <c r="B141" s="95" t="str">
        <f t="shared" si="6"/>
        <v>Yes</v>
      </c>
      <c r="H141" s="95" t="str">
        <f t="shared" si="7"/>
        <v>PL2-231</v>
      </c>
      <c r="I141" s="111"/>
      <c r="J141" s="112" t="s">
        <v>96</v>
      </c>
      <c r="K141" s="112" t="s">
        <v>4</v>
      </c>
      <c r="L141" s="112" t="s">
        <v>13</v>
      </c>
      <c r="M141" s="112" t="s">
        <v>808</v>
      </c>
      <c r="N141" s="112"/>
      <c r="O141" s="112">
        <v>60</v>
      </c>
      <c r="P141" s="112"/>
      <c r="Q141" s="112"/>
      <c r="R141" s="112"/>
      <c r="S141" s="111"/>
      <c r="T141" s="93"/>
      <c r="U141" s="93"/>
      <c r="V141" s="93"/>
      <c r="W141" s="93"/>
      <c r="X141" s="93">
        <f>IF($B141="Yes",COUNTIF(Reference!P$52:P$67,$K141),"")</f>
        <v>0</v>
      </c>
      <c r="Y141" s="93">
        <f>IF($B141="Yes",COUNTIF(Reference!Q$52:Q$67,$K141),"")</f>
        <v>1</v>
      </c>
      <c r="Z141" s="93">
        <f>IF($B141="Yes",COUNTIF(Reference!R$52:R$67,$K141),"")</f>
        <v>0</v>
      </c>
      <c r="AA141" s="93">
        <f>IF($B141="Yes",COUNTIF(Reference!S$52:S$67,$K141),"")</f>
        <v>0</v>
      </c>
      <c r="AB141" s="93">
        <f>IF($B141="Yes",COUNTIF(Reference!T$52:T$67,$K141),"")</f>
        <v>0</v>
      </c>
      <c r="AC141" s="93">
        <f t="shared" si="8"/>
        <v>0</v>
      </c>
    </row>
    <row r="142" spans="1:29" x14ac:dyDescent="0.25">
      <c r="A142" s="95">
        <v>232</v>
      </c>
      <c r="B142" s="95" t="str">
        <f t="shared" si="6"/>
        <v>Yes</v>
      </c>
      <c r="H142" s="95" t="str">
        <f t="shared" si="7"/>
        <v>PL2-232</v>
      </c>
      <c r="I142" s="111"/>
      <c r="J142" s="112" t="s">
        <v>963</v>
      </c>
      <c r="K142" s="112" t="s">
        <v>440</v>
      </c>
      <c r="L142" s="112" t="s">
        <v>14</v>
      </c>
      <c r="M142" s="112" t="s">
        <v>809</v>
      </c>
      <c r="N142" s="112"/>
      <c r="O142" s="112">
        <v>60</v>
      </c>
      <c r="P142" s="112"/>
      <c r="Q142" s="112"/>
      <c r="R142" s="112"/>
      <c r="S142" s="111"/>
      <c r="T142" s="93"/>
      <c r="U142" s="93"/>
      <c r="V142" s="93"/>
      <c r="W142" s="93"/>
      <c r="X142" s="93">
        <f>IF($B142="Yes",COUNTIF(Reference!P$52:P$67,$K142),"")</f>
        <v>1</v>
      </c>
      <c r="Y142" s="93">
        <f>IF($B142="Yes",COUNTIF(Reference!Q$52:Q$67,$K142),"")</f>
        <v>0</v>
      </c>
      <c r="Z142" s="93">
        <f>IF($B142="Yes",COUNTIF(Reference!R$52:R$67,$K142),"")</f>
        <v>0</v>
      </c>
      <c r="AA142" s="93">
        <f>IF($B142="Yes",COUNTIF(Reference!S$52:S$67,$K142),"")</f>
        <v>1</v>
      </c>
      <c r="AB142" s="93">
        <f>IF($B142="Yes",COUNTIF(Reference!T$52:T$67,$K142),"")</f>
        <v>0</v>
      </c>
      <c r="AC142" s="93">
        <f t="shared" si="8"/>
        <v>0</v>
      </c>
    </row>
    <row r="143" spans="1:29" x14ac:dyDescent="0.25">
      <c r="A143" s="95">
        <v>233</v>
      </c>
      <c r="B143" s="95" t="str">
        <f t="shared" si="6"/>
        <v>Yes</v>
      </c>
      <c r="H143" s="95" t="str">
        <f t="shared" si="7"/>
        <v>PL2-233</v>
      </c>
      <c r="I143" s="111"/>
      <c r="J143" s="112" t="s">
        <v>97</v>
      </c>
      <c r="K143" s="112" t="s">
        <v>8</v>
      </c>
      <c r="L143" s="112" t="s">
        <v>14</v>
      </c>
      <c r="M143" s="112" t="s">
        <v>809</v>
      </c>
      <c r="N143" s="112"/>
      <c r="O143" s="112">
        <v>60</v>
      </c>
      <c r="P143" s="112"/>
      <c r="Q143" s="112"/>
      <c r="R143" s="112"/>
      <c r="S143" s="111"/>
      <c r="T143" s="93"/>
      <c r="U143" s="93"/>
      <c r="V143" s="93"/>
      <c r="W143" s="93"/>
      <c r="X143" s="93">
        <f>IF($B143="Yes",COUNTIF(Reference!P$52:P$67,$K143),"")</f>
        <v>0</v>
      </c>
      <c r="Y143" s="93">
        <f>IF($B143="Yes",COUNTIF(Reference!Q$52:Q$67,$K143),"")</f>
        <v>0</v>
      </c>
      <c r="Z143" s="93">
        <f>IF($B143="Yes",COUNTIF(Reference!R$52:R$67,$K143),"")</f>
        <v>0</v>
      </c>
      <c r="AA143" s="93">
        <f>IF($B143="Yes",COUNTIF(Reference!S$52:S$67,$K143),"")</f>
        <v>0</v>
      </c>
      <c r="AB143" s="93">
        <f>IF($B143="Yes",COUNTIF(Reference!T$52:T$67,$K143),"")</f>
        <v>0</v>
      </c>
      <c r="AC143" s="93">
        <f t="shared" si="8"/>
        <v>1</v>
      </c>
    </row>
    <row r="144" spans="1:29" x14ac:dyDescent="0.25">
      <c r="A144" s="95">
        <v>234</v>
      </c>
      <c r="B144" s="95" t="str">
        <f t="shared" si="6"/>
        <v>Yes</v>
      </c>
      <c r="H144" s="95" t="str">
        <f t="shared" si="7"/>
        <v>PL2-234</v>
      </c>
      <c r="I144" s="111"/>
      <c r="J144" s="112" t="s">
        <v>964</v>
      </c>
      <c r="K144" s="112" t="s">
        <v>418</v>
      </c>
      <c r="L144" s="112" t="s">
        <v>13</v>
      </c>
      <c r="M144" s="112" t="s">
        <v>807</v>
      </c>
      <c r="N144" s="112"/>
      <c r="O144" s="112">
        <v>60</v>
      </c>
      <c r="P144" s="112"/>
      <c r="Q144" s="112"/>
      <c r="R144" s="112"/>
      <c r="S144" s="111"/>
      <c r="T144" s="93"/>
      <c r="U144" s="93"/>
      <c r="V144" s="93"/>
      <c r="W144" s="93"/>
      <c r="X144" s="93">
        <f>IF($B144="Yes",COUNTIF(Reference!P$52:P$67,$K144),"")</f>
        <v>0</v>
      </c>
      <c r="Y144" s="93">
        <f>IF($B144="Yes",COUNTIF(Reference!Q$52:Q$67,$K144),"")</f>
        <v>1</v>
      </c>
      <c r="Z144" s="93">
        <f>IF($B144="Yes",COUNTIF(Reference!R$52:R$67,$K144),"")</f>
        <v>1</v>
      </c>
      <c r="AA144" s="93">
        <f>IF($B144="Yes",COUNTIF(Reference!S$52:S$67,$K144),"")</f>
        <v>0</v>
      </c>
      <c r="AB144" s="93">
        <f>IF($B144="Yes",COUNTIF(Reference!T$52:T$67,$K144),"")</f>
        <v>0</v>
      </c>
      <c r="AC144" s="93">
        <f t="shared" si="8"/>
        <v>0</v>
      </c>
    </row>
    <row r="145" spans="1:29" x14ac:dyDescent="0.25">
      <c r="A145" s="95">
        <v>235</v>
      </c>
      <c r="B145" s="95" t="str">
        <f t="shared" si="6"/>
        <v>Yes</v>
      </c>
      <c r="H145" s="95" t="str">
        <f t="shared" si="7"/>
        <v>PL2-235</v>
      </c>
      <c r="I145" s="111"/>
      <c r="J145" s="112" t="s">
        <v>98</v>
      </c>
      <c r="K145" s="112" t="s">
        <v>436</v>
      </c>
      <c r="L145" s="112" t="s">
        <v>13</v>
      </c>
      <c r="M145" s="112" t="s">
        <v>807</v>
      </c>
      <c r="N145" s="112"/>
      <c r="O145" s="112">
        <v>60</v>
      </c>
      <c r="P145" s="112"/>
      <c r="Q145" s="112"/>
      <c r="R145" s="112"/>
      <c r="S145" s="111"/>
      <c r="T145" s="93"/>
      <c r="U145" s="93"/>
      <c r="V145" s="93"/>
      <c r="W145" s="93"/>
      <c r="X145" s="93">
        <f>IF($B145="Yes",COUNTIF(Reference!P$52:P$67,$K145),"")</f>
        <v>1</v>
      </c>
      <c r="Y145" s="93">
        <f>IF($B145="Yes",COUNTIF(Reference!Q$52:Q$67,$K145),"")</f>
        <v>0</v>
      </c>
      <c r="Z145" s="93">
        <f>IF($B145="Yes",COUNTIF(Reference!R$52:R$67,$K145),"")</f>
        <v>0</v>
      </c>
      <c r="AA145" s="93">
        <f>IF($B145="Yes",COUNTIF(Reference!S$52:S$67,$K145),"")</f>
        <v>0</v>
      </c>
      <c r="AB145" s="93">
        <f>IF($B145="Yes",COUNTIF(Reference!T$52:T$67,$K145),"")</f>
        <v>1</v>
      </c>
      <c r="AC145" s="93">
        <f t="shared" si="8"/>
        <v>0</v>
      </c>
    </row>
    <row r="146" spans="1:29" x14ac:dyDescent="0.25">
      <c r="A146" s="95">
        <v>236</v>
      </c>
      <c r="B146" s="95" t="str">
        <f t="shared" si="6"/>
        <v>Yes</v>
      </c>
      <c r="H146" s="95" t="str">
        <f t="shared" si="7"/>
        <v>PL2-236</v>
      </c>
      <c r="I146" s="111"/>
      <c r="J146" s="112" t="s">
        <v>99</v>
      </c>
      <c r="K146" s="112" t="s">
        <v>4</v>
      </c>
      <c r="L146" s="112" t="s">
        <v>14</v>
      </c>
      <c r="M146" s="112" t="s">
        <v>809</v>
      </c>
      <c r="N146" s="112"/>
      <c r="O146" s="112">
        <v>60</v>
      </c>
      <c r="P146" s="112" t="s">
        <v>965</v>
      </c>
      <c r="Q146" s="112"/>
      <c r="R146" s="112"/>
      <c r="S146" s="111"/>
      <c r="T146" s="93"/>
      <c r="U146" s="93"/>
      <c r="V146" s="93"/>
      <c r="W146" s="93"/>
      <c r="X146" s="93">
        <f>IF($B146="Yes",COUNTIF(Reference!P$52:P$67,$K146),"")</f>
        <v>0</v>
      </c>
      <c r="Y146" s="93">
        <f>IF($B146="Yes",COUNTIF(Reference!Q$52:Q$67,$K146),"")</f>
        <v>1</v>
      </c>
      <c r="Z146" s="93">
        <f>IF($B146="Yes",COUNTIF(Reference!R$52:R$67,$K146),"")</f>
        <v>0</v>
      </c>
      <c r="AA146" s="93">
        <f>IF($B146="Yes",COUNTIF(Reference!S$52:S$67,$K146),"")</f>
        <v>0</v>
      </c>
      <c r="AB146" s="93">
        <f>IF($B146="Yes",COUNTIF(Reference!T$52:T$67,$K146),"")</f>
        <v>0</v>
      </c>
      <c r="AC146" s="93">
        <f t="shared" si="8"/>
        <v>0</v>
      </c>
    </row>
    <row r="147" spans="1:29" x14ac:dyDescent="0.25">
      <c r="A147" s="95">
        <v>237</v>
      </c>
      <c r="B147" s="95" t="str">
        <f t="shared" si="6"/>
        <v>Yes</v>
      </c>
      <c r="H147" s="95" t="str">
        <f t="shared" si="7"/>
        <v>PL2-237</v>
      </c>
      <c r="I147" s="111"/>
      <c r="J147" s="112" t="s">
        <v>100</v>
      </c>
      <c r="K147" s="112" t="s">
        <v>420</v>
      </c>
      <c r="L147" s="112" t="s">
        <v>14</v>
      </c>
      <c r="M147" s="112" t="s">
        <v>5</v>
      </c>
      <c r="N147" s="112"/>
      <c r="O147" s="112">
        <v>60</v>
      </c>
      <c r="P147" s="112" t="s">
        <v>101</v>
      </c>
      <c r="Q147" s="112"/>
      <c r="R147" s="112"/>
      <c r="S147" s="111"/>
      <c r="T147" s="93"/>
      <c r="U147" s="93"/>
      <c r="V147" s="93"/>
      <c r="W147" s="93"/>
      <c r="X147" s="93">
        <f>IF($B147="Yes",COUNTIF(Reference!P$52:P$67,$K147),"")</f>
        <v>0</v>
      </c>
      <c r="Y147" s="93">
        <f>IF($B147="Yes",COUNTIF(Reference!Q$52:Q$67,$K147),"")</f>
        <v>0</v>
      </c>
      <c r="Z147" s="93">
        <f>IF($B147="Yes",COUNTIF(Reference!R$52:R$67,$K147),"")</f>
        <v>1</v>
      </c>
      <c r="AA147" s="93">
        <f>IF($B147="Yes",COUNTIF(Reference!S$52:S$67,$K147),"")</f>
        <v>1</v>
      </c>
      <c r="AB147" s="93">
        <f>IF($B147="Yes",COUNTIF(Reference!T$52:T$67,$K147),"")</f>
        <v>0</v>
      </c>
      <c r="AC147" s="93">
        <f t="shared" si="8"/>
        <v>0</v>
      </c>
    </row>
    <row r="148" spans="1:29" x14ac:dyDescent="0.25">
      <c r="A148" s="95">
        <v>238</v>
      </c>
      <c r="B148" s="95" t="str">
        <f t="shared" si="6"/>
        <v>Yes</v>
      </c>
      <c r="H148" s="95" t="str">
        <f t="shared" si="7"/>
        <v>PL2-238</v>
      </c>
      <c r="I148" s="111"/>
      <c r="J148" s="112" t="s">
        <v>966</v>
      </c>
      <c r="K148" s="112" t="s">
        <v>418</v>
      </c>
      <c r="L148" s="112" t="s">
        <v>14</v>
      </c>
      <c r="M148" s="112" t="s">
        <v>809</v>
      </c>
      <c r="N148" s="112"/>
      <c r="O148" s="112">
        <v>60</v>
      </c>
      <c r="P148" s="112"/>
      <c r="Q148" s="112"/>
      <c r="R148" s="112"/>
      <c r="S148" s="111"/>
      <c r="T148" s="93"/>
      <c r="U148" s="93"/>
      <c r="V148" s="93"/>
      <c r="W148" s="93"/>
      <c r="X148" s="93">
        <f>IF($B148="Yes",COUNTIF(Reference!P$52:P$67,$K148),"")</f>
        <v>0</v>
      </c>
      <c r="Y148" s="93">
        <f>IF($B148="Yes",COUNTIF(Reference!Q$52:Q$67,$K148),"")</f>
        <v>1</v>
      </c>
      <c r="Z148" s="93">
        <f>IF($B148="Yes",COUNTIF(Reference!R$52:R$67,$K148),"")</f>
        <v>1</v>
      </c>
      <c r="AA148" s="93">
        <f>IF($B148="Yes",COUNTIF(Reference!S$52:S$67,$K148),"")</f>
        <v>0</v>
      </c>
      <c r="AB148" s="93">
        <f>IF($B148="Yes",COUNTIF(Reference!T$52:T$67,$K148),"")</f>
        <v>0</v>
      </c>
      <c r="AC148" s="93">
        <f t="shared" si="8"/>
        <v>0</v>
      </c>
    </row>
    <row r="149" spans="1:29" x14ac:dyDescent="0.25">
      <c r="A149" s="95">
        <v>239</v>
      </c>
      <c r="B149" s="95" t="str">
        <f t="shared" si="6"/>
        <v>Yes</v>
      </c>
      <c r="H149" s="95" t="str">
        <f t="shared" si="7"/>
        <v>PL2-239</v>
      </c>
      <c r="I149" s="111"/>
      <c r="J149" s="112" t="s">
        <v>103</v>
      </c>
      <c r="K149" s="112" t="s">
        <v>459</v>
      </c>
      <c r="L149" s="112" t="s">
        <v>13</v>
      </c>
      <c r="M149" s="112" t="s">
        <v>807</v>
      </c>
      <c r="N149" s="112"/>
      <c r="O149" s="112">
        <v>60</v>
      </c>
      <c r="P149" s="112"/>
      <c r="Q149" s="112"/>
      <c r="R149" s="112"/>
      <c r="S149" s="111"/>
      <c r="T149" s="93"/>
      <c r="U149" s="93"/>
      <c r="V149" s="93"/>
      <c r="W149" s="93"/>
      <c r="X149" s="93">
        <f>IF($B149="Yes",COUNTIF(Reference!P$52:P$67,$K149),"")</f>
        <v>1</v>
      </c>
      <c r="Y149" s="93">
        <f>IF($B149="Yes",COUNTIF(Reference!Q$52:Q$67,$K149),"")</f>
        <v>1</v>
      </c>
      <c r="Z149" s="93">
        <f>IF($B149="Yes",COUNTIF(Reference!R$52:R$67,$K149),"")</f>
        <v>1</v>
      </c>
      <c r="AA149" s="93">
        <f>IF($B149="Yes",COUNTIF(Reference!S$52:S$67,$K149),"")</f>
        <v>1</v>
      </c>
      <c r="AB149" s="93">
        <f>IF($B149="Yes",COUNTIF(Reference!T$52:T$67,$K149),"")</f>
        <v>1</v>
      </c>
      <c r="AC149" s="93">
        <f t="shared" si="8"/>
        <v>0</v>
      </c>
    </row>
    <row r="150" spans="1:29" x14ac:dyDescent="0.25">
      <c r="A150" s="95">
        <v>240</v>
      </c>
      <c r="B150" s="95" t="str">
        <f t="shared" si="6"/>
        <v>Yes</v>
      </c>
      <c r="H150" s="95" t="str">
        <f t="shared" si="7"/>
        <v>PL2-240</v>
      </c>
      <c r="I150" s="111"/>
      <c r="J150" s="112" t="s">
        <v>104</v>
      </c>
      <c r="K150" s="112" t="s">
        <v>459</v>
      </c>
      <c r="L150" s="112" t="s">
        <v>13</v>
      </c>
      <c r="M150" s="112" t="s">
        <v>809</v>
      </c>
      <c r="N150" s="112"/>
      <c r="O150" s="112">
        <v>65</v>
      </c>
      <c r="P150" s="112"/>
      <c r="Q150" s="112"/>
      <c r="R150" s="112"/>
      <c r="S150" s="111"/>
      <c r="T150" s="93"/>
      <c r="U150" s="93"/>
      <c r="V150" s="93"/>
      <c r="W150" s="93"/>
      <c r="X150" s="93">
        <f>IF($B150="Yes",COUNTIF(Reference!P$52:P$67,$K150),"")</f>
        <v>1</v>
      </c>
      <c r="Y150" s="93">
        <f>IF($B150="Yes",COUNTIF(Reference!Q$52:Q$67,$K150),"")</f>
        <v>1</v>
      </c>
      <c r="Z150" s="93">
        <f>IF($B150="Yes",COUNTIF(Reference!R$52:R$67,$K150),"")</f>
        <v>1</v>
      </c>
      <c r="AA150" s="93">
        <f>IF($B150="Yes",COUNTIF(Reference!S$52:S$67,$K150),"")</f>
        <v>1</v>
      </c>
      <c r="AB150" s="93">
        <f>IF($B150="Yes",COUNTIF(Reference!T$52:T$67,$K150),"")</f>
        <v>1</v>
      </c>
      <c r="AC150" s="93">
        <f t="shared" si="8"/>
        <v>0</v>
      </c>
    </row>
    <row r="151" spans="1:29" x14ac:dyDescent="0.25">
      <c r="A151" s="95">
        <v>241</v>
      </c>
      <c r="B151" s="95" t="str">
        <f t="shared" si="6"/>
        <v>Yes</v>
      </c>
      <c r="H151" s="95" t="str">
        <f t="shared" si="7"/>
        <v>PL2-241</v>
      </c>
      <c r="I151" s="111"/>
      <c r="J151" s="112" t="s">
        <v>105</v>
      </c>
      <c r="K151" s="112" t="s">
        <v>459</v>
      </c>
      <c r="L151" s="112" t="s">
        <v>13</v>
      </c>
      <c r="M151" s="112" t="s">
        <v>5</v>
      </c>
      <c r="N151" s="112"/>
      <c r="O151" s="112">
        <v>65</v>
      </c>
      <c r="P151" s="112"/>
      <c r="Q151" s="112"/>
      <c r="R151" s="112"/>
      <c r="S151" s="111"/>
      <c r="T151" s="93"/>
      <c r="U151" s="93"/>
      <c r="V151" s="93"/>
      <c r="W151" s="93"/>
      <c r="X151" s="93">
        <f>IF($B151="Yes",COUNTIF(Reference!P$52:P$67,$K151),"")</f>
        <v>1</v>
      </c>
      <c r="Y151" s="93">
        <f>IF($B151="Yes",COUNTIF(Reference!Q$52:Q$67,$K151),"")</f>
        <v>1</v>
      </c>
      <c r="Z151" s="93">
        <f>IF($B151="Yes",COUNTIF(Reference!R$52:R$67,$K151),"")</f>
        <v>1</v>
      </c>
      <c r="AA151" s="93">
        <f>IF($B151="Yes",COUNTIF(Reference!S$52:S$67,$K151),"")</f>
        <v>1</v>
      </c>
      <c r="AB151" s="93">
        <f>IF($B151="Yes",COUNTIF(Reference!T$52:T$67,$K151),"")</f>
        <v>1</v>
      </c>
      <c r="AC151" s="93">
        <f t="shared" si="8"/>
        <v>0</v>
      </c>
    </row>
    <row r="152" spans="1:29" x14ac:dyDescent="0.25">
      <c r="A152" s="95">
        <v>242</v>
      </c>
      <c r="B152" s="95" t="str">
        <f t="shared" si="6"/>
        <v>Yes</v>
      </c>
      <c r="H152" s="95" t="str">
        <f t="shared" si="7"/>
        <v>PL2-242</v>
      </c>
      <c r="I152" s="111"/>
      <c r="J152" s="112" t="s">
        <v>1188</v>
      </c>
      <c r="K152" s="112" t="s">
        <v>420</v>
      </c>
      <c r="L152" s="112" t="s">
        <v>14</v>
      </c>
      <c r="M152" s="112" t="s">
        <v>5</v>
      </c>
      <c r="N152" s="112"/>
      <c r="O152" s="112">
        <v>60</v>
      </c>
      <c r="P152" s="112"/>
      <c r="Q152" s="112"/>
      <c r="R152" s="112"/>
      <c r="S152" s="111"/>
      <c r="T152" s="93"/>
      <c r="U152" s="93"/>
      <c r="V152" s="93"/>
      <c r="W152" s="93"/>
      <c r="X152" s="93">
        <f>IF($B152="Yes",COUNTIF(Reference!P$52:P$67,$K152),"")</f>
        <v>0</v>
      </c>
      <c r="Y152" s="93">
        <f>IF($B152="Yes",COUNTIF(Reference!Q$52:Q$67,$K152),"")</f>
        <v>0</v>
      </c>
      <c r="Z152" s="93">
        <f>IF($B152="Yes",COUNTIF(Reference!R$52:R$67,$K152),"")</f>
        <v>1</v>
      </c>
      <c r="AA152" s="93">
        <f>IF($B152="Yes",COUNTIF(Reference!S$52:S$67,$K152),"")</f>
        <v>1</v>
      </c>
      <c r="AB152" s="93">
        <f>IF($B152="Yes",COUNTIF(Reference!T$52:T$67,$K152),"")</f>
        <v>0</v>
      </c>
      <c r="AC152" s="93">
        <f t="shared" si="8"/>
        <v>0</v>
      </c>
    </row>
    <row r="153" spans="1:29" x14ac:dyDescent="0.25">
      <c r="A153" s="95">
        <v>243</v>
      </c>
      <c r="B153" s="95" t="str">
        <f t="shared" si="6"/>
        <v>Yes</v>
      </c>
      <c r="H153" s="95" t="str">
        <f t="shared" si="7"/>
        <v>PL2-243</v>
      </c>
      <c r="I153" s="111"/>
      <c r="J153" s="112" t="s">
        <v>106</v>
      </c>
      <c r="K153" s="112" t="s">
        <v>4</v>
      </c>
      <c r="L153" s="112" t="s">
        <v>13</v>
      </c>
      <c r="M153" s="112" t="s">
        <v>809</v>
      </c>
      <c r="N153" s="112"/>
      <c r="O153" s="112">
        <v>60</v>
      </c>
      <c r="P153" s="112"/>
      <c r="Q153" s="112"/>
      <c r="R153" s="112"/>
      <c r="S153" s="111"/>
      <c r="T153" s="93"/>
      <c r="U153" s="93"/>
      <c r="V153" s="93"/>
      <c r="W153" s="93"/>
      <c r="X153" s="93">
        <f>IF($B153="Yes",COUNTIF(Reference!P$52:P$67,$K153),"")</f>
        <v>0</v>
      </c>
      <c r="Y153" s="93">
        <f>IF($B153="Yes",COUNTIF(Reference!Q$52:Q$67,$K153),"")</f>
        <v>1</v>
      </c>
      <c r="Z153" s="93">
        <f>IF($B153="Yes",COUNTIF(Reference!R$52:R$67,$K153),"")</f>
        <v>0</v>
      </c>
      <c r="AA153" s="93">
        <f>IF($B153="Yes",COUNTIF(Reference!S$52:S$67,$K153),"")</f>
        <v>0</v>
      </c>
      <c r="AB153" s="93">
        <f>IF($B153="Yes",COUNTIF(Reference!T$52:T$67,$K153),"")</f>
        <v>0</v>
      </c>
      <c r="AC153" s="93">
        <f t="shared" si="8"/>
        <v>0</v>
      </c>
    </row>
    <row r="154" spans="1:29" x14ac:dyDescent="0.25">
      <c r="A154" s="95">
        <v>244</v>
      </c>
      <c r="B154" s="95" t="str">
        <f t="shared" si="6"/>
        <v>Yes</v>
      </c>
      <c r="H154" s="95" t="str">
        <f t="shared" si="7"/>
        <v>PL2-244</v>
      </c>
      <c r="I154" s="111"/>
      <c r="J154" s="112" t="s">
        <v>967</v>
      </c>
      <c r="K154" s="112" t="s">
        <v>440</v>
      </c>
      <c r="L154" s="112" t="s">
        <v>14</v>
      </c>
      <c r="M154" s="112" t="s">
        <v>807</v>
      </c>
      <c r="N154" s="112"/>
      <c r="O154" s="112">
        <v>60</v>
      </c>
      <c r="P154" s="112"/>
      <c r="Q154" s="112"/>
      <c r="R154" s="112"/>
      <c r="S154" s="111"/>
      <c r="T154" s="93"/>
      <c r="U154" s="93"/>
      <c r="V154" s="93"/>
      <c r="W154" s="93"/>
      <c r="X154" s="93">
        <f>IF($B154="Yes",COUNTIF(Reference!P$52:P$67,$K154),"")</f>
        <v>1</v>
      </c>
      <c r="Y154" s="93">
        <f>IF($B154="Yes",COUNTIF(Reference!Q$52:Q$67,$K154),"")</f>
        <v>0</v>
      </c>
      <c r="Z154" s="93">
        <f>IF($B154="Yes",COUNTIF(Reference!R$52:R$67,$K154),"")</f>
        <v>0</v>
      </c>
      <c r="AA154" s="93">
        <f>IF($B154="Yes",COUNTIF(Reference!S$52:S$67,$K154),"")</f>
        <v>1</v>
      </c>
      <c r="AB154" s="93">
        <f>IF($B154="Yes",COUNTIF(Reference!T$52:T$67,$K154),"")</f>
        <v>0</v>
      </c>
      <c r="AC154" s="93">
        <f t="shared" si="8"/>
        <v>0</v>
      </c>
    </row>
    <row r="155" spans="1:29" x14ac:dyDescent="0.25">
      <c r="A155" s="95">
        <v>245</v>
      </c>
      <c r="B155" s="95" t="str">
        <f t="shared" si="6"/>
        <v>Yes</v>
      </c>
      <c r="H155" s="95" t="str">
        <f t="shared" si="7"/>
        <v>PL2-245</v>
      </c>
      <c r="I155" s="111"/>
      <c r="J155" s="112" t="s">
        <v>107</v>
      </c>
      <c r="K155" s="112" t="s">
        <v>434</v>
      </c>
      <c r="L155" s="112" t="s">
        <v>14</v>
      </c>
      <c r="M155" s="112" t="s">
        <v>809</v>
      </c>
      <c r="N155" s="112"/>
      <c r="O155" s="112">
        <v>60</v>
      </c>
      <c r="P155" s="112" t="s">
        <v>968</v>
      </c>
      <c r="Q155" s="112"/>
      <c r="R155" s="112"/>
      <c r="S155" s="111"/>
      <c r="T155" s="93"/>
      <c r="U155" s="93"/>
      <c r="V155" s="93"/>
      <c r="W155" s="93"/>
      <c r="X155" s="93">
        <f>IF($B155="Yes",COUNTIF(Reference!P$52:P$67,$K155),"")</f>
        <v>1</v>
      </c>
      <c r="Y155" s="93">
        <f>IF($B155="Yes",COUNTIF(Reference!Q$52:Q$67,$K155),"")</f>
        <v>1</v>
      </c>
      <c r="Z155" s="93">
        <f>IF($B155="Yes",COUNTIF(Reference!R$52:R$67,$K155),"")</f>
        <v>0</v>
      </c>
      <c r="AA155" s="93">
        <f>IF($B155="Yes",COUNTIF(Reference!S$52:S$67,$K155),"")</f>
        <v>0</v>
      </c>
      <c r="AB155" s="93">
        <f>IF($B155="Yes",COUNTIF(Reference!T$52:T$67,$K155),"")</f>
        <v>0</v>
      </c>
      <c r="AC155" s="93">
        <f t="shared" si="8"/>
        <v>0</v>
      </c>
    </row>
    <row r="156" spans="1:29" x14ac:dyDescent="0.25">
      <c r="A156" s="95">
        <v>246</v>
      </c>
      <c r="B156" s="95" t="str">
        <f t="shared" si="6"/>
        <v>Yes</v>
      </c>
      <c r="H156" s="95" t="str">
        <f t="shared" si="7"/>
        <v>PL2-246</v>
      </c>
      <c r="I156" s="111"/>
      <c r="J156" s="112" t="s">
        <v>37</v>
      </c>
      <c r="K156" s="112" t="s">
        <v>419</v>
      </c>
      <c r="L156" s="112" t="s">
        <v>14</v>
      </c>
      <c r="M156" s="112" t="s">
        <v>809</v>
      </c>
      <c r="N156" s="112"/>
      <c r="O156" s="112">
        <v>60</v>
      </c>
      <c r="P156" s="112" t="s">
        <v>969</v>
      </c>
      <c r="Q156" s="112"/>
      <c r="R156" s="112"/>
      <c r="S156" s="111"/>
      <c r="T156" s="93"/>
      <c r="U156" s="93"/>
      <c r="V156" s="93"/>
      <c r="W156" s="93"/>
      <c r="X156" s="93">
        <f>IF($B156="Yes",COUNTIF(Reference!P$52:P$67,$K156),"")</f>
        <v>0</v>
      </c>
      <c r="Y156" s="93">
        <f>IF($B156="Yes",COUNTIF(Reference!Q$52:Q$67,$K156),"")</f>
        <v>0</v>
      </c>
      <c r="Z156" s="93">
        <f>IF($B156="Yes",COUNTIF(Reference!R$52:R$67,$K156),"")</f>
        <v>1</v>
      </c>
      <c r="AA156" s="93">
        <f>IF($B156="Yes",COUNTIF(Reference!S$52:S$67,$K156),"")</f>
        <v>0</v>
      </c>
      <c r="AB156" s="93">
        <f>IF($B156="Yes",COUNTIF(Reference!T$52:T$67,$K156),"")</f>
        <v>1</v>
      </c>
      <c r="AC156" s="93">
        <f t="shared" si="8"/>
        <v>0</v>
      </c>
    </row>
    <row r="157" spans="1:29" x14ac:dyDescent="0.25">
      <c r="A157" s="95">
        <v>247</v>
      </c>
      <c r="B157" s="95" t="str">
        <f t="shared" si="6"/>
        <v>Yes</v>
      </c>
      <c r="H157" s="95" t="str">
        <f t="shared" si="7"/>
        <v>PL2-247</v>
      </c>
      <c r="I157" s="111"/>
      <c r="J157" s="112" t="s">
        <v>970</v>
      </c>
      <c r="K157" s="112" t="s">
        <v>428</v>
      </c>
      <c r="L157" s="112" t="s">
        <v>13</v>
      </c>
      <c r="M157" s="112" t="s">
        <v>5</v>
      </c>
      <c r="N157" s="112"/>
      <c r="O157" s="112">
        <v>60</v>
      </c>
      <c r="P157" s="112"/>
      <c r="Q157" s="112"/>
      <c r="R157" s="112"/>
      <c r="S157" s="111"/>
      <c r="T157" s="93"/>
      <c r="U157" s="93"/>
      <c r="V157" s="93"/>
      <c r="W157" s="93"/>
      <c r="X157" s="93">
        <f>IF($B157="Yes",COUNTIF(Reference!P$52:P$67,$K157),"")</f>
        <v>0</v>
      </c>
      <c r="Y157" s="93">
        <f>IF($B157="Yes",COUNTIF(Reference!Q$52:Q$67,$K157),"")</f>
        <v>0</v>
      </c>
      <c r="Z157" s="93">
        <f>IF($B157="Yes",COUNTIF(Reference!R$52:R$67,$K157),"")</f>
        <v>0</v>
      </c>
      <c r="AA157" s="93">
        <f>IF($B157="Yes",COUNTIF(Reference!S$52:S$67,$K157),"")</f>
        <v>1</v>
      </c>
      <c r="AB157" s="93">
        <f>IF($B157="Yes",COUNTIF(Reference!T$52:T$67,$K157),"")</f>
        <v>1</v>
      </c>
      <c r="AC157" s="93">
        <f t="shared" si="8"/>
        <v>0</v>
      </c>
    </row>
    <row r="158" spans="1:29" x14ac:dyDescent="0.25">
      <c r="A158" s="95">
        <v>248</v>
      </c>
      <c r="B158" s="95" t="str">
        <f t="shared" si="6"/>
        <v>Yes</v>
      </c>
      <c r="H158" s="95" t="str">
        <f t="shared" si="7"/>
        <v>PL2-248</v>
      </c>
      <c r="I158" s="111"/>
      <c r="J158" s="112" t="s">
        <v>971</v>
      </c>
      <c r="K158" s="112" t="s">
        <v>3</v>
      </c>
      <c r="L158" s="112" t="s">
        <v>14</v>
      </c>
      <c r="M158" s="112" t="s">
        <v>807</v>
      </c>
      <c r="N158" s="112"/>
      <c r="O158" s="112">
        <v>60</v>
      </c>
      <c r="P158" s="112"/>
      <c r="Q158" s="112"/>
      <c r="R158" s="112"/>
      <c r="S158" s="111"/>
      <c r="T158" s="93"/>
      <c r="U158" s="93"/>
      <c r="V158" s="93"/>
      <c r="W158" s="93"/>
      <c r="X158" s="93">
        <f>IF($B158="Yes",COUNTIF(Reference!P$52:P$67,$K158),"")</f>
        <v>1</v>
      </c>
      <c r="Y158" s="93">
        <f>IF($B158="Yes",COUNTIF(Reference!Q$52:Q$67,$K158),"")</f>
        <v>0</v>
      </c>
      <c r="Z158" s="93">
        <f>IF($B158="Yes",COUNTIF(Reference!R$52:R$67,$K158),"")</f>
        <v>0</v>
      </c>
      <c r="AA158" s="93">
        <f>IF($B158="Yes",COUNTIF(Reference!S$52:S$67,$K158),"")</f>
        <v>0</v>
      </c>
      <c r="AB158" s="93">
        <f>IF($B158="Yes",COUNTIF(Reference!T$52:T$67,$K158),"")</f>
        <v>0</v>
      </c>
      <c r="AC158" s="93">
        <f t="shared" si="8"/>
        <v>0</v>
      </c>
    </row>
    <row r="159" spans="1:29" x14ac:dyDescent="0.25">
      <c r="A159" s="95">
        <v>249</v>
      </c>
      <c r="B159" s="95" t="str">
        <f t="shared" si="6"/>
        <v>Yes</v>
      </c>
      <c r="H159" s="95" t="str">
        <f t="shared" si="7"/>
        <v>PL2-249</v>
      </c>
      <c r="I159" s="111"/>
      <c r="J159" s="112" t="s">
        <v>972</v>
      </c>
      <c r="K159" s="112" t="s">
        <v>7</v>
      </c>
      <c r="L159" s="112" t="s">
        <v>14</v>
      </c>
      <c r="M159" s="112" t="s">
        <v>5</v>
      </c>
      <c r="N159" s="112"/>
      <c r="O159" s="112">
        <v>60</v>
      </c>
      <c r="P159" s="112"/>
      <c r="Q159" s="112"/>
      <c r="R159" s="112"/>
      <c r="S159" s="111"/>
      <c r="T159" s="93"/>
      <c r="U159" s="93"/>
      <c r="V159" s="93"/>
      <c r="W159" s="93"/>
      <c r="X159" s="93">
        <f>IF($B159="Yes",COUNTIF(Reference!P$52:P$67,$K159),"")</f>
        <v>0</v>
      </c>
      <c r="Y159" s="93">
        <f>IF($B159="Yes",COUNTIF(Reference!Q$52:Q$67,$K159),"")</f>
        <v>0</v>
      </c>
      <c r="Z159" s="93">
        <f>IF($B159="Yes",COUNTIF(Reference!R$52:R$67,$K159),"")</f>
        <v>0</v>
      </c>
      <c r="AA159" s="93">
        <f>IF($B159="Yes",COUNTIF(Reference!S$52:S$67,$K159),"")</f>
        <v>0</v>
      </c>
      <c r="AB159" s="93">
        <f>IF($B159="Yes",COUNTIF(Reference!T$52:T$67,$K159),"")</f>
        <v>1</v>
      </c>
      <c r="AC159" s="93">
        <f t="shared" si="8"/>
        <v>0</v>
      </c>
    </row>
    <row r="160" spans="1:29" x14ac:dyDescent="0.25">
      <c r="A160" s="95">
        <v>250</v>
      </c>
      <c r="B160" s="95" t="str">
        <f t="shared" si="6"/>
        <v>Yes</v>
      </c>
      <c r="H160" s="95" t="str">
        <f t="shared" si="7"/>
        <v>PL2-250</v>
      </c>
      <c r="I160" s="111"/>
      <c r="J160" s="112" t="s">
        <v>973</v>
      </c>
      <c r="K160" s="112" t="s">
        <v>7</v>
      </c>
      <c r="L160" s="112" t="s">
        <v>13</v>
      </c>
      <c r="M160" s="112" t="s">
        <v>5</v>
      </c>
      <c r="N160" s="112"/>
      <c r="O160" s="112">
        <v>85</v>
      </c>
      <c r="P160" s="112"/>
      <c r="Q160" s="112"/>
      <c r="R160" s="112"/>
      <c r="S160" s="111"/>
      <c r="T160" s="93"/>
      <c r="U160" s="93"/>
      <c r="V160" s="93"/>
      <c r="W160" s="93"/>
      <c r="X160" s="93">
        <f>IF($B160="Yes",COUNTIF(Reference!P$52:P$67,$K160),"")</f>
        <v>0</v>
      </c>
      <c r="Y160" s="93">
        <f>IF($B160="Yes",COUNTIF(Reference!Q$52:Q$67,$K160),"")</f>
        <v>0</v>
      </c>
      <c r="Z160" s="93">
        <f>IF($B160="Yes",COUNTIF(Reference!R$52:R$67,$K160),"")</f>
        <v>0</v>
      </c>
      <c r="AA160" s="93">
        <f>IF($B160="Yes",COUNTIF(Reference!S$52:S$67,$K160),"")</f>
        <v>0</v>
      </c>
      <c r="AB160" s="93">
        <f>IF($B160="Yes",COUNTIF(Reference!T$52:T$67,$K160),"")</f>
        <v>1</v>
      </c>
      <c r="AC160" s="93">
        <f t="shared" si="8"/>
        <v>0</v>
      </c>
    </row>
    <row r="161" spans="1:29" x14ac:dyDescent="0.25">
      <c r="A161" s="95">
        <v>251</v>
      </c>
      <c r="B161" s="95" t="str">
        <f t="shared" si="6"/>
        <v>Yes</v>
      </c>
      <c r="H161" s="95" t="str">
        <f t="shared" si="7"/>
        <v>PL2-251</v>
      </c>
      <c r="I161" s="111"/>
      <c r="J161" s="112" t="s">
        <v>975</v>
      </c>
      <c r="K161" s="112" t="s">
        <v>974</v>
      </c>
      <c r="L161" s="112" t="s">
        <v>14</v>
      </c>
      <c r="M161" s="112" t="s">
        <v>5</v>
      </c>
      <c r="N161" s="112"/>
      <c r="O161" s="112">
        <v>60</v>
      </c>
      <c r="P161" s="112"/>
      <c r="Q161" s="112"/>
      <c r="R161" s="112"/>
      <c r="S161" s="111"/>
      <c r="T161" s="93"/>
      <c r="U161" s="93"/>
      <c r="V161" s="93"/>
      <c r="W161" s="93"/>
      <c r="X161" s="93">
        <f>IF($B161="Yes",COUNTIF(Reference!P$52:P$67,$K161),"")</f>
        <v>0</v>
      </c>
      <c r="Y161" s="93">
        <f>IF($B161="Yes",COUNTIF(Reference!Q$52:Q$67,$K161),"")</f>
        <v>0</v>
      </c>
      <c r="Z161" s="93">
        <f>IF($B161="Yes",COUNTIF(Reference!R$52:R$67,$K161),"")</f>
        <v>0</v>
      </c>
      <c r="AA161" s="93">
        <f>IF($B161="Yes",COUNTIF(Reference!S$52:S$67,$K161),"")</f>
        <v>0</v>
      </c>
      <c r="AB161" s="93">
        <f>IF($B161="Yes",COUNTIF(Reference!T$52:T$67,$K161),"")</f>
        <v>0</v>
      </c>
      <c r="AC161" s="93">
        <f t="shared" si="8"/>
        <v>0</v>
      </c>
    </row>
    <row r="162" spans="1:29" x14ac:dyDescent="0.25">
      <c r="A162" s="95">
        <v>252</v>
      </c>
      <c r="B162" s="95" t="str">
        <f t="shared" si="6"/>
        <v>Yes</v>
      </c>
      <c r="H162" s="95" t="str">
        <f t="shared" si="7"/>
        <v>PL2-252</v>
      </c>
      <c r="I162" s="111"/>
      <c r="J162" s="112" t="s">
        <v>976</v>
      </c>
      <c r="K162" s="112" t="s">
        <v>419</v>
      </c>
      <c r="L162" s="112" t="s">
        <v>14</v>
      </c>
      <c r="M162" s="112" t="s">
        <v>809</v>
      </c>
      <c r="N162" s="112"/>
      <c r="O162" s="112">
        <v>60</v>
      </c>
      <c r="P162" s="112"/>
      <c r="Q162" s="112"/>
      <c r="R162" s="112"/>
      <c r="S162" s="111"/>
      <c r="T162" s="93"/>
      <c r="U162" s="93"/>
      <c r="V162" s="93"/>
      <c r="W162" s="93"/>
      <c r="X162" s="93">
        <f>IF($B162="Yes",COUNTIF(Reference!P$52:P$67,$K162),"")</f>
        <v>0</v>
      </c>
      <c r="Y162" s="93">
        <f>IF($B162="Yes",COUNTIF(Reference!Q$52:Q$67,$K162),"")</f>
        <v>0</v>
      </c>
      <c r="Z162" s="93">
        <f>IF($B162="Yes",COUNTIF(Reference!R$52:R$67,$K162),"")</f>
        <v>1</v>
      </c>
      <c r="AA162" s="93">
        <f>IF($B162="Yes",COUNTIF(Reference!S$52:S$67,$K162),"")</f>
        <v>0</v>
      </c>
      <c r="AB162" s="93">
        <f>IF($B162="Yes",COUNTIF(Reference!T$52:T$67,$K162),"")</f>
        <v>1</v>
      </c>
      <c r="AC162" s="93">
        <f t="shared" si="8"/>
        <v>0</v>
      </c>
    </row>
    <row r="163" spans="1:29" x14ac:dyDescent="0.25">
      <c r="A163" s="95">
        <v>253</v>
      </c>
      <c r="B163" s="95" t="str">
        <f t="shared" si="6"/>
        <v>Yes</v>
      </c>
      <c r="H163" s="95" t="str">
        <f t="shared" si="7"/>
        <v>PL2-253</v>
      </c>
      <c r="I163" s="111"/>
      <c r="J163" s="112" t="s">
        <v>977</v>
      </c>
      <c r="K163" s="112" t="s">
        <v>465</v>
      </c>
      <c r="L163" s="112" t="s">
        <v>14</v>
      </c>
      <c r="M163" s="112" t="s">
        <v>809</v>
      </c>
      <c r="N163" s="112"/>
      <c r="O163" s="112">
        <v>60</v>
      </c>
      <c r="P163" s="112"/>
      <c r="Q163" s="112"/>
      <c r="R163" s="112"/>
      <c r="S163" s="111"/>
      <c r="T163" s="93"/>
      <c r="U163" s="93"/>
      <c r="V163" s="93"/>
      <c r="W163" s="93"/>
      <c r="X163" s="93">
        <f>IF($B163="Yes",COUNTIF(Reference!P$52:P$67,$K163),"")</f>
        <v>1</v>
      </c>
      <c r="Y163" s="93">
        <f>IF($B163="Yes",COUNTIF(Reference!Q$52:Q$67,$K163),"")</f>
        <v>1</v>
      </c>
      <c r="Z163" s="93">
        <f>IF($B163="Yes",COUNTIF(Reference!R$52:R$67,$K163),"")</f>
        <v>0</v>
      </c>
      <c r="AA163" s="93">
        <f>IF($B163="Yes",COUNTIF(Reference!S$52:S$67,$K163),"")</f>
        <v>1</v>
      </c>
      <c r="AB163" s="93">
        <f>IF($B163="Yes",COUNTIF(Reference!T$52:T$67,$K163),"")</f>
        <v>0</v>
      </c>
      <c r="AC163" s="93">
        <f t="shared" si="8"/>
        <v>0</v>
      </c>
    </row>
    <row r="164" spans="1:29" x14ac:dyDescent="0.25">
      <c r="A164" s="95">
        <v>254</v>
      </c>
      <c r="B164" s="95" t="str">
        <f t="shared" si="6"/>
        <v>Yes</v>
      </c>
      <c r="H164" s="95" t="str">
        <f t="shared" si="7"/>
        <v>PL2-254</v>
      </c>
      <c r="I164" s="111"/>
      <c r="J164" s="112" t="s">
        <v>978</v>
      </c>
      <c r="K164" s="112" t="s">
        <v>7</v>
      </c>
      <c r="L164" s="112" t="s">
        <v>13</v>
      </c>
      <c r="M164" s="112" t="s">
        <v>5</v>
      </c>
      <c r="N164" s="112"/>
      <c r="O164" s="112">
        <v>60</v>
      </c>
      <c r="P164" s="112"/>
      <c r="Q164" s="112"/>
      <c r="R164" s="112"/>
      <c r="S164" s="111"/>
      <c r="T164" s="93"/>
      <c r="U164" s="93"/>
      <c r="V164" s="93"/>
      <c r="W164" s="93"/>
      <c r="X164" s="93">
        <f>IF($B164="Yes",COUNTIF(Reference!P$52:P$67,$K164),"")</f>
        <v>0</v>
      </c>
      <c r="Y164" s="93">
        <f>IF($B164="Yes",COUNTIF(Reference!Q$52:Q$67,$K164),"")</f>
        <v>0</v>
      </c>
      <c r="Z164" s="93">
        <f>IF($B164="Yes",COUNTIF(Reference!R$52:R$67,$K164),"")</f>
        <v>0</v>
      </c>
      <c r="AA164" s="93">
        <f>IF($B164="Yes",COUNTIF(Reference!S$52:S$67,$K164),"")</f>
        <v>0</v>
      </c>
      <c r="AB164" s="93">
        <f>IF($B164="Yes",COUNTIF(Reference!T$52:T$67,$K164),"")</f>
        <v>1</v>
      </c>
      <c r="AC164" s="93">
        <f t="shared" si="8"/>
        <v>0</v>
      </c>
    </row>
    <row r="165" spans="1:29" x14ac:dyDescent="0.25">
      <c r="A165" s="95">
        <v>255</v>
      </c>
      <c r="B165" s="95" t="str">
        <f t="shared" si="6"/>
        <v>Yes</v>
      </c>
      <c r="H165" s="95" t="str">
        <f t="shared" si="7"/>
        <v>PL2-255</v>
      </c>
      <c r="I165" s="111"/>
      <c r="J165" s="112" t="s">
        <v>979</v>
      </c>
      <c r="K165" s="112" t="s">
        <v>980</v>
      </c>
      <c r="L165" s="112" t="s">
        <v>14</v>
      </c>
      <c r="M165" s="112" t="s">
        <v>5</v>
      </c>
      <c r="N165" s="112"/>
      <c r="O165" s="112">
        <v>60</v>
      </c>
      <c r="P165" s="112"/>
      <c r="Q165" s="112"/>
      <c r="R165" s="112"/>
      <c r="S165" s="111"/>
      <c r="T165" s="93"/>
      <c r="U165" s="93"/>
      <c r="V165" s="93"/>
      <c r="W165" s="93"/>
      <c r="X165" s="93">
        <f>IF($B165="Yes",COUNTIF(Reference!P$52:P$67,$K165),"")</f>
        <v>0</v>
      </c>
      <c r="Y165" s="93">
        <f>IF($B165="Yes",COUNTIF(Reference!Q$52:Q$67,$K165),"")</f>
        <v>0</v>
      </c>
      <c r="Z165" s="93">
        <f>IF($B165="Yes",COUNTIF(Reference!R$52:R$67,$K165),"")</f>
        <v>0</v>
      </c>
      <c r="AA165" s="93">
        <f>IF($B165="Yes",COUNTIF(Reference!S$52:S$67,$K165),"")</f>
        <v>0</v>
      </c>
      <c r="AB165" s="93">
        <f>IF($B165="Yes",COUNTIF(Reference!T$52:T$67,$K165),"")</f>
        <v>0</v>
      </c>
      <c r="AC165" s="93">
        <f t="shared" si="8"/>
        <v>0</v>
      </c>
    </row>
    <row r="166" spans="1:29" x14ac:dyDescent="0.25">
      <c r="A166" s="95">
        <v>256</v>
      </c>
      <c r="B166" s="95" t="str">
        <f t="shared" si="6"/>
        <v>Yes</v>
      </c>
      <c r="H166" s="95" t="str">
        <f t="shared" si="7"/>
        <v>PL2-256</v>
      </c>
      <c r="I166" s="111"/>
      <c r="J166" s="112" t="s">
        <v>981</v>
      </c>
      <c r="K166" s="112" t="s">
        <v>6</v>
      </c>
      <c r="L166" s="112" t="s">
        <v>13</v>
      </c>
      <c r="M166" s="112" t="s">
        <v>809</v>
      </c>
      <c r="N166" s="112"/>
      <c r="O166" s="112">
        <v>60</v>
      </c>
      <c r="P166" s="112"/>
      <c r="Q166" s="112"/>
      <c r="R166" s="112"/>
      <c r="S166" s="111"/>
      <c r="T166" s="93"/>
      <c r="U166" s="93"/>
      <c r="V166" s="93"/>
      <c r="W166" s="93"/>
      <c r="X166" s="93">
        <f>IF($B166="Yes",COUNTIF(Reference!P$52:P$67,$K166),"")</f>
        <v>0</v>
      </c>
      <c r="Y166" s="93">
        <f>IF($B166="Yes",COUNTIF(Reference!Q$52:Q$67,$K166),"")</f>
        <v>0</v>
      </c>
      <c r="Z166" s="93">
        <f>IF($B166="Yes",COUNTIF(Reference!R$52:R$67,$K166),"")</f>
        <v>0</v>
      </c>
      <c r="AA166" s="93">
        <f>IF($B166="Yes",COUNTIF(Reference!S$52:S$67,$K166),"")</f>
        <v>1</v>
      </c>
      <c r="AB166" s="93">
        <f>IF($B166="Yes",COUNTIF(Reference!T$52:T$67,$K166),"")</f>
        <v>0</v>
      </c>
      <c r="AC166" s="93">
        <f t="shared" si="8"/>
        <v>0</v>
      </c>
    </row>
    <row r="167" spans="1:29" x14ac:dyDescent="0.25">
      <c r="A167" s="95">
        <v>257</v>
      </c>
      <c r="B167" s="95" t="str">
        <f t="shared" si="6"/>
        <v>Yes</v>
      </c>
      <c r="H167" s="95" t="str">
        <f t="shared" si="7"/>
        <v>PL2-257</v>
      </c>
      <c r="I167" s="111"/>
      <c r="J167" s="112" t="s">
        <v>67</v>
      </c>
      <c r="K167" s="112" t="s">
        <v>4</v>
      </c>
      <c r="L167" s="112" t="s">
        <v>13</v>
      </c>
      <c r="M167" s="112" t="s">
        <v>5</v>
      </c>
      <c r="N167" s="112"/>
      <c r="O167" s="112">
        <v>60</v>
      </c>
      <c r="P167" s="112"/>
      <c r="Q167" s="112"/>
      <c r="R167" s="112"/>
      <c r="S167" s="111"/>
      <c r="T167" s="93"/>
      <c r="U167" s="93"/>
      <c r="V167" s="93"/>
      <c r="W167" s="93"/>
      <c r="X167" s="93">
        <f>IF($B167="Yes",COUNTIF(Reference!P$52:P$67,$K167),"")</f>
        <v>0</v>
      </c>
      <c r="Y167" s="93">
        <f>IF($B167="Yes",COUNTIF(Reference!Q$52:Q$67,$K167),"")</f>
        <v>1</v>
      </c>
      <c r="Z167" s="93">
        <f>IF($B167="Yes",COUNTIF(Reference!R$52:R$67,$K167),"")</f>
        <v>0</v>
      </c>
      <c r="AA167" s="93">
        <f>IF($B167="Yes",COUNTIF(Reference!S$52:S$67,$K167),"")</f>
        <v>0</v>
      </c>
      <c r="AB167" s="93">
        <f>IF($B167="Yes",COUNTIF(Reference!T$52:T$67,$K167),"")</f>
        <v>0</v>
      </c>
      <c r="AC167" s="93">
        <f t="shared" si="8"/>
        <v>0</v>
      </c>
    </row>
    <row r="168" spans="1:29" x14ac:dyDescent="0.25">
      <c r="A168" s="95">
        <v>258</v>
      </c>
      <c r="B168" s="95" t="str">
        <f t="shared" si="6"/>
        <v>Yes</v>
      </c>
      <c r="H168" s="95" t="str">
        <f t="shared" si="7"/>
        <v>PL2-258</v>
      </c>
      <c r="I168" s="111"/>
      <c r="J168" s="112" t="s">
        <v>982</v>
      </c>
      <c r="K168" s="112" t="s">
        <v>441</v>
      </c>
      <c r="L168" s="112" t="s">
        <v>14</v>
      </c>
      <c r="M168" s="112" t="s">
        <v>5</v>
      </c>
      <c r="N168" s="112"/>
      <c r="O168" s="112">
        <v>60</v>
      </c>
      <c r="P168" s="112"/>
      <c r="Q168" s="112"/>
      <c r="R168" s="112"/>
      <c r="S168" s="111"/>
      <c r="T168" s="93"/>
      <c r="U168" s="93"/>
      <c r="V168" s="93"/>
      <c r="W168" s="93"/>
      <c r="X168" s="93">
        <f>IF($B168="Yes",COUNTIF(Reference!P$52:P$67,$K168),"")</f>
        <v>0</v>
      </c>
      <c r="Y168" s="93">
        <f>IF($B168="Yes",COUNTIF(Reference!Q$52:Q$67,$K168),"")</f>
        <v>1</v>
      </c>
      <c r="Z168" s="93">
        <f>IF($B168="Yes",COUNTIF(Reference!R$52:R$67,$K168),"")</f>
        <v>0</v>
      </c>
      <c r="AA168" s="93">
        <f>IF($B168="Yes",COUNTIF(Reference!S$52:S$67,$K168),"")</f>
        <v>1</v>
      </c>
      <c r="AB168" s="93">
        <f>IF($B168="Yes",COUNTIF(Reference!T$52:T$67,$K168),"")</f>
        <v>0</v>
      </c>
      <c r="AC168" s="93">
        <f t="shared" si="8"/>
        <v>0</v>
      </c>
    </row>
    <row r="169" spans="1:29" x14ac:dyDescent="0.25">
      <c r="A169" s="95">
        <v>259</v>
      </c>
      <c r="B169" s="95" t="str">
        <f t="shared" si="6"/>
        <v>Yes</v>
      </c>
      <c r="H169" s="95" t="str">
        <f t="shared" si="7"/>
        <v>PL2-259</v>
      </c>
      <c r="I169" s="111"/>
      <c r="J169" s="112" t="s">
        <v>983</v>
      </c>
      <c r="K169" s="112" t="s">
        <v>984</v>
      </c>
      <c r="L169" s="112" t="s">
        <v>14</v>
      </c>
      <c r="M169" s="112" t="s">
        <v>809</v>
      </c>
      <c r="N169" s="112"/>
      <c r="O169" s="112">
        <v>60</v>
      </c>
      <c r="P169" s="112"/>
      <c r="Q169" s="112"/>
      <c r="R169" s="112"/>
      <c r="S169" s="111"/>
      <c r="T169" s="93"/>
      <c r="U169" s="93"/>
      <c r="V169" s="93"/>
      <c r="W169" s="93"/>
      <c r="X169" s="93">
        <f>IF($B169="Yes",COUNTIF(Reference!P$52:P$67,$K169),"")</f>
        <v>0</v>
      </c>
      <c r="Y169" s="93">
        <f>IF($B169="Yes",COUNTIF(Reference!Q$52:Q$67,$K169),"")</f>
        <v>0</v>
      </c>
      <c r="Z169" s="93">
        <f>IF($B169="Yes",COUNTIF(Reference!R$52:R$67,$K169),"")</f>
        <v>0</v>
      </c>
      <c r="AA169" s="93">
        <f>IF($B169="Yes",COUNTIF(Reference!S$52:S$67,$K169),"")</f>
        <v>0</v>
      </c>
      <c r="AB169" s="93">
        <f>IF($B169="Yes",COUNTIF(Reference!T$52:T$67,$K169),"")</f>
        <v>0</v>
      </c>
      <c r="AC169" s="93">
        <f t="shared" si="8"/>
        <v>0</v>
      </c>
    </row>
    <row r="170" spans="1:29" x14ac:dyDescent="0.25">
      <c r="A170" s="95">
        <v>260</v>
      </c>
      <c r="B170" s="95" t="str">
        <f t="shared" si="6"/>
        <v>Yes</v>
      </c>
      <c r="H170" s="95" t="str">
        <f t="shared" si="7"/>
        <v>PL2-260</v>
      </c>
      <c r="I170" s="111"/>
      <c r="J170" s="112" t="s">
        <v>1017</v>
      </c>
      <c r="K170" s="112" t="s">
        <v>428</v>
      </c>
      <c r="L170" s="112" t="s">
        <v>14</v>
      </c>
      <c r="M170" s="112" t="s">
        <v>5</v>
      </c>
      <c r="N170" s="112"/>
      <c r="O170" s="112">
        <v>60</v>
      </c>
      <c r="P170" s="112"/>
      <c r="Q170" s="112"/>
      <c r="R170" s="112"/>
      <c r="S170" s="111"/>
      <c r="T170" s="93"/>
      <c r="U170" s="93"/>
      <c r="V170" s="93"/>
      <c r="W170" s="93"/>
      <c r="X170" s="93">
        <f>IF($B170="Yes",COUNTIF(Reference!P$52:P$67,$K170),"")</f>
        <v>0</v>
      </c>
      <c r="Y170" s="93">
        <f>IF($B170="Yes",COUNTIF(Reference!Q$52:Q$67,$K170),"")</f>
        <v>0</v>
      </c>
      <c r="Z170" s="93">
        <f>IF($B170="Yes",COUNTIF(Reference!R$52:R$67,$K170),"")</f>
        <v>0</v>
      </c>
      <c r="AA170" s="93">
        <f>IF($B170="Yes",COUNTIF(Reference!S$52:S$67,$K170),"")</f>
        <v>1</v>
      </c>
      <c r="AB170" s="93">
        <f>IF($B170="Yes",COUNTIF(Reference!T$52:T$67,$K170),"")</f>
        <v>1</v>
      </c>
      <c r="AC170" s="93">
        <f t="shared" si="8"/>
        <v>0</v>
      </c>
    </row>
    <row r="171" spans="1:29" x14ac:dyDescent="0.25">
      <c r="A171" s="95">
        <v>261</v>
      </c>
      <c r="B171" s="95" t="str">
        <f t="shared" si="6"/>
        <v>Yes</v>
      </c>
      <c r="H171" s="95" t="str">
        <f t="shared" si="7"/>
        <v>PL2-261</v>
      </c>
      <c r="I171" s="111"/>
      <c r="J171" s="112" t="s">
        <v>985</v>
      </c>
      <c r="K171" s="112" t="s">
        <v>4</v>
      </c>
      <c r="L171" s="112" t="s">
        <v>13</v>
      </c>
      <c r="M171" s="112" t="s">
        <v>5</v>
      </c>
      <c r="N171" s="112"/>
      <c r="O171" s="112">
        <v>60</v>
      </c>
      <c r="P171" s="112"/>
      <c r="Q171" s="112"/>
      <c r="R171" s="112"/>
      <c r="S171" s="111"/>
      <c r="T171" s="93"/>
      <c r="U171" s="93"/>
      <c r="V171" s="93"/>
      <c r="W171" s="93"/>
      <c r="X171" s="93">
        <f>IF($B171="Yes",COUNTIF(Reference!P$52:P$67,$K171),"")</f>
        <v>0</v>
      </c>
      <c r="Y171" s="93">
        <f>IF($B171="Yes",COUNTIF(Reference!Q$52:Q$67,$K171),"")</f>
        <v>1</v>
      </c>
      <c r="Z171" s="93">
        <f>IF($B171="Yes",COUNTIF(Reference!R$52:R$67,$K171),"")</f>
        <v>0</v>
      </c>
      <c r="AA171" s="93">
        <f>IF($B171="Yes",COUNTIF(Reference!S$52:S$67,$K171),"")</f>
        <v>0</v>
      </c>
      <c r="AB171" s="93">
        <f>IF($B171="Yes",COUNTIF(Reference!T$52:T$67,$K171),"")</f>
        <v>0</v>
      </c>
      <c r="AC171" s="93">
        <f t="shared" si="8"/>
        <v>0</v>
      </c>
    </row>
    <row r="172" spans="1:29" x14ac:dyDescent="0.25">
      <c r="A172" s="95">
        <v>262</v>
      </c>
      <c r="B172" s="95" t="str">
        <f t="shared" si="6"/>
        <v>Yes</v>
      </c>
      <c r="H172" s="95" t="str">
        <f t="shared" si="7"/>
        <v>PL2-262</v>
      </c>
      <c r="I172" s="111"/>
      <c r="J172" s="112" t="s">
        <v>1000</v>
      </c>
      <c r="K172" s="112" t="s">
        <v>427</v>
      </c>
      <c r="L172" s="112" t="s">
        <v>14</v>
      </c>
      <c r="M172" s="112" t="s">
        <v>380</v>
      </c>
      <c r="N172" s="112"/>
      <c r="O172" s="112">
        <v>60</v>
      </c>
      <c r="P172" s="112"/>
      <c r="Q172" s="112"/>
      <c r="R172" s="112"/>
      <c r="S172" s="111"/>
      <c r="T172" s="93"/>
      <c r="U172" s="93"/>
      <c r="V172" s="93"/>
      <c r="W172" s="93"/>
      <c r="X172" s="93">
        <f>IF($B172="Yes",COUNTIF(Reference!P$52:P$67,$K172),"")</f>
        <v>0</v>
      </c>
      <c r="Y172" s="93">
        <f>IF($B172="Yes",COUNTIF(Reference!Q$52:Q$67,$K172),"")</f>
        <v>1</v>
      </c>
      <c r="Z172" s="93">
        <f>IF($B172="Yes",COUNTIF(Reference!R$52:R$67,$K172),"")</f>
        <v>1</v>
      </c>
      <c r="AA172" s="93">
        <f>IF($B172="Yes",COUNTIF(Reference!S$52:S$67,$K172),"")</f>
        <v>1</v>
      </c>
      <c r="AB172" s="93">
        <f>IF($B172="Yes",COUNTIF(Reference!T$52:T$67,$K172),"")</f>
        <v>0</v>
      </c>
      <c r="AC172" s="93">
        <f t="shared" si="8"/>
        <v>0</v>
      </c>
    </row>
    <row r="173" spans="1:29" x14ac:dyDescent="0.25">
      <c r="A173" s="95">
        <v>263</v>
      </c>
      <c r="B173" s="95" t="str">
        <f t="shared" si="6"/>
        <v>Yes</v>
      </c>
      <c r="H173" s="95" t="str">
        <f t="shared" si="7"/>
        <v>PL2-263</v>
      </c>
      <c r="I173" s="111"/>
      <c r="J173" s="112" t="s">
        <v>1001</v>
      </c>
      <c r="K173" s="112" t="s">
        <v>423</v>
      </c>
      <c r="L173" s="112" t="s">
        <v>14</v>
      </c>
      <c r="M173" s="112" t="s">
        <v>5</v>
      </c>
      <c r="N173" s="112"/>
      <c r="O173" s="112">
        <v>60</v>
      </c>
      <c r="P173" s="112"/>
      <c r="Q173" s="112"/>
      <c r="R173" s="112"/>
      <c r="S173" s="111"/>
      <c r="T173" s="93"/>
      <c r="U173" s="93"/>
      <c r="V173" s="93"/>
      <c r="W173" s="93"/>
      <c r="X173" s="93">
        <f>IF($B173="Yes",COUNTIF(Reference!P$52:P$67,$K173),"")</f>
        <v>0</v>
      </c>
      <c r="Y173" s="93">
        <f>IF($B173="Yes",COUNTIF(Reference!Q$52:Q$67,$K173),"")</f>
        <v>1</v>
      </c>
      <c r="Z173" s="93">
        <f>IF($B173="Yes",COUNTIF(Reference!R$52:R$67,$K173),"")</f>
        <v>1</v>
      </c>
      <c r="AA173" s="93">
        <f>IF($B173="Yes",COUNTIF(Reference!S$52:S$67,$K173),"")</f>
        <v>0</v>
      </c>
      <c r="AB173" s="93">
        <f>IF($B173="Yes",COUNTIF(Reference!T$52:T$67,$K173),"")</f>
        <v>1</v>
      </c>
      <c r="AC173" s="93">
        <f t="shared" si="8"/>
        <v>0</v>
      </c>
    </row>
    <row r="174" spans="1:29" x14ac:dyDescent="0.25">
      <c r="A174" s="95">
        <v>264</v>
      </c>
      <c r="B174" s="95" t="str">
        <f t="shared" si="6"/>
        <v>Yes</v>
      </c>
      <c r="H174" s="95" t="str">
        <f t="shared" si="7"/>
        <v>PL2-264</v>
      </c>
      <c r="I174" s="111"/>
      <c r="J174" s="112" t="s">
        <v>1002</v>
      </c>
      <c r="K174" s="112" t="s">
        <v>419</v>
      </c>
      <c r="L174" s="112" t="s">
        <v>14</v>
      </c>
      <c r="M174" s="112" t="s">
        <v>5</v>
      </c>
      <c r="N174" s="112"/>
      <c r="O174" s="112">
        <v>60</v>
      </c>
      <c r="P174" s="112"/>
      <c r="Q174" s="112"/>
      <c r="R174" s="112"/>
      <c r="S174" s="111"/>
      <c r="T174" s="93"/>
      <c r="U174" s="93"/>
      <c r="V174" s="93"/>
      <c r="W174" s="93"/>
      <c r="X174" s="93">
        <f>IF($B174="Yes",COUNTIF(Reference!P$52:P$67,$K174),"")</f>
        <v>0</v>
      </c>
      <c r="Y174" s="93">
        <f>IF($B174="Yes",COUNTIF(Reference!Q$52:Q$67,$K174),"")</f>
        <v>0</v>
      </c>
      <c r="Z174" s="93">
        <f>IF($B174="Yes",COUNTIF(Reference!R$52:R$67,$K174),"")</f>
        <v>1</v>
      </c>
      <c r="AA174" s="93">
        <f>IF($B174="Yes",COUNTIF(Reference!S$52:S$67,$K174),"")</f>
        <v>0</v>
      </c>
      <c r="AB174" s="93">
        <f>IF($B174="Yes",COUNTIF(Reference!T$52:T$67,$K174),"")</f>
        <v>1</v>
      </c>
      <c r="AC174" s="93">
        <f t="shared" si="8"/>
        <v>0</v>
      </c>
    </row>
    <row r="175" spans="1:29" x14ac:dyDescent="0.25">
      <c r="A175" s="95">
        <v>265</v>
      </c>
      <c r="B175" s="95" t="str">
        <f t="shared" si="6"/>
        <v>Yes</v>
      </c>
      <c r="H175" s="95" t="str">
        <f t="shared" si="7"/>
        <v>PL2-265</v>
      </c>
      <c r="I175" s="111"/>
      <c r="J175" s="112" t="s">
        <v>1006</v>
      </c>
      <c r="K175" s="112" t="s">
        <v>437</v>
      </c>
      <c r="L175" s="112" t="s">
        <v>13</v>
      </c>
      <c r="M175" s="112" t="s">
        <v>5</v>
      </c>
      <c r="N175" s="112"/>
      <c r="O175" s="112">
        <v>60</v>
      </c>
      <c r="P175" s="112"/>
      <c r="Q175" s="112"/>
      <c r="R175" s="112"/>
      <c r="S175" s="111"/>
      <c r="T175" s="93"/>
      <c r="U175" s="93"/>
      <c r="V175" s="93"/>
      <c r="W175" s="93"/>
      <c r="X175" s="93">
        <f>IF($B175="Yes",COUNTIF(Reference!P$52:P$67,$K175),"")</f>
        <v>0</v>
      </c>
      <c r="Y175" s="93">
        <f>IF($B175="Yes",COUNTIF(Reference!Q$52:Q$67,$K175),"")</f>
        <v>1</v>
      </c>
      <c r="Z175" s="93">
        <f>IF($B175="Yes",COUNTIF(Reference!R$52:R$67,$K175),"")</f>
        <v>0</v>
      </c>
      <c r="AA175" s="93">
        <f>IF($B175="Yes",COUNTIF(Reference!S$52:S$67,$K175),"")</f>
        <v>0</v>
      </c>
      <c r="AB175" s="93">
        <f>IF($B175="Yes",COUNTIF(Reference!T$52:T$67,$K175),"")</f>
        <v>1</v>
      </c>
      <c r="AC175" s="93">
        <f t="shared" si="8"/>
        <v>0</v>
      </c>
    </row>
    <row r="176" spans="1:29" x14ac:dyDescent="0.25">
      <c r="A176" s="95">
        <v>266</v>
      </c>
      <c r="B176" s="95" t="str">
        <f t="shared" si="6"/>
        <v>Yes</v>
      </c>
      <c r="H176" s="95" t="str">
        <f t="shared" si="7"/>
        <v>PL2-266</v>
      </c>
      <c r="I176" s="111"/>
      <c r="J176" s="112" t="s">
        <v>1005</v>
      </c>
      <c r="K176" s="112" t="s">
        <v>437</v>
      </c>
      <c r="L176" s="112" t="s">
        <v>13</v>
      </c>
      <c r="M176" s="112" t="s">
        <v>5</v>
      </c>
      <c r="N176" s="112"/>
      <c r="O176" s="112">
        <v>60</v>
      </c>
      <c r="P176" s="112"/>
      <c r="Q176" s="112"/>
      <c r="R176" s="112"/>
      <c r="S176" s="111"/>
      <c r="T176" s="93"/>
      <c r="U176" s="93"/>
      <c r="V176" s="93"/>
      <c r="W176" s="93"/>
      <c r="X176" s="93">
        <f>IF($B176="Yes",COUNTIF(Reference!P$52:P$67,$K176),"")</f>
        <v>0</v>
      </c>
      <c r="Y176" s="93">
        <f>IF($B176="Yes",COUNTIF(Reference!Q$52:Q$67,$K176),"")</f>
        <v>1</v>
      </c>
      <c r="Z176" s="93">
        <f>IF($B176="Yes",COUNTIF(Reference!R$52:R$67,$K176),"")</f>
        <v>0</v>
      </c>
      <c r="AA176" s="93">
        <f>IF($B176="Yes",COUNTIF(Reference!S$52:S$67,$K176),"")</f>
        <v>0</v>
      </c>
      <c r="AB176" s="93">
        <f>IF($B176="Yes",COUNTIF(Reference!T$52:T$67,$K176),"")</f>
        <v>1</v>
      </c>
      <c r="AC176" s="93">
        <f t="shared" si="8"/>
        <v>0</v>
      </c>
    </row>
    <row r="177" spans="1:29" x14ac:dyDescent="0.25">
      <c r="A177" s="95">
        <v>267</v>
      </c>
      <c r="B177" s="95" t="str">
        <f t="shared" si="6"/>
        <v>Yes</v>
      </c>
      <c r="H177" s="95" t="str">
        <f t="shared" si="7"/>
        <v>PL2-267</v>
      </c>
      <c r="I177" s="111"/>
      <c r="J177" s="112" t="s">
        <v>1007</v>
      </c>
      <c r="K177" s="112" t="s">
        <v>3</v>
      </c>
      <c r="L177" s="112" t="s">
        <v>30</v>
      </c>
      <c r="M177" s="112" t="s">
        <v>5</v>
      </c>
      <c r="N177" s="112"/>
      <c r="O177" s="112">
        <v>60</v>
      </c>
      <c r="P177" s="112"/>
      <c r="Q177" s="112"/>
      <c r="R177" s="112"/>
      <c r="S177" s="111"/>
      <c r="T177" s="93"/>
      <c r="U177" s="93"/>
      <c r="V177" s="93"/>
      <c r="W177" s="93"/>
      <c r="X177" s="93">
        <f>IF($B177="Yes",COUNTIF(Reference!P$52:P$67,$K177),"")</f>
        <v>1</v>
      </c>
      <c r="Y177" s="93">
        <f>IF($B177="Yes",COUNTIF(Reference!Q$52:Q$67,$K177),"")</f>
        <v>0</v>
      </c>
      <c r="Z177" s="93">
        <f>IF($B177="Yes",COUNTIF(Reference!R$52:R$67,$K177),"")</f>
        <v>0</v>
      </c>
      <c r="AA177" s="93">
        <f>IF($B177="Yes",COUNTIF(Reference!S$52:S$67,$K177),"")</f>
        <v>0</v>
      </c>
      <c r="AB177" s="93">
        <f>IF($B177="Yes",COUNTIF(Reference!T$52:T$67,$K177),"")</f>
        <v>0</v>
      </c>
      <c r="AC177" s="93">
        <f t="shared" si="8"/>
        <v>0</v>
      </c>
    </row>
    <row r="178" spans="1:29" x14ac:dyDescent="0.25">
      <c r="A178" s="95">
        <v>268</v>
      </c>
      <c r="B178" s="95" t="str">
        <f t="shared" si="6"/>
        <v>No</v>
      </c>
      <c r="H178" s="95" t="str">
        <f t="shared" si="7"/>
        <v/>
      </c>
      <c r="I178" s="111"/>
      <c r="J178" s="112"/>
      <c r="K178" s="112"/>
      <c r="L178" s="112"/>
      <c r="M178" s="112"/>
      <c r="N178" s="112"/>
      <c r="O178" s="112"/>
      <c r="P178" s="112"/>
      <c r="Q178" s="112"/>
      <c r="R178" s="112"/>
      <c r="S178" s="111"/>
      <c r="T178" s="93"/>
      <c r="U178" s="93"/>
      <c r="V178" s="93"/>
      <c r="W178" s="93"/>
      <c r="X178" s="93" t="str">
        <f>IF($B178="Yes",COUNTIF(Reference!P$52:P$67,$K178),"")</f>
        <v/>
      </c>
      <c r="Y178" s="93" t="str">
        <f>IF($B178="Yes",COUNTIF(Reference!Q$52:Q$67,$K178),"")</f>
        <v/>
      </c>
      <c r="Z178" s="93" t="str">
        <f>IF($B178="Yes",COUNTIF(Reference!R$52:R$67,$K178),"")</f>
        <v/>
      </c>
      <c r="AA178" s="93" t="str">
        <f>IF($B178="Yes",COUNTIF(Reference!S$52:S$67,$K178),"")</f>
        <v/>
      </c>
      <c r="AB178" s="93" t="str">
        <f>IF($B178="Yes",COUNTIF(Reference!T$52:T$67,$K178),"")</f>
        <v/>
      </c>
      <c r="AC178" s="93" t="str">
        <f t="shared" si="8"/>
        <v/>
      </c>
    </row>
    <row r="179" spans="1:29" x14ac:dyDescent="0.25">
      <c r="A179" s="95">
        <v>269</v>
      </c>
      <c r="B179" s="95" t="str">
        <f t="shared" si="6"/>
        <v>No</v>
      </c>
      <c r="H179" s="95" t="str">
        <f t="shared" si="7"/>
        <v/>
      </c>
      <c r="I179" s="111"/>
      <c r="J179" s="112"/>
      <c r="K179" s="112"/>
      <c r="L179" s="112"/>
      <c r="M179" s="112"/>
      <c r="N179" s="112"/>
      <c r="O179" s="112"/>
      <c r="P179" s="112"/>
      <c r="Q179" s="112"/>
      <c r="R179" s="112"/>
      <c r="S179" s="111"/>
      <c r="T179" s="93"/>
      <c r="U179" s="93"/>
      <c r="V179" s="93"/>
      <c r="W179" s="93"/>
      <c r="X179" s="93" t="str">
        <f>IF($B179="Yes",COUNTIF(Reference!P$52:P$67,$K179),"")</f>
        <v/>
      </c>
      <c r="Y179" s="93" t="str">
        <f>IF($B179="Yes",COUNTIF(Reference!Q$52:Q$67,$K179),"")</f>
        <v/>
      </c>
      <c r="Z179" s="93" t="str">
        <f>IF($B179="Yes",COUNTIF(Reference!R$52:R$67,$K179),"")</f>
        <v/>
      </c>
      <c r="AA179" s="93" t="str">
        <f>IF($B179="Yes",COUNTIF(Reference!S$52:S$67,$K179),"")</f>
        <v/>
      </c>
      <c r="AB179" s="93" t="str">
        <f>IF($B179="Yes",COUNTIF(Reference!T$52:T$67,$K179),"")</f>
        <v/>
      </c>
      <c r="AC179" s="93" t="str">
        <f t="shared" si="8"/>
        <v/>
      </c>
    </row>
    <row r="180" spans="1:29" x14ac:dyDescent="0.25">
      <c r="A180" s="95">
        <v>270</v>
      </c>
      <c r="B180" s="95" t="str">
        <f t="shared" si="6"/>
        <v>No</v>
      </c>
      <c r="H180" s="95" t="str">
        <f t="shared" si="7"/>
        <v/>
      </c>
      <c r="I180" s="111"/>
      <c r="J180" s="112"/>
      <c r="K180" s="112"/>
      <c r="L180" s="112"/>
      <c r="M180" s="112"/>
      <c r="N180" s="112"/>
      <c r="O180" s="112"/>
      <c r="P180" s="112"/>
      <c r="Q180" s="112"/>
      <c r="R180" s="112"/>
      <c r="S180" s="111"/>
      <c r="T180" s="93"/>
      <c r="U180" s="93"/>
      <c r="V180" s="93"/>
      <c r="W180" s="93"/>
      <c r="X180" s="93" t="str">
        <f>IF($B180="Yes",COUNTIF(Reference!P$52:P$67,$K180),"")</f>
        <v/>
      </c>
      <c r="Y180" s="93" t="str">
        <f>IF($B180="Yes",COUNTIF(Reference!Q$52:Q$67,$K180),"")</f>
        <v/>
      </c>
      <c r="Z180" s="93" t="str">
        <f>IF($B180="Yes",COUNTIF(Reference!R$52:R$67,$K180),"")</f>
        <v/>
      </c>
      <c r="AA180" s="93" t="str">
        <f>IF($B180="Yes",COUNTIF(Reference!S$52:S$67,$K180),"")</f>
        <v/>
      </c>
      <c r="AB180" s="93" t="str">
        <f>IF($B180="Yes",COUNTIF(Reference!T$52:T$67,$K180),"")</f>
        <v/>
      </c>
      <c r="AC180" s="93" t="str">
        <f t="shared" si="8"/>
        <v/>
      </c>
    </row>
    <row r="181" spans="1:29" x14ac:dyDescent="0.25">
      <c r="A181" s="95">
        <v>271</v>
      </c>
      <c r="B181" s="95" t="str">
        <f t="shared" si="6"/>
        <v>No</v>
      </c>
      <c r="H181" s="95" t="str">
        <f t="shared" si="7"/>
        <v/>
      </c>
      <c r="I181" s="111"/>
      <c r="J181" s="112"/>
      <c r="K181" s="112"/>
      <c r="L181" s="112"/>
      <c r="M181" s="112"/>
      <c r="N181" s="112"/>
      <c r="O181" s="112"/>
      <c r="P181" s="112"/>
      <c r="Q181" s="112"/>
      <c r="R181" s="112"/>
      <c r="S181" s="111"/>
      <c r="T181" s="93"/>
      <c r="U181" s="93"/>
      <c r="V181" s="93"/>
      <c r="W181" s="93"/>
      <c r="X181" s="93" t="str">
        <f>IF($B181="Yes",COUNTIF(Reference!P$52:P$67,$K181),"")</f>
        <v/>
      </c>
      <c r="Y181" s="93" t="str">
        <f>IF($B181="Yes",COUNTIF(Reference!Q$52:Q$67,$K181),"")</f>
        <v/>
      </c>
      <c r="Z181" s="93" t="str">
        <f>IF($B181="Yes",COUNTIF(Reference!R$52:R$67,$K181),"")</f>
        <v/>
      </c>
      <c r="AA181" s="93" t="str">
        <f>IF($B181="Yes",COUNTIF(Reference!S$52:S$67,$K181),"")</f>
        <v/>
      </c>
      <c r="AB181" s="93" t="str">
        <f>IF($B181="Yes",COUNTIF(Reference!T$52:T$67,$K181),"")</f>
        <v/>
      </c>
      <c r="AC181" s="93" t="str">
        <f t="shared" si="8"/>
        <v/>
      </c>
    </row>
    <row r="182" spans="1:29" x14ac:dyDescent="0.25">
      <c r="A182" s="95">
        <v>272</v>
      </c>
      <c r="B182" s="95" t="str">
        <f t="shared" si="6"/>
        <v>No</v>
      </c>
      <c r="H182" s="95" t="str">
        <f t="shared" si="7"/>
        <v/>
      </c>
      <c r="I182" s="111"/>
      <c r="J182" s="112"/>
      <c r="K182" s="112"/>
      <c r="L182" s="112"/>
      <c r="M182" s="112"/>
      <c r="N182" s="112"/>
      <c r="O182" s="112"/>
      <c r="P182" s="112"/>
      <c r="Q182" s="112"/>
      <c r="R182" s="112"/>
      <c r="S182" s="111"/>
      <c r="T182" s="93"/>
      <c r="U182" s="93"/>
      <c r="V182" s="93"/>
      <c r="W182" s="93"/>
      <c r="X182" s="93" t="str">
        <f>IF($B182="Yes",COUNTIF(Reference!P$52:P$67,$K182),"")</f>
        <v/>
      </c>
      <c r="Y182" s="93" t="str">
        <f>IF($B182="Yes",COUNTIF(Reference!Q$52:Q$67,$K182),"")</f>
        <v/>
      </c>
      <c r="Z182" s="93" t="str">
        <f>IF($B182="Yes",COUNTIF(Reference!R$52:R$67,$K182),"")</f>
        <v/>
      </c>
      <c r="AA182" s="93" t="str">
        <f>IF($B182="Yes",COUNTIF(Reference!S$52:S$67,$K182),"")</f>
        <v/>
      </c>
      <c r="AB182" s="93" t="str">
        <f>IF($B182="Yes",COUNTIF(Reference!T$52:T$67,$K182),"")</f>
        <v/>
      </c>
      <c r="AC182" s="93" t="str">
        <f t="shared" si="8"/>
        <v/>
      </c>
    </row>
    <row r="183" spans="1:29" x14ac:dyDescent="0.25">
      <c r="A183" s="95">
        <v>273</v>
      </c>
      <c r="B183" s="95" t="str">
        <f t="shared" si="6"/>
        <v>No</v>
      </c>
      <c r="H183" s="95" t="str">
        <f t="shared" si="7"/>
        <v/>
      </c>
      <c r="I183" s="111"/>
      <c r="J183" s="112"/>
      <c r="K183" s="112"/>
      <c r="L183" s="112"/>
      <c r="M183" s="112"/>
      <c r="N183" s="112"/>
      <c r="O183" s="112"/>
      <c r="P183" s="112"/>
      <c r="Q183" s="112"/>
      <c r="R183" s="112"/>
      <c r="S183" s="111"/>
      <c r="T183" s="93"/>
      <c r="U183" s="93"/>
      <c r="V183" s="93"/>
      <c r="W183" s="93"/>
      <c r="X183" s="93" t="str">
        <f>IF($B183="Yes",COUNTIF(Reference!P$52:P$67,$K183),"")</f>
        <v/>
      </c>
      <c r="Y183" s="93" t="str">
        <f>IF($B183="Yes",COUNTIF(Reference!Q$52:Q$67,$K183),"")</f>
        <v/>
      </c>
      <c r="Z183" s="93" t="str">
        <f>IF($B183="Yes",COUNTIF(Reference!R$52:R$67,$K183),"")</f>
        <v/>
      </c>
      <c r="AA183" s="93" t="str">
        <f>IF($B183="Yes",COUNTIF(Reference!S$52:S$67,$K183),"")</f>
        <v/>
      </c>
      <c r="AB183" s="93" t="str">
        <f>IF($B183="Yes",COUNTIF(Reference!T$52:T$67,$K183),"")</f>
        <v/>
      </c>
      <c r="AC183" s="93" t="str">
        <f t="shared" si="8"/>
        <v/>
      </c>
    </row>
    <row r="184" spans="1:29" x14ac:dyDescent="0.25">
      <c r="A184" s="95">
        <v>274</v>
      </c>
      <c r="B184" s="95" t="str">
        <f t="shared" si="6"/>
        <v>No</v>
      </c>
      <c r="H184" s="95" t="str">
        <f t="shared" si="7"/>
        <v/>
      </c>
      <c r="I184" s="111"/>
      <c r="J184" s="112"/>
      <c r="K184" s="112"/>
      <c r="L184" s="112"/>
      <c r="M184" s="112"/>
      <c r="N184" s="112"/>
      <c r="O184" s="112"/>
      <c r="P184" s="112"/>
      <c r="Q184" s="112"/>
      <c r="R184" s="112"/>
      <c r="S184" s="111"/>
      <c r="T184" s="93"/>
      <c r="U184" s="93"/>
      <c r="V184" s="93"/>
      <c r="W184" s="93"/>
      <c r="X184" s="93" t="str">
        <f>IF($B184="Yes",COUNTIF(Reference!P$52:P$67,$K184),"")</f>
        <v/>
      </c>
      <c r="Y184" s="93" t="str">
        <f>IF($B184="Yes",COUNTIF(Reference!Q$52:Q$67,$K184),"")</f>
        <v/>
      </c>
      <c r="Z184" s="93" t="str">
        <f>IF($B184="Yes",COUNTIF(Reference!R$52:R$67,$K184),"")</f>
        <v/>
      </c>
      <c r="AA184" s="93" t="str">
        <f>IF($B184="Yes",COUNTIF(Reference!S$52:S$67,$K184),"")</f>
        <v/>
      </c>
      <c r="AB184" s="93" t="str">
        <f>IF($B184="Yes",COUNTIF(Reference!T$52:T$67,$K184),"")</f>
        <v/>
      </c>
      <c r="AC184" s="93" t="str">
        <f t="shared" si="8"/>
        <v/>
      </c>
    </row>
    <row r="185" spans="1:29" x14ac:dyDescent="0.25">
      <c r="A185" s="95">
        <v>275</v>
      </c>
      <c r="B185" s="95" t="str">
        <f t="shared" si="6"/>
        <v>No</v>
      </c>
      <c r="H185" s="95" t="str">
        <f t="shared" si="7"/>
        <v/>
      </c>
      <c r="I185" s="111"/>
      <c r="J185" s="112"/>
      <c r="K185" s="112"/>
      <c r="L185" s="112"/>
      <c r="M185" s="112"/>
      <c r="N185" s="112"/>
      <c r="O185" s="112"/>
      <c r="P185" s="112"/>
      <c r="Q185" s="112"/>
      <c r="R185" s="112"/>
      <c r="S185" s="111"/>
      <c r="T185" s="93"/>
      <c r="U185" s="93"/>
      <c r="V185" s="93"/>
      <c r="W185" s="93"/>
      <c r="X185" s="93" t="str">
        <f>IF($B185="Yes",COUNTIF(Reference!P$52:P$67,$K185),"")</f>
        <v/>
      </c>
      <c r="Y185" s="93" t="str">
        <f>IF($B185="Yes",COUNTIF(Reference!Q$52:Q$67,$K185),"")</f>
        <v/>
      </c>
      <c r="Z185" s="93" t="str">
        <f>IF($B185="Yes",COUNTIF(Reference!R$52:R$67,$K185),"")</f>
        <v/>
      </c>
      <c r="AA185" s="93" t="str">
        <f>IF($B185="Yes",COUNTIF(Reference!S$52:S$67,$K185),"")</f>
        <v/>
      </c>
      <c r="AB185" s="93" t="str">
        <f>IF($B185="Yes",COUNTIF(Reference!T$52:T$67,$K185),"")</f>
        <v/>
      </c>
      <c r="AC185" s="93" t="str">
        <f t="shared" si="8"/>
        <v/>
      </c>
    </row>
    <row r="186" spans="1:29" x14ac:dyDescent="0.25">
      <c r="A186" s="95">
        <v>276</v>
      </c>
      <c r="B186" s="95" t="str">
        <f t="shared" si="6"/>
        <v>No</v>
      </c>
      <c r="H186" s="95" t="str">
        <f t="shared" si="7"/>
        <v/>
      </c>
      <c r="I186" s="111"/>
      <c r="J186" s="112"/>
      <c r="K186" s="112"/>
      <c r="L186" s="112"/>
      <c r="M186" s="112"/>
      <c r="N186" s="112"/>
      <c r="O186" s="112"/>
      <c r="P186" s="112"/>
      <c r="Q186" s="112"/>
      <c r="R186" s="112"/>
      <c r="S186" s="111"/>
      <c r="T186" s="93"/>
      <c r="U186" s="93"/>
      <c r="V186" s="93"/>
      <c r="W186" s="93"/>
      <c r="X186" s="93" t="str">
        <f>IF($B186="Yes",COUNTIF(Reference!P$52:P$67,$K186),"")</f>
        <v/>
      </c>
      <c r="Y186" s="93" t="str">
        <f>IF($B186="Yes",COUNTIF(Reference!Q$52:Q$67,$K186),"")</f>
        <v/>
      </c>
      <c r="Z186" s="93" t="str">
        <f>IF($B186="Yes",COUNTIF(Reference!R$52:R$67,$K186),"")</f>
        <v/>
      </c>
      <c r="AA186" s="93" t="str">
        <f>IF($B186="Yes",COUNTIF(Reference!S$52:S$67,$K186),"")</f>
        <v/>
      </c>
      <c r="AB186" s="93" t="str">
        <f>IF($B186="Yes",COUNTIF(Reference!T$52:T$67,$K186),"")</f>
        <v/>
      </c>
      <c r="AC186" s="93" t="str">
        <f t="shared" si="8"/>
        <v/>
      </c>
    </row>
    <row r="187" spans="1:29" x14ac:dyDescent="0.25">
      <c r="A187" s="95">
        <v>277</v>
      </c>
      <c r="B187" s="95" t="str">
        <f t="shared" si="6"/>
        <v>No</v>
      </c>
      <c r="H187" s="95" t="str">
        <f t="shared" si="7"/>
        <v/>
      </c>
      <c r="I187" s="111"/>
      <c r="J187" s="112"/>
      <c r="K187" s="112"/>
      <c r="L187" s="112"/>
      <c r="M187" s="112"/>
      <c r="N187" s="112"/>
      <c r="O187" s="112"/>
      <c r="P187" s="112"/>
      <c r="Q187" s="112"/>
      <c r="R187" s="112"/>
      <c r="S187" s="111"/>
      <c r="T187" s="93"/>
      <c r="U187" s="93"/>
      <c r="V187" s="93"/>
      <c r="W187" s="93"/>
      <c r="X187" s="93" t="str">
        <f>IF($B187="Yes",COUNTIF(Reference!P$52:P$67,$K187),"")</f>
        <v/>
      </c>
      <c r="Y187" s="93" t="str">
        <f>IF($B187="Yes",COUNTIF(Reference!Q$52:Q$67,$K187),"")</f>
        <v/>
      </c>
      <c r="Z187" s="93" t="str">
        <f>IF($B187="Yes",COUNTIF(Reference!R$52:R$67,$K187),"")</f>
        <v/>
      </c>
      <c r="AA187" s="93" t="str">
        <f>IF($B187="Yes",COUNTIF(Reference!S$52:S$67,$K187),"")</f>
        <v/>
      </c>
      <c r="AB187" s="93" t="str">
        <f>IF($B187="Yes",COUNTIF(Reference!T$52:T$67,$K187),"")</f>
        <v/>
      </c>
      <c r="AC187" s="93" t="str">
        <f t="shared" si="8"/>
        <v/>
      </c>
    </row>
    <row r="188" spans="1:29" x14ac:dyDescent="0.25">
      <c r="A188" s="95">
        <v>278</v>
      </c>
      <c r="B188" s="95" t="str">
        <f t="shared" si="6"/>
        <v>No</v>
      </c>
      <c r="H188" s="95" t="str">
        <f t="shared" si="7"/>
        <v/>
      </c>
      <c r="I188" s="111"/>
      <c r="J188" s="112"/>
      <c r="K188" s="112"/>
      <c r="L188" s="112"/>
      <c r="M188" s="112"/>
      <c r="N188" s="112"/>
      <c r="O188" s="112"/>
      <c r="P188" s="112"/>
      <c r="Q188" s="112"/>
      <c r="R188" s="112"/>
      <c r="S188" s="111"/>
      <c r="T188" s="93"/>
      <c r="U188" s="93"/>
      <c r="V188" s="93"/>
      <c r="W188" s="93"/>
      <c r="X188" s="93" t="str">
        <f>IF($B188="Yes",COUNTIF(Reference!P$52:P$67,$K188),"")</f>
        <v/>
      </c>
      <c r="Y188" s="93" t="str">
        <f>IF($B188="Yes",COUNTIF(Reference!Q$52:Q$67,$K188),"")</f>
        <v/>
      </c>
      <c r="Z188" s="93" t="str">
        <f>IF($B188="Yes",COUNTIF(Reference!R$52:R$67,$K188),"")</f>
        <v/>
      </c>
      <c r="AA188" s="93" t="str">
        <f>IF($B188="Yes",COUNTIF(Reference!S$52:S$67,$K188),"")</f>
        <v/>
      </c>
      <c r="AB188" s="93" t="str">
        <f>IF($B188="Yes",COUNTIF(Reference!T$52:T$67,$K188),"")</f>
        <v/>
      </c>
      <c r="AC188" s="93" t="str">
        <f t="shared" si="8"/>
        <v/>
      </c>
    </row>
    <row r="189" spans="1:29" x14ac:dyDescent="0.25">
      <c r="A189" s="95">
        <v>279</v>
      </c>
      <c r="B189" s="95" t="str">
        <f t="shared" si="6"/>
        <v>No</v>
      </c>
      <c r="H189" s="95" t="str">
        <f t="shared" si="7"/>
        <v/>
      </c>
      <c r="I189" s="111"/>
      <c r="J189" s="112"/>
      <c r="K189" s="112"/>
      <c r="L189" s="112"/>
      <c r="M189" s="112"/>
      <c r="N189" s="112"/>
      <c r="O189" s="112"/>
      <c r="P189" s="112"/>
      <c r="Q189" s="112"/>
      <c r="R189" s="112"/>
      <c r="S189" s="111"/>
      <c r="T189" s="93"/>
      <c r="U189" s="93"/>
      <c r="V189" s="93"/>
      <c r="W189" s="93"/>
      <c r="X189" s="93" t="str">
        <f>IF($B189="Yes",COUNTIF(Reference!P$52:P$67,$K189),"")</f>
        <v/>
      </c>
      <c r="Y189" s="93" t="str">
        <f>IF($B189="Yes",COUNTIF(Reference!Q$52:Q$67,$K189),"")</f>
        <v/>
      </c>
      <c r="Z189" s="93" t="str">
        <f>IF($B189="Yes",COUNTIF(Reference!R$52:R$67,$K189),"")</f>
        <v/>
      </c>
      <c r="AA189" s="93" t="str">
        <f>IF($B189="Yes",COUNTIF(Reference!S$52:S$67,$K189),"")</f>
        <v/>
      </c>
      <c r="AB189" s="93" t="str">
        <f>IF($B189="Yes",COUNTIF(Reference!T$52:T$67,$K189),"")</f>
        <v/>
      </c>
      <c r="AC189" s="93" t="str">
        <f t="shared" si="8"/>
        <v/>
      </c>
    </row>
    <row r="190" spans="1:29" x14ac:dyDescent="0.25">
      <c r="A190" s="95">
        <v>280</v>
      </c>
      <c r="B190" s="95" t="str">
        <f t="shared" si="6"/>
        <v>No</v>
      </c>
      <c r="H190" s="95" t="str">
        <f t="shared" si="7"/>
        <v/>
      </c>
      <c r="I190" s="111"/>
      <c r="J190" s="112"/>
      <c r="K190" s="112"/>
      <c r="L190" s="112"/>
      <c r="M190" s="112"/>
      <c r="N190" s="112"/>
      <c r="O190" s="112"/>
      <c r="P190" s="112"/>
      <c r="Q190" s="112"/>
      <c r="R190" s="112"/>
      <c r="S190" s="111"/>
      <c r="T190" s="93"/>
      <c r="U190" s="93"/>
      <c r="V190" s="93"/>
      <c r="W190" s="93"/>
      <c r="X190" s="93" t="str">
        <f>IF($B190="Yes",COUNTIF(Reference!P$52:P$67,$K190),"")</f>
        <v/>
      </c>
      <c r="Y190" s="93" t="str">
        <f>IF($B190="Yes",COUNTIF(Reference!Q$52:Q$67,$K190),"")</f>
        <v/>
      </c>
      <c r="Z190" s="93" t="str">
        <f>IF($B190="Yes",COUNTIF(Reference!R$52:R$67,$K190),"")</f>
        <v/>
      </c>
      <c r="AA190" s="93" t="str">
        <f>IF($B190="Yes",COUNTIF(Reference!S$52:S$67,$K190),"")</f>
        <v/>
      </c>
      <c r="AB190" s="93" t="str">
        <f>IF($B190="Yes",COUNTIF(Reference!T$52:T$67,$K190),"")</f>
        <v/>
      </c>
      <c r="AC190" s="93" t="str">
        <f t="shared" si="8"/>
        <v/>
      </c>
    </row>
    <row r="191" spans="1:29" x14ac:dyDescent="0.25">
      <c r="A191" s="95">
        <v>281</v>
      </c>
      <c r="B191" s="95" t="str">
        <f t="shared" si="6"/>
        <v>No</v>
      </c>
      <c r="H191" s="95" t="str">
        <f t="shared" si="7"/>
        <v/>
      </c>
      <c r="I191" s="111"/>
      <c r="J191" s="112"/>
      <c r="K191" s="112"/>
      <c r="L191" s="112"/>
      <c r="M191" s="112"/>
      <c r="N191" s="112"/>
      <c r="O191" s="112"/>
      <c r="P191" s="112"/>
      <c r="Q191" s="112"/>
      <c r="R191" s="112"/>
      <c r="S191" s="111"/>
      <c r="T191" s="93"/>
      <c r="U191" s="93"/>
      <c r="V191" s="93"/>
      <c r="W191" s="93"/>
      <c r="X191" s="93" t="str">
        <f>IF($B191="Yes",COUNTIF(Reference!P$52:P$67,$K191),"")</f>
        <v/>
      </c>
      <c r="Y191" s="93" t="str">
        <f>IF($B191="Yes",COUNTIF(Reference!Q$52:Q$67,$K191),"")</f>
        <v/>
      </c>
      <c r="Z191" s="93" t="str">
        <f>IF($B191="Yes",COUNTIF(Reference!R$52:R$67,$K191),"")</f>
        <v/>
      </c>
      <c r="AA191" s="93" t="str">
        <f>IF($B191="Yes",COUNTIF(Reference!S$52:S$67,$K191),"")</f>
        <v/>
      </c>
      <c r="AB191" s="93" t="str">
        <f>IF($B191="Yes",COUNTIF(Reference!T$52:T$67,$K191),"")</f>
        <v/>
      </c>
      <c r="AC191" s="93" t="str">
        <f t="shared" si="8"/>
        <v/>
      </c>
    </row>
    <row r="192" spans="1:29" x14ac:dyDescent="0.25">
      <c r="A192" s="95">
        <v>282</v>
      </c>
      <c r="B192" s="95" t="str">
        <f t="shared" si="6"/>
        <v>No</v>
      </c>
      <c r="H192" s="95" t="str">
        <f t="shared" si="7"/>
        <v/>
      </c>
      <c r="I192" s="111"/>
      <c r="J192" s="112"/>
      <c r="K192" s="112"/>
      <c r="L192" s="112"/>
      <c r="M192" s="112"/>
      <c r="N192" s="112"/>
      <c r="O192" s="112"/>
      <c r="P192" s="112"/>
      <c r="Q192" s="112"/>
      <c r="R192" s="112"/>
      <c r="S192" s="111"/>
      <c r="T192" s="93"/>
      <c r="U192" s="93"/>
      <c r="V192" s="93"/>
      <c r="W192" s="93"/>
      <c r="X192" s="93" t="str">
        <f>IF($B192="Yes",COUNTIF(Reference!P$52:P$67,$K192),"")</f>
        <v/>
      </c>
      <c r="Y192" s="93" t="str">
        <f>IF($B192="Yes",COUNTIF(Reference!Q$52:Q$67,$K192),"")</f>
        <v/>
      </c>
      <c r="Z192" s="93" t="str">
        <f>IF($B192="Yes",COUNTIF(Reference!R$52:R$67,$K192),"")</f>
        <v/>
      </c>
      <c r="AA192" s="93" t="str">
        <f>IF($B192="Yes",COUNTIF(Reference!S$52:S$67,$K192),"")</f>
        <v/>
      </c>
      <c r="AB192" s="93" t="str">
        <f>IF($B192="Yes",COUNTIF(Reference!T$52:T$67,$K192),"")</f>
        <v/>
      </c>
      <c r="AC192" s="93" t="str">
        <f t="shared" si="8"/>
        <v/>
      </c>
    </row>
    <row r="193" spans="1:29" x14ac:dyDescent="0.25">
      <c r="A193" s="95">
        <v>283</v>
      </c>
      <c r="B193" s="95" t="str">
        <f t="shared" si="6"/>
        <v>No</v>
      </c>
      <c r="H193" s="95" t="str">
        <f t="shared" si="7"/>
        <v/>
      </c>
      <c r="I193" s="111"/>
      <c r="J193" s="112"/>
      <c r="K193" s="112"/>
      <c r="L193" s="112"/>
      <c r="M193" s="112"/>
      <c r="N193" s="112"/>
      <c r="O193" s="112"/>
      <c r="P193" s="112"/>
      <c r="Q193" s="112"/>
      <c r="R193" s="112"/>
      <c r="S193" s="111"/>
      <c r="T193" s="93"/>
      <c r="U193" s="93"/>
      <c r="V193" s="93"/>
      <c r="W193" s="93"/>
      <c r="X193" s="93" t="str">
        <f>IF($B193="Yes",COUNTIF(Reference!P$52:P$67,$K193),"")</f>
        <v/>
      </c>
      <c r="Y193" s="93" t="str">
        <f>IF($B193="Yes",COUNTIF(Reference!Q$52:Q$67,$K193),"")</f>
        <v/>
      </c>
      <c r="Z193" s="93" t="str">
        <f>IF($B193="Yes",COUNTIF(Reference!R$52:R$67,$K193),"")</f>
        <v/>
      </c>
      <c r="AA193" s="93" t="str">
        <f>IF($B193="Yes",COUNTIF(Reference!S$52:S$67,$K193),"")</f>
        <v/>
      </c>
      <c r="AB193" s="93" t="str">
        <f>IF($B193="Yes",COUNTIF(Reference!T$52:T$67,$K193),"")</f>
        <v/>
      </c>
      <c r="AC193" s="93" t="str">
        <f t="shared" si="8"/>
        <v/>
      </c>
    </row>
    <row r="194" spans="1:29" x14ac:dyDescent="0.25">
      <c r="A194" s="95">
        <v>284</v>
      </c>
      <c r="B194" s="95" t="str">
        <f t="shared" si="6"/>
        <v>No</v>
      </c>
      <c r="H194" s="95" t="str">
        <f t="shared" si="7"/>
        <v/>
      </c>
      <c r="I194" s="111"/>
      <c r="J194" s="112"/>
      <c r="K194" s="112"/>
      <c r="L194" s="112"/>
      <c r="M194" s="112"/>
      <c r="N194" s="112"/>
      <c r="O194" s="112"/>
      <c r="P194" s="112"/>
      <c r="Q194" s="112"/>
      <c r="R194" s="112"/>
      <c r="S194" s="111"/>
      <c r="T194" s="93"/>
      <c r="U194" s="93"/>
      <c r="V194" s="93"/>
      <c r="W194" s="93"/>
      <c r="X194" s="93" t="str">
        <f>IF($B194="Yes",COUNTIF(Reference!P$52:P$67,$K194),"")</f>
        <v/>
      </c>
      <c r="Y194" s="93" t="str">
        <f>IF($B194="Yes",COUNTIF(Reference!Q$52:Q$67,$K194),"")</f>
        <v/>
      </c>
      <c r="Z194" s="93" t="str">
        <f>IF($B194="Yes",COUNTIF(Reference!R$52:R$67,$K194),"")</f>
        <v/>
      </c>
      <c r="AA194" s="93" t="str">
        <f>IF($B194="Yes",COUNTIF(Reference!S$52:S$67,$K194),"")</f>
        <v/>
      </c>
      <c r="AB194" s="93" t="str">
        <f>IF($B194="Yes",COUNTIF(Reference!T$52:T$67,$K194),"")</f>
        <v/>
      </c>
      <c r="AC194" s="93" t="str">
        <f t="shared" si="8"/>
        <v/>
      </c>
    </row>
    <row r="195" spans="1:29" x14ac:dyDescent="0.25">
      <c r="A195" s="95">
        <v>285</v>
      </c>
      <c r="B195" s="95" t="str">
        <f t="shared" si="6"/>
        <v>No</v>
      </c>
      <c r="H195" s="95" t="str">
        <f t="shared" si="7"/>
        <v/>
      </c>
      <c r="I195" s="111"/>
      <c r="J195" s="112"/>
      <c r="K195" s="112"/>
      <c r="L195" s="112"/>
      <c r="M195" s="112"/>
      <c r="N195" s="112"/>
      <c r="O195" s="112"/>
      <c r="P195" s="112"/>
      <c r="Q195" s="112"/>
      <c r="R195" s="112"/>
      <c r="S195" s="111"/>
      <c r="T195" s="93"/>
      <c r="U195" s="93"/>
      <c r="V195" s="93"/>
      <c r="W195" s="93"/>
      <c r="X195" s="93" t="str">
        <f>IF($B195="Yes",COUNTIF(Reference!P$52:P$67,$K195),"")</f>
        <v/>
      </c>
      <c r="Y195" s="93" t="str">
        <f>IF($B195="Yes",COUNTIF(Reference!Q$52:Q$67,$K195),"")</f>
        <v/>
      </c>
      <c r="Z195" s="93" t="str">
        <f>IF($B195="Yes",COUNTIF(Reference!R$52:R$67,$K195),"")</f>
        <v/>
      </c>
      <c r="AA195" s="93" t="str">
        <f>IF($B195="Yes",COUNTIF(Reference!S$52:S$67,$K195),"")</f>
        <v/>
      </c>
      <c r="AB195" s="93" t="str">
        <f>IF($B195="Yes",COUNTIF(Reference!T$52:T$67,$K195),"")</f>
        <v/>
      </c>
      <c r="AC195" s="93" t="str">
        <f t="shared" si="8"/>
        <v/>
      </c>
    </row>
    <row r="196" spans="1:29" x14ac:dyDescent="0.25">
      <c r="A196" s="95">
        <v>286</v>
      </c>
      <c r="B196" s="95" t="str">
        <f t="shared" si="6"/>
        <v>No</v>
      </c>
      <c r="H196" s="95" t="str">
        <f t="shared" si="7"/>
        <v/>
      </c>
      <c r="I196" s="111"/>
      <c r="J196" s="112"/>
      <c r="K196" s="112"/>
      <c r="L196" s="112"/>
      <c r="M196" s="112"/>
      <c r="N196" s="112"/>
      <c r="O196" s="112"/>
      <c r="P196" s="112"/>
      <c r="Q196" s="112"/>
      <c r="R196" s="112"/>
      <c r="S196" s="111"/>
      <c r="T196" s="93"/>
      <c r="U196" s="93"/>
      <c r="V196" s="93"/>
      <c r="W196" s="93"/>
      <c r="X196" s="93" t="str">
        <f>IF($B196="Yes",COUNTIF(Reference!P$52:P$67,$K196),"")</f>
        <v/>
      </c>
      <c r="Y196" s="93" t="str">
        <f>IF($B196="Yes",COUNTIF(Reference!Q$52:Q$67,$K196),"")</f>
        <v/>
      </c>
      <c r="Z196" s="93" t="str">
        <f>IF($B196="Yes",COUNTIF(Reference!R$52:R$67,$K196),"")</f>
        <v/>
      </c>
      <c r="AA196" s="93" t="str">
        <f>IF($B196="Yes",COUNTIF(Reference!S$52:S$67,$K196),"")</f>
        <v/>
      </c>
      <c r="AB196" s="93" t="str">
        <f>IF($B196="Yes",COUNTIF(Reference!T$52:T$67,$K196),"")</f>
        <v/>
      </c>
      <c r="AC196" s="93" t="str">
        <f t="shared" si="8"/>
        <v/>
      </c>
    </row>
    <row r="197" spans="1:29" x14ac:dyDescent="0.25">
      <c r="A197" s="95">
        <v>287</v>
      </c>
      <c r="B197" s="95" t="str">
        <f t="shared" si="6"/>
        <v>No</v>
      </c>
      <c r="H197" s="95" t="str">
        <f t="shared" si="7"/>
        <v/>
      </c>
      <c r="I197" s="111"/>
      <c r="J197" s="112"/>
      <c r="K197" s="112"/>
      <c r="L197" s="112"/>
      <c r="M197" s="112"/>
      <c r="N197" s="112"/>
      <c r="O197" s="112"/>
      <c r="P197" s="112"/>
      <c r="Q197" s="112"/>
      <c r="R197" s="112"/>
      <c r="S197" s="111"/>
      <c r="T197" s="93"/>
      <c r="U197" s="93"/>
      <c r="V197" s="93"/>
      <c r="W197" s="93"/>
      <c r="X197" s="93" t="str">
        <f>IF($B197="Yes",COUNTIF(Reference!P$52:P$67,$K197),"")</f>
        <v/>
      </c>
      <c r="Y197" s="93" t="str">
        <f>IF($B197="Yes",COUNTIF(Reference!Q$52:Q$67,$K197),"")</f>
        <v/>
      </c>
      <c r="Z197" s="93" t="str">
        <f>IF($B197="Yes",COUNTIF(Reference!R$52:R$67,$K197),"")</f>
        <v/>
      </c>
      <c r="AA197" s="93" t="str">
        <f>IF($B197="Yes",COUNTIF(Reference!S$52:S$67,$K197),"")</f>
        <v/>
      </c>
      <c r="AB197" s="93" t="str">
        <f>IF($B197="Yes",COUNTIF(Reference!T$52:T$67,$K197),"")</f>
        <v/>
      </c>
      <c r="AC197" s="93" t="str">
        <f t="shared" si="8"/>
        <v/>
      </c>
    </row>
    <row r="198" spans="1:29" x14ac:dyDescent="0.25">
      <c r="A198" s="95">
        <v>288</v>
      </c>
      <c r="B198" s="95" t="str">
        <f t="shared" si="6"/>
        <v>No</v>
      </c>
      <c r="H198" s="95" t="str">
        <f t="shared" si="7"/>
        <v/>
      </c>
      <c r="I198" s="111"/>
      <c r="J198" s="112"/>
      <c r="K198" s="112"/>
      <c r="L198" s="112"/>
      <c r="M198" s="112"/>
      <c r="N198" s="112"/>
      <c r="O198" s="112"/>
      <c r="P198" s="112"/>
      <c r="Q198" s="112"/>
      <c r="R198" s="112"/>
      <c r="S198" s="111"/>
      <c r="T198" s="93"/>
      <c r="U198" s="93"/>
      <c r="V198" s="93"/>
      <c r="W198" s="93"/>
      <c r="X198" s="93" t="str">
        <f>IF($B198="Yes",COUNTIF(Reference!P$52:P$67,$K198),"")</f>
        <v/>
      </c>
      <c r="Y198" s="93" t="str">
        <f>IF($B198="Yes",COUNTIF(Reference!Q$52:Q$67,$K198),"")</f>
        <v/>
      </c>
      <c r="Z198" s="93" t="str">
        <f>IF($B198="Yes",COUNTIF(Reference!R$52:R$67,$K198),"")</f>
        <v/>
      </c>
      <c r="AA198" s="93" t="str">
        <f>IF($B198="Yes",COUNTIF(Reference!S$52:S$67,$K198),"")</f>
        <v/>
      </c>
      <c r="AB198" s="93" t="str">
        <f>IF($B198="Yes",COUNTIF(Reference!T$52:T$67,$K198),"")</f>
        <v/>
      </c>
      <c r="AC198" s="93" t="str">
        <f t="shared" si="8"/>
        <v/>
      </c>
    </row>
    <row r="199" spans="1:29" x14ac:dyDescent="0.25">
      <c r="A199" s="95">
        <v>289</v>
      </c>
      <c r="B199" s="95" t="str">
        <f t="shared" si="6"/>
        <v>No</v>
      </c>
      <c r="H199" s="95" t="str">
        <f t="shared" si="7"/>
        <v/>
      </c>
      <c r="I199" s="111"/>
      <c r="J199" s="112"/>
      <c r="K199" s="112"/>
      <c r="L199" s="112"/>
      <c r="M199" s="112"/>
      <c r="N199" s="112"/>
      <c r="O199" s="112"/>
      <c r="P199" s="112"/>
      <c r="Q199" s="112"/>
      <c r="R199" s="112"/>
      <c r="S199" s="111"/>
      <c r="T199" s="93"/>
      <c r="U199" s="93"/>
      <c r="V199" s="93"/>
      <c r="W199" s="93"/>
      <c r="X199" s="93" t="str">
        <f>IF($B199="Yes",COUNTIF(Reference!P$52:P$67,$K199),"")</f>
        <v/>
      </c>
      <c r="Y199" s="93" t="str">
        <f>IF($B199="Yes",COUNTIF(Reference!Q$52:Q$67,$K199),"")</f>
        <v/>
      </c>
      <c r="Z199" s="93" t="str">
        <f>IF($B199="Yes",COUNTIF(Reference!R$52:R$67,$K199),"")</f>
        <v/>
      </c>
      <c r="AA199" s="93" t="str">
        <f>IF($B199="Yes",COUNTIF(Reference!S$52:S$67,$K199),"")</f>
        <v/>
      </c>
      <c r="AB199" s="93" t="str">
        <f>IF($B199="Yes",COUNTIF(Reference!T$52:T$67,$K199),"")</f>
        <v/>
      </c>
      <c r="AC199" s="93" t="str">
        <f t="shared" si="8"/>
        <v/>
      </c>
    </row>
    <row r="200" spans="1:29" x14ac:dyDescent="0.25">
      <c r="A200" s="95">
        <v>290</v>
      </c>
      <c r="B200" s="95" t="str">
        <f t="shared" si="6"/>
        <v>No</v>
      </c>
      <c r="H200" s="95" t="str">
        <f t="shared" si="7"/>
        <v/>
      </c>
      <c r="I200" s="111"/>
      <c r="J200" s="112"/>
      <c r="K200" s="112"/>
      <c r="L200" s="112"/>
      <c r="M200" s="112"/>
      <c r="N200" s="112"/>
      <c r="O200" s="112"/>
      <c r="P200" s="112"/>
      <c r="Q200" s="112"/>
      <c r="R200" s="112"/>
      <c r="S200" s="111"/>
      <c r="T200" s="93"/>
      <c r="U200" s="93"/>
      <c r="V200" s="93"/>
      <c r="W200" s="93"/>
      <c r="X200" s="93" t="str">
        <f>IF($B200="Yes",COUNTIF(Reference!P$52:P$67,$K200),"")</f>
        <v/>
      </c>
      <c r="Y200" s="93" t="str">
        <f>IF($B200="Yes",COUNTIF(Reference!Q$52:Q$67,$K200),"")</f>
        <v/>
      </c>
      <c r="Z200" s="93" t="str">
        <f>IF($B200="Yes",COUNTIF(Reference!R$52:R$67,$K200),"")</f>
        <v/>
      </c>
      <c r="AA200" s="93" t="str">
        <f>IF($B200="Yes",COUNTIF(Reference!S$52:S$67,$K200),"")</f>
        <v/>
      </c>
      <c r="AB200" s="93" t="str">
        <f>IF($B200="Yes",COUNTIF(Reference!T$52:T$67,$K200),"")</f>
        <v/>
      </c>
      <c r="AC200" s="93" t="str">
        <f t="shared" si="8"/>
        <v/>
      </c>
    </row>
    <row r="201" spans="1:29" x14ac:dyDescent="0.25">
      <c r="A201" s="95">
        <v>291</v>
      </c>
      <c r="B201" s="95" t="str">
        <f t="shared" si="6"/>
        <v>No</v>
      </c>
      <c r="H201" s="95" t="str">
        <f t="shared" si="7"/>
        <v/>
      </c>
      <c r="I201" s="111"/>
      <c r="J201" s="112"/>
      <c r="K201" s="112"/>
      <c r="L201" s="112"/>
      <c r="M201" s="112"/>
      <c r="N201" s="112"/>
      <c r="O201" s="112"/>
      <c r="P201" s="112"/>
      <c r="Q201" s="112"/>
      <c r="R201" s="112"/>
      <c r="S201" s="111"/>
      <c r="T201" s="93"/>
      <c r="U201" s="93"/>
      <c r="V201" s="93"/>
      <c r="W201" s="93"/>
      <c r="X201" s="93" t="str">
        <f>IF($B201="Yes",COUNTIF(Reference!P$52:P$67,$K201),"")</f>
        <v/>
      </c>
      <c r="Y201" s="93" t="str">
        <f>IF($B201="Yes",COUNTIF(Reference!Q$52:Q$67,$K201),"")</f>
        <v/>
      </c>
      <c r="Z201" s="93" t="str">
        <f>IF($B201="Yes",COUNTIF(Reference!R$52:R$67,$K201),"")</f>
        <v/>
      </c>
      <c r="AA201" s="93" t="str">
        <f>IF($B201="Yes",COUNTIF(Reference!S$52:S$67,$K201),"")</f>
        <v/>
      </c>
      <c r="AB201" s="93" t="str">
        <f>IF($B201="Yes",COUNTIF(Reference!T$52:T$67,$K201),"")</f>
        <v/>
      </c>
      <c r="AC201" s="93" t="str">
        <f t="shared" si="8"/>
        <v/>
      </c>
    </row>
    <row r="202" spans="1:29" x14ac:dyDescent="0.25">
      <c r="A202" s="95">
        <v>292</v>
      </c>
      <c r="B202" s="95" t="str">
        <f t="shared" si="6"/>
        <v>No</v>
      </c>
      <c r="H202" s="95" t="str">
        <f t="shared" si="7"/>
        <v/>
      </c>
      <c r="I202" s="111"/>
      <c r="J202" s="112"/>
      <c r="K202" s="112"/>
      <c r="L202" s="112"/>
      <c r="M202" s="112"/>
      <c r="N202" s="112"/>
      <c r="O202" s="112"/>
      <c r="P202" s="112"/>
      <c r="Q202" s="112"/>
      <c r="R202" s="112"/>
      <c r="S202" s="111"/>
      <c r="T202" s="93"/>
      <c r="U202" s="93"/>
      <c r="V202" s="93"/>
      <c r="W202" s="93"/>
      <c r="X202" s="93" t="str">
        <f>IF($B202="Yes",COUNTIF(Reference!P$52:P$67,$K202),"")</f>
        <v/>
      </c>
      <c r="Y202" s="93" t="str">
        <f>IF($B202="Yes",COUNTIF(Reference!Q$52:Q$67,$K202),"")</f>
        <v/>
      </c>
      <c r="Z202" s="93" t="str">
        <f>IF($B202="Yes",COUNTIF(Reference!R$52:R$67,$K202),"")</f>
        <v/>
      </c>
      <c r="AA202" s="93" t="str">
        <f>IF($B202="Yes",COUNTIF(Reference!S$52:S$67,$K202),"")</f>
        <v/>
      </c>
      <c r="AB202" s="93" t="str">
        <f>IF($B202="Yes",COUNTIF(Reference!T$52:T$67,$K202),"")</f>
        <v/>
      </c>
      <c r="AC202" s="93" t="str">
        <f t="shared" si="8"/>
        <v/>
      </c>
    </row>
    <row r="203" spans="1:29" x14ac:dyDescent="0.25">
      <c r="A203" s="95">
        <v>293</v>
      </c>
      <c r="B203" s="95" t="str">
        <f t="shared" ref="B203:B266" si="9">IF(COUNTBLANK(J203:M203)=0,"Yes","No")</f>
        <v>No</v>
      </c>
      <c r="H203" s="95" t="str">
        <f t="shared" ref="H203:H266" si="10">IF(J203="","",$A$1&amp;"-"&amp;A203)</f>
        <v/>
      </c>
      <c r="I203" s="111"/>
      <c r="J203" s="112"/>
      <c r="K203" s="112"/>
      <c r="L203" s="112"/>
      <c r="M203" s="112"/>
      <c r="N203" s="112"/>
      <c r="O203" s="112"/>
      <c r="P203" s="112"/>
      <c r="Q203" s="112"/>
      <c r="R203" s="112"/>
      <c r="S203" s="111"/>
      <c r="T203" s="93"/>
      <c r="U203" s="93"/>
      <c r="V203" s="93"/>
      <c r="W203" s="93"/>
      <c r="X203" s="93" t="str">
        <f>IF($B203="Yes",COUNTIF(Reference!P$52:P$67,$K203),"")</f>
        <v/>
      </c>
      <c r="Y203" s="93" t="str">
        <f>IF($B203="Yes",COUNTIF(Reference!Q$52:Q$67,$K203),"")</f>
        <v/>
      </c>
      <c r="Z203" s="93" t="str">
        <f>IF($B203="Yes",COUNTIF(Reference!R$52:R$67,$K203),"")</f>
        <v/>
      </c>
      <c r="AA203" s="93" t="str">
        <f>IF($B203="Yes",COUNTIF(Reference!S$52:S$67,$K203),"")</f>
        <v/>
      </c>
      <c r="AB203" s="93" t="str">
        <f>IF($B203="Yes",COUNTIF(Reference!T$52:T$67,$K203),"")</f>
        <v/>
      </c>
      <c r="AC203" s="93" t="str">
        <f t="shared" ref="AC203:AC266" si="11">IF($B203="Yes",COUNTIF(K203,"N"),"")</f>
        <v/>
      </c>
    </row>
    <row r="204" spans="1:29" x14ac:dyDescent="0.25">
      <c r="A204" s="95">
        <v>294</v>
      </c>
      <c r="B204" s="95" t="str">
        <f t="shared" si="9"/>
        <v>No</v>
      </c>
      <c r="H204" s="95" t="str">
        <f t="shared" si="10"/>
        <v/>
      </c>
      <c r="I204" s="111"/>
      <c r="J204" s="112"/>
      <c r="K204" s="112"/>
      <c r="L204" s="112"/>
      <c r="M204" s="112"/>
      <c r="N204" s="112"/>
      <c r="O204" s="112"/>
      <c r="P204" s="112"/>
      <c r="Q204" s="112"/>
      <c r="R204" s="112"/>
      <c r="S204" s="111"/>
      <c r="T204" s="93"/>
      <c r="U204" s="93"/>
      <c r="V204" s="93"/>
      <c r="W204" s="93"/>
      <c r="X204" s="93" t="str">
        <f>IF($B204="Yes",COUNTIF(Reference!P$52:P$67,$K204),"")</f>
        <v/>
      </c>
      <c r="Y204" s="93" t="str">
        <f>IF($B204="Yes",COUNTIF(Reference!Q$52:Q$67,$K204),"")</f>
        <v/>
      </c>
      <c r="Z204" s="93" t="str">
        <f>IF($B204="Yes",COUNTIF(Reference!R$52:R$67,$K204),"")</f>
        <v/>
      </c>
      <c r="AA204" s="93" t="str">
        <f>IF($B204="Yes",COUNTIF(Reference!S$52:S$67,$K204),"")</f>
        <v/>
      </c>
      <c r="AB204" s="93" t="str">
        <f>IF($B204="Yes",COUNTIF(Reference!T$52:T$67,$K204),"")</f>
        <v/>
      </c>
      <c r="AC204" s="93" t="str">
        <f t="shared" si="11"/>
        <v/>
      </c>
    </row>
    <row r="205" spans="1:29" x14ac:dyDescent="0.25">
      <c r="A205" s="95">
        <v>295</v>
      </c>
      <c r="B205" s="95" t="str">
        <f t="shared" si="9"/>
        <v>No</v>
      </c>
      <c r="H205" s="95" t="str">
        <f t="shared" si="10"/>
        <v/>
      </c>
      <c r="I205" s="111"/>
      <c r="J205" s="112"/>
      <c r="K205" s="112"/>
      <c r="L205" s="112"/>
      <c r="M205" s="112"/>
      <c r="N205" s="112"/>
      <c r="O205" s="112"/>
      <c r="P205" s="112"/>
      <c r="Q205" s="112"/>
      <c r="R205" s="112"/>
      <c r="S205" s="111"/>
      <c r="T205" s="93"/>
      <c r="U205" s="93"/>
      <c r="V205" s="93"/>
      <c r="W205" s="93"/>
      <c r="X205" s="93" t="str">
        <f>IF($B205="Yes",COUNTIF(Reference!P$52:P$67,$K205),"")</f>
        <v/>
      </c>
      <c r="Y205" s="93" t="str">
        <f>IF($B205="Yes",COUNTIF(Reference!Q$52:Q$67,$K205),"")</f>
        <v/>
      </c>
      <c r="Z205" s="93" t="str">
        <f>IF($B205="Yes",COUNTIF(Reference!R$52:R$67,$K205),"")</f>
        <v/>
      </c>
      <c r="AA205" s="93" t="str">
        <f>IF($B205="Yes",COUNTIF(Reference!S$52:S$67,$K205),"")</f>
        <v/>
      </c>
      <c r="AB205" s="93" t="str">
        <f>IF($B205="Yes",COUNTIF(Reference!T$52:T$67,$K205),"")</f>
        <v/>
      </c>
      <c r="AC205" s="93" t="str">
        <f t="shared" si="11"/>
        <v/>
      </c>
    </row>
    <row r="206" spans="1:29" x14ac:dyDescent="0.25">
      <c r="A206" s="95">
        <v>296</v>
      </c>
      <c r="B206" s="95" t="str">
        <f t="shared" si="9"/>
        <v>No</v>
      </c>
      <c r="H206" s="95" t="str">
        <f t="shared" si="10"/>
        <v/>
      </c>
      <c r="I206" s="111"/>
      <c r="J206" s="112"/>
      <c r="K206" s="112"/>
      <c r="L206" s="112"/>
      <c r="M206" s="112"/>
      <c r="N206" s="112"/>
      <c r="O206" s="112"/>
      <c r="P206" s="112"/>
      <c r="Q206" s="112"/>
      <c r="R206" s="112"/>
      <c r="S206" s="111"/>
      <c r="T206" s="93"/>
      <c r="U206" s="93"/>
      <c r="V206" s="93"/>
      <c r="W206" s="93"/>
      <c r="X206" s="93" t="str">
        <f>IF($B206="Yes",COUNTIF(Reference!P$52:P$67,$K206),"")</f>
        <v/>
      </c>
      <c r="Y206" s="93" t="str">
        <f>IF($B206="Yes",COUNTIF(Reference!Q$52:Q$67,$K206),"")</f>
        <v/>
      </c>
      <c r="Z206" s="93" t="str">
        <f>IF($B206="Yes",COUNTIF(Reference!R$52:R$67,$K206),"")</f>
        <v/>
      </c>
      <c r="AA206" s="93" t="str">
        <f>IF($B206="Yes",COUNTIF(Reference!S$52:S$67,$K206),"")</f>
        <v/>
      </c>
      <c r="AB206" s="93" t="str">
        <f>IF($B206="Yes",COUNTIF(Reference!T$52:T$67,$K206),"")</f>
        <v/>
      </c>
      <c r="AC206" s="93" t="str">
        <f t="shared" si="11"/>
        <v/>
      </c>
    </row>
    <row r="207" spans="1:29" x14ac:dyDescent="0.25">
      <c r="A207" s="95">
        <v>297</v>
      </c>
      <c r="B207" s="95" t="str">
        <f t="shared" si="9"/>
        <v>No</v>
      </c>
      <c r="H207" s="95" t="str">
        <f t="shared" si="10"/>
        <v/>
      </c>
      <c r="I207" s="111"/>
      <c r="J207" s="112"/>
      <c r="K207" s="112"/>
      <c r="L207" s="112"/>
      <c r="M207" s="112"/>
      <c r="N207" s="112"/>
      <c r="O207" s="112"/>
      <c r="P207" s="112"/>
      <c r="Q207" s="112"/>
      <c r="R207" s="112"/>
      <c r="S207" s="111"/>
      <c r="T207" s="93"/>
      <c r="U207" s="93"/>
      <c r="V207" s="93"/>
      <c r="W207" s="93"/>
      <c r="X207" s="93" t="str">
        <f>IF($B207="Yes",COUNTIF(Reference!P$52:P$67,$K207),"")</f>
        <v/>
      </c>
      <c r="Y207" s="93" t="str">
        <f>IF($B207="Yes",COUNTIF(Reference!Q$52:Q$67,$K207),"")</f>
        <v/>
      </c>
      <c r="Z207" s="93" t="str">
        <f>IF($B207="Yes",COUNTIF(Reference!R$52:R$67,$K207),"")</f>
        <v/>
      </c>
      <c r="AA207" s="93" t="str">
        <f>IF($B207="Yes",COUNTIF(Reference!S$52:S$67,$K207),"")</f>
        <v/>
      </c>
      <c r="AB207" s="93" t="str">
        <f>IF($B207="Yes",COUNTIF(Reference!T$52:T$67,$K207),"")</f>
        <v/>
      </c>
      <c r="AC207" s="93" t="str">
        <f t="shared" si="11"/>
        <v/>
      </c>
    </row>
    <row r="208" spans="1:29" x14ac:dyDescent="0.25">
      <c r="A208" s="95">
        <v>298</v>
      </c>
      <c r="B208" s="95" t="str">
        <f t="shared" si="9"/>
        <v>No</v>
      </c>
      <c r="H208" s="95" t="str">
        <f t="shared" si="10"/>
        <v/>
      </c>
      <c r="I208" s="111"/>
      <c r="J208" s="112"/>
      <c r="K208" s="112"/>
      <c r="L208" s="112"/>
      <c r="M208" s="112"/>
      <c r="N208" s="112"/>
      <c r="O208" s="112"/>
      <c r="P208" s="112"/>
      <c r="Q208" s="112"/>
      <c r="R208" s="112"/>
      <c r="S208" s="111"/>
      <c r="T208" s="93"/>
      <c r="U208" s="93"/>
      <c r="V208" s="93"/>
      <c r="W208" s="93"/>
      <c r="X208" s="93" t="str">
        <f>IF($B208="Yes",COUNTIF(Reference!P$52:P$67,$K208),"")</f>
        <v/>
      </c>
      <c r="Y208" s="93" t="str">
        <f>IF($B208="Yes",COUNTIF(Reference!Q$52:Q$67,$K208),"")</f>
        <v/>
      </c>
      <c r="Z208" s="93" t="str">
        <f>IF($B208="Yes",COUNTIF(Reference!R$52:R$67,$K208),"")</f>
        <v/>
      </c>
      <c r="AA208" s="93" t="str">
        <f>IF($B208="Yes",COUNTIF(Reference!S$52:S$67,$K208),"")</f>
        <v/>
      </c>
      <c r="AB208" s="93" t="str">
        <f>IF($B208="Yes",COUNTIF(Reference!T$52:T$67,$K208),"")</f>
        <v/>
      </c>
      <c r="AC208" s="93" t="str">
        <f t="shared" si="11"/>
        <v/>
      </c>
    </row>
    <row r="209" spans="1:29" x14ac:dyDescent="0.25">
      <c r="A209" s="95">
        <v>299</v>
      </c>
      <c r="B209" s="95" t="str">
        <f t="shared" si="9"/>
        <v>No</v>
      </c>
      <c r="H209" s="95" t="str">
        <f t="shared" si="10"/>
        <v/>
      </c>
      <c r="I209" s="111"/>
      <c r="J209" s="112"/>
      <c r="K209" s="112"/>
      <c r="L209" s="112"/>
      <c r="M209" s="112"/>
      <c r="N209" s="112"/>
      <c r="O209" s="112"/>
      <c r="P209" s="112"/>
      <c r="Q209" s="112"/>
      <c r="R209" s="112"/>
      <c r="S209" s="111"/>
      <c r="T209" s="93"/>
      <c r="U209" s="93"/>
      <c r="V209" s="93"/>
      <c r="W209" s="93"/>
      <c r="X209" s="93" t="str">
        <f>IF($B209="Yes",COUNTIF(Reference!P$52:P$67,$K209),"")</f>
        <v/>
      </c>
      <c r="Y209" s="93" t="str">
        <f>IF($B209="Yes",COUNTIF(Reference!Q$52:Q$67,$K209),"")</f>
        <v/>
      </c>
      <c r="Z209" s="93" t="str">
        <f>IF($B209="Yes",COUNTIF(Reference!R$52:R$67,$K209),"")</f>
        <v/>
      </c>
      <c r="AA209" s="93" t="str">
        <f>IF($B209="Yes",COUNTIF(Reference!S$52:S$67,$K209),"")</f>
        <v/>
      </c>
      <c r="AB209" s="93" t="str">
        <f>IF($B209="Yes",COUNTIF(Reference!T$52:T$67,$K209),"")</f>
        <v/>
      </c>
      <c r="AC209" s="93" t="str">
        <f t="shared" si="11"/>
        <v/>
      </c>
    </row>
    <row r="210" spans="1:29" x14ac:dyDescent="0.25">
      <c r="A210" s="95">
        <v>300</v>
      </c>
      <c r="B210" s="95" t="str">
        <f t="shared" si="9"/>
        <v>No</v>
      </c>
      <c r="H210" s="95" t="str">
        <f t="shared" si="10"/>
        <v/>
      </c>
      <c r="I210" s="111"/>
      <c r="J210" s="112"/>
      <c r="K210" s="112"/>
      <c r="L210" s="112"/>
      <c r="M210" s="112"/>
      <c r="N210" s="112"/>
      <c r="O210" s="112"/>
      <c r="P210" s="112"/>
      <c r="Q210" s="112"/>
      <c r="R210" s="112"/>
      <c r="S210" s="111"/>
      <c r="T210" s="93"/>
      <c r="U210" s="93"/>
      <c r="V210" s="93"/>
      <c r="W210" s="93"/>
      <c r="X210" s="93" t="str">
        <f>IF($B210="Yes",COUNTIF(Reference!P$52:P$67,$K210),"")</f>
        <v/>
      </c>
      <c r="Y210" s="93" t="str">
        <f>IF($B210="Yes",COUNTIF(Reference!Q$52:Q$67,$K210),"")</f>
        <v/>
      </c>
      <c r="Z210" s="93" t="str">
        <f>IF($B210="Yes",COUNTIF(Reference!R$52:R$67,$K210),"")</f>
        <v/>
      </c>
      <c r="AA210" s="93" t="str">
        <f>IF($B210="Yes",COUNTIF(Reference!S$52:S$67,$K210),"")</f>
        <v/>
      </c>
      <c r="AB210" s="93" t="str">
        <f>IF($B210="Yes",COUNTIF(Reference!T$52:T$67,$K210),"")</f>
        <v/>
      </c>
      <c r="AC210" s="93" t="str">
        <f t="shared" si="11"/>
        <v/>
      </c>
    </row>
    <row r="211" spans="1:29" x14ac:dyDescent="0.25">
      <c r="A211" s="95">
        <v>301</v>
      </c>
      <c r="B211" s="95" t="str">
        <f t="shared" si="9"/>
        <v>No</v>
      </c>
      <c r="H211" s="95" t="str">
        <f t="shared" si="10"/>
        <v/>
      </c>
      <c r="I211" s="111"/>
      <c r="J211" s="112"/>
      <c r="K211" s="112"/>
      <c r="L211" s="112"/>
      <c r="M211" s="112"/>
      <c r="N211" s="112"/>
      <c r="O211" s="112"/>
      <c r="P211" s="112"/>
      <c r="Q211" s="112"/>
      <c r="R211" s="112"/>
      <c r="S211" s="111"/>
      <c r="T211" s="93"/>
      <c r="U211" s="93"/>
      <c r="V211" s="93"/>
      <c r="W211" s="93"/>
      <c r="X211" s="93" t="str">
        <f>IF($B211="Yes",COUNTIF(Reference!P$52:P$67,$K211),"")</f>
        <v/>
      </c>
      <c r="Y211" s="93" t="str">
        <f>IF($B211="Yes",COUNTIF(Reference!Q$52:Q$67,$K211),"")</f>
        <v/>
      </c>
      <c r="Z211" s="93" t="str">
        <f>IF($B211="Yes",COUNTIF(Reference!R$52:R$67,$K211),"")</f>
        <v/>
      </c>
      <c r="AA211" s="93" t="str">
        <f>IF($B211="Yes",COUNTIF(Reference!S$52:S$67,$K211),"")</f>
        <v/>
      </c>
      <c r="AB211" s="93" t="str">
        <f>IF($B211="Yes",COUNTIF(Reference!T$52:T$67,$K211),"")</f>
        <v/>
      </c>
      <c r="AC211" s="93" t="str">
        <f t="shared" si="11"/>
        <v/>
      </c>
    </row>
    <row r="212" spans="1:29" x14ac:dyDescent="0.25">
      <c r="A212" s="95">
        <v>302</v>
      </c>
      <c r="B212" s="95" t="str">
        <f t="shared" si="9"/>
        <v>No</v>
      </c>
      <c r="H212" s="95" t="str">
        <f t="shared" si="10"/>
        <v/>
      </c>
      <c r="I212" s="111"/>
      <c r="J212" s="112"/>
      <c r="K212" s="112"/>
      <c r="L212" s="112"/>
      <c r="M212" s="112"/>
      <c r="N212" s="112"/>
      <c r="O212" s="112"/>
      <c r="P212" s="112"/>
      <c r="Q212" s="112"/>
      <c r="R212" s="112"/>
      <c r="S212" s="111"/>
      <c r="T212" s="93"/>
      <c r="U212" s="93"/>
      <c r="V212" s="93"/>
      <c r="W212" s="93"/>
      <c r="X212" s="93" t="str">
        <f>IF($B212="Yes",COUNTIF(Reference!P$52:P$67,$K212),"")</f>
        <v/>
      </c>
      <c r="Y212" s="93" t="str">
        <f>IF($B212="Yes",COUNTIF(Reference!Q$52:Q$67,$K212),"")</f>
        <v/>
      </c>
      <c r="Z212" s="93" t="str">
        <f>IF($B212="Yes",COUNTIF(Reference!R$52:R$67,$K212),"")</f>
        <v/>
      </c>
      <c r="AA212" s="93" t="str">
        <f>IF($B212="Yes",COUNTIF(Reference!S$52:S$67,$K212),"")</f>
        <v/>
      </c>
      <c r="AB212" s="93" t="str">
        <f>IF($B212="Yes",COUNTIF(Reference!T$52:T$67,$K212),"")</f>
        <v/>
      </c>
      <c r="AC212" s="93" t="str">
        <f t="shared" si="11"/>
        <v/>
      </c>
    </row>
    <row r="213" spans="1:29" x14ac:dyDescent="0.25">
      <c r="A213" s="95">
        <v>303</v>
      </c>
      <c r="B213" s="95" t="str">
        <f t="shared" si="9"/>
        <v>No</v>
      </c>
      <c r="H213" s="95" t="str">
        <f t="shared" si="10"/>
        <v/>
      </c>
      <c r="I213" s="111"/>
      <c r="J213" s="112"/>
      <c r="K213" s="112"/>
      <c r="L213" s="112"/>
      <c r="M213" s="112"/>
      <c r="N213" s="112"/>
      <c r="O213" s="112"/>
      <c r="P213" s="112"/>
      <c r="Q213" s="112"/>
      <c r="R213" s="112"/>
      <c r="S213" s="111"/>
      <c r="T213" s="93"/>
      <c r="U213" s="93"/>
      <c r="V213" s="93"/>
      <c r="W213" s="93"/>
      <c r="X213" s="93" t="str">
        <f>IF($B213="Yes",COUNTIF(Reference!P$52:P$67,$K213),"")</f>
        <v/>
      </c>
      <c r="Y213" s="93" t="str">
        <f>IF($B213="Yes",COUNTIF(Reference!Q$52:Q$67,$K213),"")</f>
        <v/>
      </c>
      <c r="Z213" s="93" t="str">
        <f>IF($B213="Yes",COUNTIF(Reference!R$52:R$67,$K213),"")</f>
        <v/>
      </c>
      <c r="AA213" s="93" t="str">
        <f>IF($B213="Yes",COUNTIF(Reference!S$52:S$67,$K213),"")</f>
        <v/>
      </c>
      <c r="AB213" s="93" t="str">
        <f>IF($B213="Yes",COUNTIF(Reference!T$52:T$67,$K213),"")</f>
        <v/>
      </c>
      <c r="AC213" s="93" t="str">
        <f t="shared" si="11"/>
        <v/>
      </c>
    </row>
    <row r="214" spans="1:29" x14ac:dyDescent="0.25">
      <c r="A214" s="95">
        <v>304</v>
      </c>
      <c r="B214" s="95" t="str">
        <f t="shared" si="9"/>
        <v>No</v>
      </c>
      <c r="H214" s="95" t="str">
        <f t="shared" si="10"/>
        <v/>
      </c>
      <c r="I214" s="111"/>
      <c r="J214" s="112"/>
      <c r="K214" s="112"/>
      <c r="L214" s="112"/>
      <c r="M214" s="112"/>
      <c r="N214" s="112"/>
      <c r="O214" s="112"/>
      <c r="P214" s="112"/>
      <c r="Q214" s="112"/>
      <c r="R214" s="112"/>
      <c r="S214" s="111"/>
      <c r="T214" s="93"/>
      <c r="U214" s="93"/>
      <c r="V214" s="93"/>
      <c r="W214" s="93"/>
      <c r="X214" s="93" t="str">
        <f>IF($B214="Yes",COUNTIF(Reference!P$52:P$67,$K214),"")</f>
        <v/>
      </c>
      <c r="Y214" s="93" t="str">
        <f>IF($B214="Yes",COUNTIF(Reference!Q$52:Q$67,$K214),"")</f>
        <v/>
      </c>
      <c r="Z214" s="93" t="str">
        <f>IF($B214="Yes",COUNTIF(Reference!R$52:R$67,$K214),"")</f>
        <v/>
      </c>
      <c r="AA214" s="93" t="str">
        <f>IF($B214="Yes",COUNTIF(Reference!S$52:S$67,$K214),"")</f>
        <v/>
      </c>
      <c r="AB214" s="93" t="str">
        <f>IF($B214="Yes",COUNTIF(Reference!T$52:T$67,$K214),"")</f>
        <v/>
      </c>
      <c r="AC214" s="93" t="str">
        <f t="shared" si="11"/>
        <v/>
      </c>
    </row>
    <row r="215" spans="1:29" x14ac:dyDescent="0.25">
      <c r="A215" s="95">
        <v>305</v>
      </c>
      <c r="B215" s="95" t="str">
        <f t="shared" si="9"/>
        <v>No</v>
      </c>
      <c r="H215" s="95" t="str">
        <f t="shared" si="10"/>
        <v/>
      </c>
      <c r="I215" s="111"/>
      <c r="J215" s="112"/>
      <c r="K215" s="112"/>
      <c r="L215" s="112"/>
      <c r="M215" s="112"/>
      <c r="N215" s="112"/>
      <c r="O215" s="112"/>
      <c r="P215" s="112"/>
      <c r="Q215" s="112"/>
      <c r="R215" s="112"/>
      <c r="S215" s="111"/>
      <c r="T215" s="93"/>
      <c r="U215" s="93"/>
      <c r="V215" s="93"/>
      <c r="W215" s="93"/>
      <c r="X215" s="93" t="str">
        <f>IF($B215="Yes",COUNTIF(Reference!P$52:P$67,$K215),"")</f>
        <v/>
      </c>
      <c r="Y215" s="93" t="str">
        <f>IF($B215="Yes",COUNTIF(Reference!Q$52:Q$67,$K215),"")</f>
        <v/>
      </c>
      <c r="Z215" s="93" t="str">
        <f>IF($B215="Yes",COUNTIF(Reference!R$52:R$67,$K215),"")</f>
        <v/>
      </c>
      <c r="AA215" s="93" t="str">
        <f>IF($B215="Yes",COUNTIF(Reference!S$52:S$67,$K215),"")</f>
        <v/>
      </c>
      <c r="AB215" s="93" t="str">
        <f>IF($B215="Yes",COUNTIF(Reference!T$52:T$67,$K215),"")</f>
        <v/>
      </c>
      <c r="AC215" s="93" t="str">
        <f t="shared" si="11"/>
        <v/>
      </c>
    </row>
    <row r="216" spans="1:29" x14ac:dyDescent="0.25">
      <c r="A216" s="95">
        <v>306</v>
      </c>
      <c r="B216" s="95" t="str">
        <f t="shared" si="9"/>
        <v>No</v>
      </c>
      <c r="H216" s="95" t="str">
        <f t="shared" si="10"/>
        <v/>
      </c>
      <c r="I216" s="111"/>
      <c r="J216" s="112"/>
      <c r="K216" s="112"/>
      <c r="L216" s="112"/>
      <c r="M216" s="112"/>
      <c r="N216" s="112"/>
      <c r="O216" s="112"/>
      <c r="P216" s="112"/>
      <c r="Q216" s="112"/>
      <c r="R216" s="112"/>
      <c r="S216" s="111"/>
      <c r="T216" s="93"/>
      <c r="U216" s="93"/>
      <c r="V216" s="93"/>
      <c r="W216" s="93"/>
      <c r="X216" s="93" t="str">
        <f>IF($B216="Yes",COUNTIF(Reference!P$52:P$67,$K216),"")</f>
        <v/>
      </c>
      <c r="Y216" s="93" t="str">
        <f>IF($B216="Yes",COUNTIF(Reference!Q$52:Q$67,$K216),"")</f>
        <v/>
      </c>
      <c r="Z216" s="93" t="str">
        <f>IF($B216="Yes",COUNTIF(Reference!R$52:R$67,$K216),"")</f>
        <v/>
      </c>
      <c r="AA216" s="93" t="str">
        <f>IF($B216="Yes",COUNTIF(Reference!S$52:S$67,$K216),"")</f>
        <v/>
      </c>
      <c r="AB216" s="93" t="str">
        <f>IF($B216="Yes",COUNTIF(Reference!T$52:T$67,$K216),"")</f>
        <v/>
      </c>
      <c r="AC216" s="93" t="str">
        <f t="shared" si="11"/>
        <v/>
      </c>
    </row>
    <row r="217" spans="1:29" x14ac:dyDescent="0.25">
      <c r="A217" s="95">
        <v>307</v>
      </c>
      <c r="B217" s="95" t="str">
        <f t="shared" si="9"/>
        <v>No</v>
      </c>
      <c r="H217" s="95" t="str">
        <f t="shared" si="10"/>
        <v/>
      </c>
      <c r="I217" s="111"/>
      <c r="J217" s="112"/>
      <c r="K217" s="112"/>
      <c r="L217" s="112"/>
      <c r="M217" s="112"/>
      <c r="N217" s="112"/>
      <c r="O217" s="112"/>
      <c r="P217" s="112"/>
      <c r="Q217" s="112"/>
      <c r="R217" s="112"/>
      <c r="S217" s="111"/>
      <c r="T217" s="93"/>
      <c r="U217" s="93"/>
      <c r="V217" s="93"/>
      <c r="W217" s="93"/>
      <c r="X217" s="93" t="str">
        <f>IF($B217="Yes",COUNTIF(Reference!P$52:P$67,$K217),"")</f>
        <v/>
      </c>
      <c r="Y217" s="93" t="str">
        <f>IF($B217="Yes",COUNTIF(Reference!Q$52:Q$67,$K217),"")</f>
        <v/>
      </c>
      <c r="Z217" s="93" t="str">
        <f>IF($B217="Yes",COUNTIF(Reference!R$52:R$67,$K217),"")</f>
        <v/>
      </c>
      <c r="AA217" s="93" t="str">
        <f>IF($B217="Yes",COUNTIF(Reference!S$52:S$67,$K217),"")</f>
        <v/>
      </c>
      <c r="AB217" s="93" t="str">
        <f>IF($B217="Yes",COUNTIF(Reference!T$52:T$67,$K217),"")</f>
        <v/>
      </c>
      <c r="AC217" s="93" t="str">
        <f t="shared" si="11"/>
        <v/>
      </c>
    </row>
    <row r="218" spans="1:29" x14ac:dyDescent="0.25">
      <c r="A218" s="95">
        <v>308</v>
      </c>
      <c r="B218" s="95" t="str">
        <f t="shared" si="9"/>
        <v>No</v>
      </c>
      <c r="H218" s="95" t="str">
        <f t="shared" si="10"/>
        <v/>
      </c>
      <c r="I218" s="111"/>
      <c r="J218" s="112"/>
      <c r="K218" s="112"/>
      <c r="L218" s="112"/>
      <c r="M218" s="112"/>
      <c r="N218" s="112"/>
      <c r="O218" s="112"/>
      <c r="P218" s="112"/>
      <c r="Q218" s="112"/>
      <c r="R218" s="112"/>
      <c r="S218" s="111"/>
      <c r="T218" s="93"/>
      <c r="U218" s="93"/>
      <c r="V218" s="93"/>
      <c r="W218" s="93"/>
      <c r="X218" s="93" t="str">
        <f>IF($B218="Yes",COUNTIF(Reference!P$52:P$67,$K218),"")</f>
        <v/>
      </c>
      <c r="Y218" s="93" t="str">
        <f>IF($B218="Yes",COUNTIF(Reference!Q$52:Q$67,$K218),"")</f>
        <v/>
      </c>
      <c r="Z218" s="93" t="str">
        <f>IF($B218="Yes",COUNTIF(Reference!R$52:R$67,$K218),"")</f>
        <v/>
      </c>
      <c r="AA218" s="93" t="str">
        <f>IF($B218="Yes",COUNTIF(Reference!S$52:S$67,$K218),"")</f>
        <v/>
      </c>
      <c r="AB218" s="93" t="str">
        <f>IF($B218="Yes",COUNTIF(Reference!T$52:T$67,$K218),"")</f>
        <v/>
      </c>
      <c r="AC218" s="93" t="str">
        <f t="shared" si="11"/>
        <v/>
      </c>
    </row>
    <row r="219" spans="1:29" x14ac:dyDescent="0.25">
      <c r="A219" s="95">
        <v>309</v>
      </c>
      <c r="B219" s="95" t="str">
        <f t="shared" si="9"/>
        <v>No</v>
      </c>
      <c r="H219" s="95" t="str">
        <f t="shared" si="10"/>
        <v/>
      </c>
      <c r="I219" s="111"/>
      <c r="J219" s="112"/>
      <c r="K219" s="112"/>
      <c r="L219" s="112"/>
      <c r="M219" s="112"/>
      <c r="N219" s="112"/>
      <c r="O219" s="112"/>
      <c r="P219" s="112"/>
      <c r="Q219" s="112"/>
      <c r="R219" s="112"/>
      <c r="S219" s="111"/>
      <c r="T219" s="93"/>
      <c r="U219" s="93"/>
      <c r="V219" s="93"/>
      <c r="W219" s="93"/>
      <c r="X219" s="93" t="str">
        <f>IF($B219="Yes",COUNTIF(Reference!P$52:P$67,$K219),"")</f>
        <v/>
      </c>
      <c r="Y219" s="93" t="str">
        <f>IF($B219="Yes",COUNTIF(Reference!Q$52:Q$67,$K219),"")</f>
        <v/>
      </c>
      <c r="Z219" s="93" t="str">
        <f>IF($B219="Yes",COUNTIF(Reference!R$52:R$67,$K219),"")</f>
        <v/>
      </c>
      <c r="AA219" s="93" t="str">
        <f>IF($B219="Yes",COUNTIF(Reference!S$52:S$67,$K219),"")</f>
        <v/>
      </c>
      <c r="AB219" s="93" t="str">
        <f>IF($B219="Yes",COUNTIF(Reference!T$52:T$67,$K219),"")</f>
        <v/>
      </c>
      <c r="AC219" s="93" t="str">
        <f t="shared" si="11"/>
        <v/>
      </c>
    </row>
    <row r="220" spans="1:29" x14ac:dyDescent="0.25">
      <c r="A220" s="95">
        <v>310</v>
      </c>
      <c r="B220" s="95" t="str">
        <f t="shared" si="9"/>
        <v>No</v>
      </c>
      <c r="H220" s="95" t="str">
        <f t="shared" si="10"/>
        <v/>
      </c>
      <c r="I220" s="111"/>
      <c r="J220" s="112"/>
      <c r="K220" s="112"/>
      <c r="L220" s="112"/>
      <c r="M220" s="112"/>
      <c r="N220" s="112"/>
      <c r="O220" s="112"/>
      <c r="P220" s="112"/>
      <c r="Q220" s="112"/>
      <c r="R220" s="112"/>
      <c r="S220" s="111"/>
      <c r="T220" s="93"/>
      <c r="U220" s="93"/>
      <c r="V220" s="93"/>
      <c r="W220" s="93"/>
      <c r="X220" s="93" t="str">
        <f>IF($B220="Yes",COUNTIF(Reference!P$52:P$67,$K220),"")</f>
        <v/>
      </c>
      <c r="Y220" s="93" t="str">
        <f>IF($B220="Yes",COUNTIF(Reference!Q$52:Q$67,$K220),"")</f>
        <v/>
      </c>
      <c r="Z220" s="93" t="str">
        <f>IF($B220="Yes",COUNTIF(Reference!R$52:R$67,$K220),"")</f>
        <v/>
      </c>
      <c r="AA220" s="93" t="str">
        <f>IF($B220="Yes",COUNTIF(Reference!S$52:S$67,$K220),"")</f>
        <v/>
      </c>
      <c r="AB220" s="93" t="str">
        <f>IF($B220="Yes",COUNTIF(Reference!T$52:T$67,$K220),"")</f>
        <v/>
      </c>
      <c r="AC220" s="93" t="str">
        <f t="shared" si="11"/>
        <v/>
      </c>
    </row>
    <row r="221" spans="1:29" x14ac:dyDescent="0.25">
      <c r="A221" s="95">
        <v>311</v>
      </c>
      <c r="B221" s="95" t="str">
        <f t="shared" si="9"/>
        <v>No</v>
      </c>
      <c r="H221" s="95" t="str">
        <f t="shared" si="10"/>
        <v/>
      </c>
      <c r="I221" s="111"/>
      <c r="J221" s="112"/>
      <c r="K221" s="112"/>
      <c r="L221" s="112"/>
      <c r="M221" s="112"/>
      <c r="N221" s="112"/>
      <c r="O221" s="112"/>
      <c r="P221" s="112"/>
      <c r="Q221" s="112"/>
      <c r="R221" s="112"/>
      <c r="S221" s="111"/>
      <c r="T221" s="93"/>
      <c r="U221" s="93"/>
      <c r="V221" s="93"/>
      <c r="W221" s="93"/>
      <c r="X221" s="93" t="str">
        <f>IF($B221="Yes",COUNTIF(Reference!P$52:P$67,$K221),"")</f>
        <v/>
      </c>
      <c r="Y221" s="93" t="str">
        <f>IF($B221="Yes",COUNTIF(Reference!Q$52:Q$67,$K221),"")</f>
        <v/>
      </c>
      <c r="Z221" s="93" t="str">
        <f>IF($B221="Yes",COUNTIF(Reference!R$52:R$67,$K221),"")</f>
        <v/>
      </c>
      <c r="AA221" s="93" t="str">
        <f>IF($B221="Yes",COUNTIF(Reference!S$52:S$67,$K221),"")</f>
        <v/>
      </c>
      <c r="AB221" s="93" t="str">
        <f>IF($B221="Yes",COUNTIF(Reference!T$52:T$67,$K221),"")</f>
        <v/>
      </c>
      <c r="AC221" s="93" t="str">
        <f t="shared" si="11"/>
        <v/>
      </c>
    </row>
    <row r="222" spans="1:29" x14ac:dyDescent="0.25">
      <c r="A222" s="95">
        <v>312</v>
      </c>
      <c r="B222" s="95" t="str">
        <f t="shared" si="9"/>
        <v>No</v>
      </c>
      <c r="H222" s="95" t="str">
        <f t="shared" si="10"/>
        <v/>
      </c>
      <c r="I222" s="111"/>
      <c r="J222" s="112"/>
      <c r="K222" s="112"/>
      <c r="L222" s="112"/>
      <c r="M222" s="112"/>
      <c r="N222" s="112"/>
      <c r="O222" s="112"/>
      <c r="P222" s="112"/>
      <c r="Q222" s="112"/>
      <c r="R222" s="112"/>
      <c r="S222" s="111"/>
      <c r="T222" s="93"/>
      <c r="U222" s="93"/>
      <c r="V222" s="93"/>
      <c r="W222" s="93"/>
      <c r="X222" s="93" t="str">
        <f>IF($B222="Yes",COUNTIF(Reference!P$52:P$67,$K222),"")</f>
        <v/>
      </c>
      <c r="Y222" s="93" t="str">
        <f>IF($B222="Yes",COUNTIF(Reference!Q$52:Q$67,$K222),"")</f>
        <v/>
      </c>
      <c r="Z222" s="93" t="str">
        <f>IF($B222="Yes",COUNTIF(Reference!R$52:R$67,$K222),"")</f>
        <v/>
      </c>
      <c r="AA222" s="93" t="str">
        <f>IF($B222="Yes",COUNTIF(Reference!S$52:S$67,$K222),"")</f>
        <v/>
      </c>
      <c r="AB222" s="93" t="str">
        <f>IF($B222="Yes",COUNTIF(Reference!T$52:T$67,$K222),"")</f>
        <v/>
      </c>
      <c r="AC222" s="93" t="str">
        <f t="shared" si="11"/>
        <v/>
      </c>
    </row>
    <row r="223" spans="1:29" x14ac:dyDescent="0.25">
      <c r="A223" s="95">
        <v>313</v>
      </c>
      <c r="B223" s="95" t="str">
        <f t="shared" si="9"/>
        <v>No</v>
      </c>
      <c r="H223" s="95" t="str">
        <f t="shared" si="10"/>
        <v/>
      </c>
      <c r="I223" s="111"/>
      <c r="J223" s="112"/>
      <c r="K223" s="112"/>
      <c r="L223" s="112"/>
      <c r="M223" s="112"/>
      <c r="N223" s="112"/>
      <c r="O223" s="112"/>
      <c r="P223" s="112"/>
      <c r="Q223" s="112"/>
      <c r="R223" s="112"/>
      <c r="S223" s="111"/>
      <c r="T223" s="93"/>
      <c r="U223" s="93"/>
      <c r="V223" s="93"/>
      <c r="W223" s="93"/>
      <c r="X223" s="93" t="str">
        <f>IF($B223="Yes",COUNTIF(Reference!P$52:P$67,$K223),"")</f>
        <v/>
      </c>
      <c r="Y223" s="93" t="str">
        <f>IF($B223="Yes",COUNTIF(Reference!Q$52:Q$67,$K223),"")</f>
        <v/>
      </c>
      <c r="Z223" s="93" t="str">
        <f>IF($B223="Yes",COUNTIF(Reference!R$52:R$67,$K223),"")</f>
        <v/>
      </c>
      <c r="AA223" s="93" t="str">
        <f>IF($B223="Yes",COUNTIF(Reference!S$52:S$67,$K223),"")</f>
        <v/>
      </c>
      <c r="AB223" s="93" t="str">
        <f>IF($B223="Yes",COUNTIF(Reference!T$52:T$67,$K223),"")</f>
        <v/>
      </c>
      <c r="AC223" s="93" t="str">
        <f t="shared" si="11"/>
        <v/>
      </c>
    </row>
    <row r="224" spans="1:29" x14ac:dyDescent="0.25">
      <c r="A224" s="95">
        <v>314</v>
      </c>
      <c r="B224" s="95" t="str">
        <f t="shared" si="9"/>
        <v>No</v>
      </c>
      <c r="H224" s="95" t="str">
        <f t="shared" si="10"/>
        <v/>
      </c>
      <c r="I224" s="111"/>
      <c r="J224" s="112"/>
      <c r="K224" s="112"/>
      <c r="L224" s="112"/>
      <c r="M224" s="112"/>
      <c r="N224" s="112"/>
      <c r="O224" s="112"/>
      <c r="P224" s="112"/>
      <c r="Q224" s="112"/>
      <c r="R224" s="112"/>
      <c r="S224" s="111"/>
      <c r="T224" s="93"/>
      <c r="U224" s="93"/>
      <c r="V224" s="93"/>
      <c r="W224" s="93"/>
      <c r="X224" s="93" t="str">
        <f>IF($B224="Yes",COUNTIF(Reference!P$52:P$67,$K224),"")</f>
        <v/>
      </c>
      <c r="Y224" s="93" t="str">
        <f>IF($B224="Yes",COUNTIF(Reference!Q$52:Q$67,$K224),"")</f>
        <v/>
      </c>
      <c r="Z224" s="93" t="str">
        <f>IF($B224="Yes",COUNTIF(Reference!R$52:R$67,$K224),"")</f>
        <v/>
      </c>
      <c r="AA224" s="93" t="str">
        <f>IF($B224="Yes",COUNTIF(Reference!S$52:S$67,$K224),"")</f>
        <v/>
      </c>
      <c r="AB224" s="93" t="str">
        <f>IF($B224="Yes",COUNTIF(Reference!T$52:T$67,$K224),"")</f>
        <v/>
      </c>
      <c r="AC224" s="93" t="str">
        <f t="shared" si="11"/>
        <v/>
      </c>
    </row>
    <row r="225" spans="1:29" x14ac:dyDescent="0.25">
      <c r="A225" s="95">
        <v>315</v>
      </c>
      <c r="B225" s="95" t="str">
        <f t="shared" si="9"/>
        <v>No</v>
      </c>
      <c r="H225" s="95" t="str">
        <f t="shared" si="10"/>
        <v/>
      </c>
      <c r="I225" s="111"/>
      <c r="J225" s="112"/>
      <c r="K225" s="112"/>
      <c r="L225" s="112"/>
      <c r="M225" s="112"/>
      <c r="N225" s="112"/>
      <c r="O225" s="112"/>
      <c r="P225" s="112"/>
      <c r="Q225" s="112"/>
      <c r="R225" s="112"/>
      <c r="S225" s="111"/>
      <c r="T225" s="93"/>
      <c r="U225" s="93"/>
      <c r="V225" s="93"/>
      <c r="W225" s="93"/>
      <c r="X225" s="93" t="str">
        <f>IF($B225="Yes",COUNTIF(Reference!P$52:P$67,$K225),"")</f>
        <v/>
      </c>
      <c r="Y225" s="93" t="str">
        <f>IF($B225="Yes",COUNTIF(Reference!Q$52:Q$67,$K225),"")</f>
        <v/>
      </c>
      <c r="Z225" s="93" t="str">
        <f>IF($B225="Yes",COUNTIF(Reference!R$52:R$67,$K225),"")</f>
        <v/>
      </c>
      <c r="AA225" s="93" t="str">
        <f>IF($B225="Yes",COUNTIF(Reference!S$52:S$67,$K225),"")</f>
        <v/>
      </c>
      <c r="AB225" s="93" t="str">
        <f>IF($B225="Yes",COUNTIF(Reference!T$52:T$67,$K225),"")</f>
        <v/>
      </c>
      <c r="AC225" s="93" t="str">
        <f t="shared" si="11"/>
        <v/>
      </c>
    </row>
    <row r="226" spans="1:29" x14ac:dyDescent="0.25">
      <c r="A226" s="95">
        <v>316</v>
      </c>
      <c r="B226" s="95" t="str">
        <f t="shared" si="9"/>
        <v>No</v>
      </c>
      <c r="H226" s="95" t="str">
        <f t="shared" si="10"/>
        <v/>
      </c>
      <c r="I226" s="111"/>
      <c r="J226" s="112"/>
      <c r="K226" s="112"/>
      <c r="L226" s="112"/>
      <c r="M226" s="112"/>
      <c r="N226" s="112"/>
      <c r="O226" s="112"/>
      <c r="P226" s="112"/>
      <c r="Q226" s="112"/>
      <c r="R226" s="112"/>
      <c r="S226" s="111"/>
      <c r="T226" s="93"/>
      <c r="U226" s="93"/>
      <c r="V226" s="93"/>
      <c r="W226" s="93"/>
      <c r="X226" s="93" t="str">
        <f>IF($B226="Yes",COUNTIF(Reference!P$52:P$67,$K226),"")</f>
        <v/>
      </c>
      <c r="Y226" s="93" t="str">
        <f>IF($B226="Yes",COUNTIF(Reference!Q$52:Q$67,$K226),"")</f>
        <v/>
      </c>
      <c r="Z226" s="93" t="str">
        <f>IF($B226="Yes",COUNTIF(Reference!R$52:R$67,$K226),"")</f>
        <v/>
      </c>
      <c r="AA226" s="93" t="str">
        <f>IF($B226="Yes",COUNTIF(Reference!S$52:S$67,$K226),"")</f>
        <v/>
      </c>
      <c r="AB226" s="93" t="str">
        <f>IF($B226="Yes",COUNTIF(Reference!T$52:T$67,$K226),"")</f>
        <v/>
      </c>
      <c r="AC226" s="93" t="str">
        <f t="shared" si="11"/>
        <v/>
      </c>
    </row>
    <row r="227" spans="1:29" x14ac:dyDescent="0.25">
      <c r="A227" s="95">
        <v>317</v>
      </c>
      <c r="B227" s="95" t="str">
        <f t="shared" si="9"/>
        <v>No</v>
      </c>
      <c r="H227" s="95" t="str">
        <f t="shared" si="10"/>
        <v/>
      </c>
      <c r="I227" s="111"/>
      <c r="J227" s="112"/>
      <c r="K227" s="112"/>
      <c r="L227" s="112"/>
      <c r="M227" s="112"/>
      <c r="N227" s="112"/>
      <c r="O227" s="112"/>
      <c r="P227" s="112"/>
      <c r="Q227" s="112"/>
      <c r="R227" s="112"/>
      <c r="S227" s="111"/>
      <c r="T227" s="93"/>
      <c r="U227" s="93"/>
      <c r="V227" s="93"/>
      <c r="W227" s="93"/>
      <c r="X227" s="93" t="str">
        <f>IF($B227="Yes",COUNTIF(Reference!P$52:P$67,$K227),"")</f>
        <v/>
      </c>
      <c r="Y227" s="93" t="str">
        <f>IF($B227="Yes",COUNTIF(Reference!Q$52:Q$67,$K227),"")</f>
        <v/>
      </c>
      <c r="Z227" s="93" t="str">
        <f>IF($B227="Yes",COUNTIF(Reference!R$52:R$67,$K227),"")</f>
        <v/>
      </c>
      <c r="AA227" s="93" t="str">
        <f>IF($B227="Yes",COUNTIF(Reference!S$52:S$67,$K227),"")</f>
        <v/>
      </c>
      <c r="AB227" s="93" t="str">
        <f>IF($B227="Yes",COUNTIF(Reference!T$52:T$67,$K227),"")</f>
        <v/>
      </c>
      <c r="AC227" s="93" t="str">
        <f t="shared" si="11"/>
        <v/>
      </c>
    </row>
    <row r="228" spans="1:29" x14ac:dyDescent="0.25">
      <c r="A228" s="95">
        <v>318</v>
      </c>
      <c r="B228" s="95" t="str">
        <f t="shared" si="9"/>
        <v>No</v>
      </c>
      <c r="H228" s="95" t="str">
        <f t="shared" si="10"/>
        <v/>
      </c>
      <c r="I228" s="111"/>
      <c r="J228" s="112"/>
      <c r="K228" s="112"/>
      <c r="L228" s="112"/>
      <c r="M228" s="112"/>
      <c r="N228" s="112"/>
      <c r="O228" s="112"/>
      <c r="P228" s="112"/>
      <c r="Q228" s="112"/>
      <c r="R228" s="112"/>
      <c r="S228" s="111"/>
      <c r="T228" s="93"/>
      <c r="U228" s="93"/>
      <c r="V228" s="93"/>
      <c r="W228" s="93"/>
      <c r="X228" s="93" t="str">
        <f>IF($B228="Yes",COUNTIF(Reference!P$52:P$67,$K228),"")</f>
        <v/>
      </c>
      <c r="Y228" s="93" t="str">
        <f>IF($B228="Yes",COUNTIF(Reference!Q$52:Q$67,$K228),"")</f>
        <v/>
      </c>
      <c r="Z228" s="93" t="str">
        <f>IF($B228="Yes",COUNTIF(Reference!R$52:R$67,$K228),"")</f>
        <v/>
      </c>
      <c r="AA228" s="93" t="str">
        <f>IF($B228="Yes",COUNTIF(Reference!S$52:S$67,$K228),"")</f>
        <v/>
      </c>
      <c r="AB228" s="93" t="str">
        <f>IF($B228="Yes",COUNTIF(Reference!T$52:T$67,$K228),"")</f>
        <v/>
      </c>
      <c r="AC228" s="93" t="str">
        <f t="shared" si="11"/>
        <v/>
      </c>
    </row>
    <row r="229" spans="1:29" x14ac:dyDescent="0.25">
      <c r="A229" s="95">
        <v>319</v>
      </c>
      <c r="B229" s="95" t="str">
        <f t="shared" si="9"/>
        <v>No</v>
      </c>
      <c r="H229" s="95" t="str">
        <f t="shared" si="10"/>
        <v/>
      </c>
      <c r="I229" s="111"/>
      <c r="J229" s="112"/>
      <c r="K229" s="112"/>
      <c r="L229" s="112"/>
      <c r="M229" s="112"/>
      <c r="N229" s="112"/>
      <c r="O229" s="112"/>
      <c r="P229" s="112"/>
      <c r="Q229" s="112"/>
      <c r="R229" s="112"/>
      <c r="S229" s="111"/>
      <c r="T229" s="93"/>
      <c r="U229" s="93"/>
      <c r="V229" s="93"/>
      <c r="W229" s="93"/>
      <c r="X229" s="93" t="str">
        <f>IF($B229="Yes",COUNTIF(Reference!P$52:P$67,$K229),"")</f>
        <v/>
      </c>
      <c r="Y229" s="93" t="str">
        <f>IF($B229="Yes",COUNTIF(Reference!Q$52:Q$67,$K229),"")</f>
        <v/>
      </c>
      <c r="Z229" s="93" t="str">
        <f>IF($B229="Yes",COUNTIF(Reference!R$52:R$67,$K229),"")</f>
        <v/>
      </c>
      <c r="AA229" s="93" t="str">
        <f>IF($B229="Yes",COUNTIF(Reference!S$52:S$67,$K229),"")</f>
        <v/>
      </c>
      <c r="AB229" s="93" t="str">
        <f>IF($B229="Yes",COUNTIF(Reference!T$52:T$67,$K229),"")</f>
        <v/>
      </c>
      <c r="AC229" s="93" t="str">
        <f t="shared" si="11"/>
        <v/>
      </c>
    </row>
    <row r="230" spans="1:29" x14ac:dyDescent="0.25">
      <c r="A230" s="95">
        <v>320</v>
      </c>
      <c r="B230" s="95" t="str">
        <f t="shared" si="9"/>
        <v>No</v>
      </c>
      <c r="H230" s="95" t="str">
        <f t="shared" si="10"/>
        <v/>
      </c>
      <c r="I230" s="111"/>
      <c r="J230" s="112"/>
      <c r="K230" s="112"/>
      <c r="L230" s="112"/>
      <c r="M230" s="112"/>
      <c r="N230" s="112"/>
      <c r="O230" s="112"/>
      <c r="P230" s="112"/>
      <c r="Q230" s="112"/>
      <c r="R230" s="112"/>
      <c r="S230" s="111"/>
      <c r="T230" s="93"/>
      <c r="U230" s="93"/>
      <c r="V230" s="93"/>
      <c r="W230" s="93"/>
      <c r="X230" s="93" t="str">
        <f>IF($B230="Yes",COUNTIF(Reference!P$52:P$67,$K230),"")</f>
        <v/>
      </c>
      <c r="Y230" s="93" t="str">
        <f>IF($B230="Yes",COUNTIF(Reference!Q$52:Q$67,$K230),"")</f>
        <v/>
      </c>
      <c r="Z230" s="93" t="str">
        <f>IF($B230="Yes",COUNTIF(Reference!R$52:R$67,$K230),"")</f>
        <v/>
      </c>
      <c r="AA230" s="93" t="str">
        <f>IF($B230="Yes",COUNTIF(Reference!S$52:S$67,$K230),"")</f>
        <v/>
      </c>
      <c r="AB230" s="93" t="str">
        <f>IF($B230="Yes",COUNTIF(Reference!T$52:T$67,$K230),"")</f>
        <v/>
      </c>
      <c r="AC230" s="93" t="str">
        <f t="shared" si="11"/>
        <v/>
      </c>
    </row>
    <row r="231" spans="1:29" x14ac:dyDescent="0.25">
      <c r="A231" s="95">
        <v>321</v>
      </c>
      <c r="B231" s="95" t="str">
        <f t="shared" si="9"/>
        <v>No</v>
      </c>
      <c r="H231" s="95" t="str">
        <f t="shared" si="10"/>
        <v/>
      </c>
      <c r="I231" s="111"/>
      <c r="J231" s="112"/>
      <c r="K231" s="112"/>
      <c r="L231" s="112"/>
      <c r="M231" s="112"/>
      <c r="N231" s="112"/>
      <c r="O231" s="112"/>
      <c r="P231" s="112"/>
      <c r="Q231" s="112"/>
      <c r="R231" s="112"/>
      <c r="S231" s="111"/>
      <c r="T231" s="93"/>
      <c r="U231" s="93"/>
      <c r="V231" s="93"/>
      <c r="W231" s="93"/>
      <c r="X231" s="93" t="str">
        <f>IF($B231="Yes",COUNTIF(Reference!P$52:P$67,$K231),"")</f>
        <v/>
      </c>
      <c r="Y231" s="93" t="str">
        <f>IF($B231="Yes",COUNTIF(Reference!Q$52:Q$67,$K231),"")</f>
        <v/>
      </c>
      <c r="Z231" s="93" t="str">
        <f>IF($B231="Yes",COUNTIF(Reference!R$52:R$67,$K231),"")</f>
        <v/>
      </c>
      <c r="AA231" s="93" t="str">
        <f>IF($B231="Yes",COUNTIF(Reference!S$52:S$67,$K231),"")</f>
        <v/>
      </c>
      <c r="AB231" s="93" t="str">
        <f>IF($B231="Yes",COUNTIF(Reference!T$52:T$67,$K231),"")</f>
        <v/>
      </c>
      <c r="AC231" s="93" t="str">
        <f t="shared" si="11"/>
        <v/>
      </c>
    </row>
    <row r="232" spans="1:29" x14ac:dyDescent="0.25">
      <c r="A232" s="95">
        <v>322</v>
      </c>
      <c r="B232" s="95" t="str">
        <f t="shared" si="9"/>
        <v>No</v>
      </c>
      <c r="H232" s="95" t="str">
        <f t="shared" si="10"/>
        <v/>
      </c>
      <c r="I232" s="111"/>
      <c r="J232" s="112"/>
      <c r="K232" s="112"/>
      <c r="L232" s="112"/>
      <c r="M232" s="112"/>
      <c r="N232" s="112"/>
      <c r="O232" s="112"/>
      <c r="P232" s="112"/>
      <c r="Q232" s="112"/>
      <c r="R232" s="112"/>
      <c r="S232" s="111"/>
      <c r="T232" s="93"/>
      <c r="U232" s="93"/>
      <c r="V232" s="93"/>
      <c r="W232" s="93"/>
      <c r="X232" s="93" t="str">
        <f>IF($B232="Yes",COUNTIF(Reference!P$52:P$67,$K232),"")</f>
        <v/>
      </c>
      <c r="Y232" s="93" t="str">
        <f>IF($B232="Yes",COUNTIF(Reference!Q$52:Q$67,$K232),"")</f>
        <v/>
      </c>
      <c r="Z232" s="93" t="str">
        <f>IF($B232="Yes",COUNTIF(Reference!R$52:R$67,$K232),"")</f>
        <v/>
      </c>
      <c r="AA232" s="93" t="str">
        <f>IF($B232="Yes",COUNTIF(Reference!S$52:S$67,$K232),"")</f>
        <v/>
      </c>
      <c r="AB232" s="93" t="str">
        <f>IF($B232="Yes",COUNTIF(Reference!T$52:T$67,$K232),"")</f>
        <v/>
      </c>
      <c r="AC232" s="93" t="str">
        <f t="shared" si="11"/>
        <v/>
      </c>
    </row>
    <row r="233" spans="1:29" x14ac:dyDescent="0.25">
      <c r="A233" s="95">
        <v>323</v>
      </c>
      <c r="B233" s="95" t="str">
        <f t="shared" si="9"/>
        <v>No</v>
      </c>
      <c r="H233" s="95" t="str">
        <f t="shared" si="10"/>
        <v/>
      </c>
      <c r="I233" s="111"/>
      <c r="J233" s="112"/>
      <c r="K233" s="112"/>
      <c r="L233" s="112"/>
      <c r="M233" s="112"/>
      <c r="N233" s="112"/>
      <c r="O233" s="112"/>
      <c r="P233" s="112"/>
      <c r="Q233" s="112"/>
      <c r="R233" s="112"/>
      <c r="S233" s="111"/>
      <c r="T233" s="93"/>
      <c r="U233" s="93"/>
      <c r="V233" s="93"/>
      <c r="W233" s="93"/>
      <c r="X233" s="93" t="str">
        <f>IF($B233="Yes",COUNTIF(Reference!P$52:P$67,$K233),"")</f>
        <v/>
      </c>
      <c r="Y233" s="93" t="str">
        <f>IF($B233="Yes",COUNTIF(Reference!Q$52:Q$67,$K233),"")</f>
        <v/>
      </c>
      <c r="Z233" s="93" t="str">
        <f>IF($B233="Yes",COUNTIF(Reference!R$52:R$67,$K233),"")</f>
        <v/>
      </c>
      <c r="AA233" s="93" t="str">
        <f>IF($B233="Yes",COUNTIF(Reference!S$52:S$67,$K233),"")</f>
        <v/>
      </c>
      <c r="AB233" s="93" t="str">
        <f>IF($B233="Yes",COUNTIF(Reference!T$52:T$67,$K233),"")</f>
        <v/>
      </c>
      <c r="AC233" s="93" t="str">
        <f t="shared" si="11"/>
        <v/>
      </c>
    </row>
    <row r="234" spans="1:29" x14ac:dyDescent="0.25">
      <c r="A234" s="95">
        <v>324</v>
      </c>
      <c r="B234" s="95" t="str">
        <f t="shared" si="9"/>
        <v>No</v>
      </c>
      <c r="H234" s="95" t="str">
        <f t="shared" si="10"/>
        <v/>
      </c>
      <c r="I234" s="111"/>
      <c r="J234" s="112"/>
      <c r="K234" s="112"/>
      <c r="L234" s="112"/>
      <c r="M234" s="112"/>
      <c r="N234" s="112"/>
      <c r="O234" s="112"/>
      <c r="P234" s="112"/>
      <c r="Q234" s="112"/>
      <c r="R234" s="112"/>
      <c r="S234" s="111"/>
      <c r="T234" s="93"/>
      <c r="U234" s="93"/>
      <c r="V234" s="93"/>
      <c r="W234" s="93"/>
      <c r="X234" s="93" t="str">
        <f>IF($B234="Yes",COUNTIF(Reference!P$52:P$67,$K234),"")</f>
        <v/>
      </c>
      <c r="Y234" s="93" t="str">
        <f>IF($B234="Yes",COUNTIF(Reference!Q$52:Q$67,$K234),"")</f>
        <v/>
      </c>
      <c r="Z234" s="93" t="str">
        <f>IF($B234="Yes",COUNTIF(Reference!R$52:R$67,$K234),"")</f>
        <v/>
      </c>
      <c r="AA234" s="93" t="str">
        <f>IF($B234="Yes",COUNTIF(Reference!S$52:S$67,$K234),"")</f>
        <v/>
      </c>
      <c r="AB234" s="93" t="str">
        <f>IF($B234="Yes",COUNTIF(Reference!T$52:T$67,$K234),"")</f>
        <v/>
      </c>
      <c r="AC234" s="93" t="str">
        <f t="shared" si="11"/>
        <v/>
      </c>
    </row>
    <row r="235" spans="1:29" x14ac:dyDescent="0.25">
      <c r="A235" s="95">
        <v>325</v>
      </c>
      <c r="B235" s="95" t="str">
        <f t="shared" si="9"/>
        <v>No</v>
      </c>
      <c r="H235" s="95" t="str">
        <f t="shared" si="10"/>
        <v/>
      </c>
      <c r="I235" s="111"/>
      <c r="J235" s="112"/>
      <c r="K235" s="112"/>
      <c r="L235" s="112"/>
      <c r="M235" s="112"/>
      <c r="N235" s="112"/>
      <c r="O235" s="112"/>
      <c r="P235" s="112"/>
      <c r="Q235" s="112"/>
      <c r="R235" s="112"/>
      <c r="S235" s="111"/>
      <c r="T235" s="93"/>
      <c r="U235" s="93"/>
      <c r="V235" s="93"/>
      <c r="W235" s="93"/>
      <c r="X235" s="93" t="str">
        <f>IF($B235="Yes",COUNTIF(Reference!P$52:P$67,$K235),"")</f>
        <v/>
      </c>
      <c r="Y235" s="93" t="str">
        <f>IF($B235="Yes",COUNTIF(Reference!Q$52:Q$67,$K235),"")</f>
        <v/>
      </c>
      <c r="Z235" s="93" t="str">
        <f>IF($B235="Yes",COUNTIF(Reference!R$52:R$67,$K235),"")</f>
        <v/>
      </c>
      <c r="AA235" s="93" t="str">
        <f>IF($B235="Yes",COUNTIF(Reference!S$52:S$67,$K235),"")</f>
        <v/>
      </c>
      <c r="AB235" s="93" t="str">
        <f>IF($B235="Yes",COUNTIF(Reference!T$52:T$67,$K235),"")</f>
        <v/>
      </c>
      <c r="AC235" s="93" t="str">
        <f t="shared" si="11"/>
        <v/>
      </c>
    </row>
    <row r="236" spans="1:29" x14ac:dyDescent="0.25">
      <c r="A236" s="95">
        <v>326</v>
      </c>
      <c r="B236" s="95" t="str">
        <f t="shared" si="9"/>
        <v>No</v>
      </c>
      <c r="H236" s="95" t="str">
        <f t="shared" si="10"/>
        <v/>
      </c>
      <c r="I236" s="111"/>
      <c r="J236" s="112"/>
      <c r="K236" s="112"/>
      <c r="L236" s="112"/>
      <c r="M236" s="112"/>
      <c r="N236" s="112"/>
      <c r="O236" s="112"/>
      <c r="P236" s="112"/>
      <c r="Q236" s="112"/>
      <c r="R236" s="112"/>
      <c r="S236" s="111"/>
      <c r="T236" s="93"/>
      <c r="U236" s="93"/>
      <c r="V236" s="93"/>
      <c r="W236" s="93"/>
      <c r="X236" s="93" t="str">
        <f>IF($B236="Yes",COUNTIF(Reference!P$52:P$67,$K236),"")</f>
        <v/>
      </c>
      <c r="Y236" s="93" t="str">
        <f>IF($B236="Yes",COUNTIF(Reference!Q$52:Q$67,$K236),"")</f>
        <v/>
      </c>
      <c r="Z236" s="93" t="str">
        <f>IF($B236="Yes",COUNTIF(Reference!R$52:R$67,$K236),"")</f>
        <v/>
      </c>
      <c r="AA236" s="93" t="str">
        <f>IF($B236="Yes",COUNTIF(Reference!S$52:S$67,$K236),"")</f>
        <v/>
      </c>
      <c r="AB236" s="93" t="str">
        <f>IF($B236="Yes",COUNTIF(Reference!T$52:T$67,$K236),"")</f>
        <v/>
      </c>
      <c r="AC236" s="93" t="str">
        <f t="shared" si="11"/>
        <v/>
      </c>
    </row>
    <row r="237" spans="1:29" x14ac:dyDescent="0.25">
      <c r="A237" s="95">
        <v>327</v>
      </c>
      <c r="B237" s="95" t="str">
        <f t="shared" si="9"/>
        <v>No</v>
      </c>
      <c r="H237" s="95" t="str">
        <f t="shared" si="10"/>
        <v/>
      </c>
      <c r="I237" s="111"/>
      <c r="J237" s="112"/>
      <c r="K237" s="112"/>
      <c r="L237" s="112"/>
      <c r="M237" s="112"/>
      <c r="N237" s="112"/>
      <c r="O237" s="112"/>
      <c r="P237" s="112"/>
      <c r="Q237" s="112"/>
      <c r="R237" s="112"/>
      <c r="S237" s="111"/>
      <c r="T237" s="93"/>
      <c r="U237" s="93"/>
      <c r="V237" s="93"/>
      <c r="W237" s="93"/>
      <c r="X237" s="93" t="str">
        <f>IF($B237="Yes",COUNTIF(Reference!P$52:P$67,$K237),"")</f>
        <v/>
      </c>
      <c r="Y237" s="93" t="str">
        <f>IF($B237="Yes",COUNTIF(Reference!Q$52:Q$67,$K237),"")</f>
        <v/>
      </c>
      <c r="Z237" s="93" t="str">
        <f>IF($B237="Yes",COUNTIF(Reference!R$52:R$67,$K237),"")</f>
        <v/>
      </c>
      <c r="AA237" s="93" t="str">
        <f>IF($B237="Yes",COUNTIF(Reference!S$52:S$67,$K237),"")</f>
        <v/>
      </c>
      <c r="AB237" s="93" t="str">
        <f>IF($B237="Yes",COUNTIF(Reference!T$52:T$67,$K237),"")</f>
        <v/>
      </c>
      <c r="AC237" s="93" t="str">
        <f t="shared" si="11"/>
        <v/>
      </c>
    </row>
    <row r="238" spans="1:29" x14ac:dyDescent="0.25">
      <c r="A238" s="95">
        <v>328</v>
      </c>
      <c r="B238" s="95" t="str">
        <f t="shared" si="9"/>
        <v>No</v>
      </c>
      <c r="H238" s="95" t="str">
        <f t="shared" si="10"/>
        <v/>
      </c>
      <c r="I238" s="111"/>
      <c r="J238" s="112"/>
      <c r="K238" s="112"/>
      <c r="L238" s="112"/>
      <c r="M238" s="112"/>
      <c r="N238" s="112"/>
      <c r="O238" s="112"/>
      <c r="P238" s="112"/>
      <c r="Q238" s="112"/>
      <c r="R238" s="112"/>
      <c r="S238" s="111"/>
      <c r="T238" s="93"/>
      <c r="U238" s="93"/>
      <c r="V238" s="93"/>
      <c r="W238" s="93"/>
      <c r="X238" s="93" t="str">
        <f>IF($B238="Yes",COUNTIF(Reference!P$52:P$67,$K238),"")</f>
        <v/>
      </c>
      <c r="Y238" s="93" t="str">
        <f>IF($B238="Yes",COUNTIF(Reference!Q$52:Q$67,$K238),"")</f>
        <v/>
      </c>
      <c r="Z238" s="93" t="str">
        <f>IF($B238="Yes",COUNTIF(Reference!R$52:R$67,$K238),"")</f>
        <v/>
      </c>
      <c r="AA238" s="93" t="str">
        <f>IF($B238="Yes",COUNTIF(Reference!S$52:S$67,$K238),"")</f>
        <v/>
      </c>
      <c r="AB238" s="93" t="str">
        <f>IF($B238="Yes",COUNTIF(Reference!T$52:T$67,$K238),"")</f>
        <v/>
      </c>
      <c r="AC238" s="93" t="str">
        <f t="shared" si="11"/>
        <v/>
      </c>
    </row>
    <row r="239" spans="1:29" x14ac:dyDescent="0.25">
      <c r="A239" s="95">
        <v>329</v>
      </c>
      <c r="B239" s="95" t="str">
        <f t="shared" si="9"/>
        <v>No</v>
      </c>
      <c r="H239" s="95" t="str">
        <f t="shared" si="10"/>
        <v/>
      </c>
      <c r="I239" s="111"/>
      <c r="J239" s="112"/>
      <c r="K239" s="112"/>
      <c r="L239" s="112"/>
      <c r="M239" s="112"/>
      <c r="N239" s="112"/>
      <c r="O239" s="112"/>
      <c r="P239" s="112"/>
      <c r="Q239" s="112"/>
      <c r="R239" s="112"/>
      <c r="S239" s="111"/>
      <c r="T239" s="93"/>
      <c r="U239" s="93"/>
      <c r="V239" s="93"/>
      <c r="W239" s="93"/>
      <c r="X239" s="93" t="str">
        <f>IF($B239="Yes",COUNTIF(Reference!P$52:P$67,$K239),"")</f>
        <v/>
      </c>
      <c r="Y239" s="93" t="str">
        <f>IF($B239="Yes",COUNTIF(Reference!Q$52:Q$67,$K239),"")</f>
        <v/>
      </c>
      <c r="Z239" s="93" t="str">
        <f>IF($B239="Yes",COUNTIF(Reference!R$52:R$67,$K239),"")</f>
        <v/>
      </c>
      <c r="AA239" s="93" t="str">
        <f>IF($B239="Yes",COUNTIF(Reference!S$52:S$67,$K239),"")</f>
        <v/>
      </c>
      <c r="AB239" s="93" t="str">
        <f>IF($B239="Yes",COUNTIF(Reference!T$52:T$67,$K239),"")</f>
        <v/>
      </c>
      <c r="AC239" s="93" t="str">
        <f t="shared" si="11"/>
        <v/>
      </c>
    </row>
    <row r="240" spans="1:29" x14ac:dyDescent="0.25">
      <c r="A240" s="95">
        <v>330</v>
      </c>
      <c r="B240" s="95" t="str">
        <f t="shared" si="9"/>
        <v>No</v>
      </c>
      <c r="H240" s="95" t="str">
        <f t="shared" si="10"/>
        <v/>
      </c>
      <c r="I240" s="111"/>
      <c r="J240" s="112"/>
      <c r="K240" s="112"/>
      <c r="L240" s="112"/>
      <c r="M240" s="112"/>
      <c r="N240" s="112"/>
      <c r="O240" s="112"/>
      <c r="P240" s="112"/>
      <c r="Q240" s="112"/>
      <c r="R240" s="112"/>
      <c r="S240" s="111"/>
      <c r="T240" s="93"/>
      <c r="U240" s="93"/>
      <c r="V240" s="93"/>
      <c r="W240" s="93"/>
      <c r="X240" s="93" t="str">
        <f>IF($B240="Yes",COUNTIF(Reference!P$52:P$67,$K240),"")</f>
        <v/>
      </c>
      <c r="Y240" s="93" t="str">
        <f>IF($B240="Yes",COUNTIF(Reference!Q$52:Q$67,$K240),"")</f>
        <v/>
      </c>
      <c r="Z240" s="93" t="str">
        <f>IF($B240="Yes",COUNTIF(Reference!R$52:R$67,$K240),"")</f>
        <v/>
      </c>
      <c r="AA240" s="93" t="str">
        <f>IF($B240="Yes",COUNTIF(Reference!S$52:S$67,$K240),"")</f>
        <v/>
      </c>
      <c r="AB240" s="93" t="str">
        <f>IF($B240="Yes",COUNTIF(Reference!T$52:T$67,$K240),"")</f>
        <v/>
      </c>
      <c r="AC240" s="93" t="str">
        <f t="shared" si="11"/>
        <v/>
      </c>
    </row>
    <row r="241" spans="1:29" x14ac:dyDescent="0.25">
      <c r="A241" s="95">
        <v>331</v>
      </c>
      <c r="B241" s="95" t="str">
        <f t="shared" si="9"/>
        <v>No</v>
      </c>
      <c r="H241" s="95" t="str">
        <f t="shared" si="10"/>
        <v/>
      </c>
      <c r="I241" s="111"/>
      <c r="J241" s="112"/>
      <c r="K241" s="112"/>
      <c r="L241" s="112"/>
      <c r="M241" s="112"/>
      <c r="N241" s="112"/>
      <c r="O241" s="112"/>
      <c r="P241" s="112"/>
      <c r="Q241" s="112"/>
      <c r="R241" s="112"/>
      <c r="S241" s="111"/>
      <c r="T241" s="93"/>
      <c r="U241" s="93"/>
      <c r="V241" s="93"/>
      <c r="W241" s="93"/>
      <c r="X241" s="93" t="str">
        <f>IF($B241="Yes",COUNTIF(Reference!P$52:P$67,$K241),"")</f>
        <v/>
      </c>
      <c r="Y241" s="93" t="str">
        <f>IF($B241="Yes",COUNTIF(Reference!Q$52:Q$67,$K241),"")</f>
        <v/>
      </c>
      <c r="Z241" s="93" t="str">
        <f>IF($B241="Yes",COUNTIF(Reference!R$52:R$67,$K241),"")</f>
        <v/>
      </c>
      <c r="AA241" s="93" t="str">
        <f>IF($B241="Yes",COUNTIF(Reference!S$52:S$67,$K241),"")</f>
        <v/>
      </c>
      <c r="AB241" s="93" t="str">
        <f>IF($B241="Yes",COUNTIF(Reference!T$52:T$67,$K241),"")</f>
        <v/>
      </c>
      <c r="AC241" s="93" t="str">
        <f t="shared" si="11"/>
        <v/>
      </c>
    </row>
    <row r="242" spans="1:29" x14ac:dyDescent="0.25">
      <c r="A242" s="95">
        <v>332</v>
      </c>
      <c r="B242" s="95" t="str">
        <f t="shared" si="9"/>
        <v>No</v>
      </c>
      <c r="H242" s="95" t="str">
        <f t="shared" si="10"/>
        <v/>
      </c>
      <c r="I242" s="111"/>
      <c r="J242" s="112"/>
      <c r="K242" s="112"/>
      <c r="L242" s="112"/>
      <c r="M242" s="112"/>
      <c r="N242" s="112"/>
      <c r="O242" s="112"/>
      <c r="P242" s="112"/>
      <c r="Q242" s="112"/>
      <c r="R242" s="112"/>
      <c r="S242" s="111"/>
      <c r="T242" s="93"/>
      <c r="U242" s="93"/>
      <c r="V242" s="93"/>
      <c r="W242" s="93"/>
      <c r="X242" s="93" t="str">
        <f>IF($B242="Yes",COUNTIF(Reference!P$52:P$67,$K242),"")</f>
        <v/>
      </c>
      <c r="Y242" s="93" t="str">
        <f>IF($B242="Yes",COUNTIF(Reference!Q$52:Q$67,$K242),"")</f>
        <v/>
      </c>
      <c r="Z242" s="93" t="str">
        <f>IF($B242="Yes",COUNTIF(Reference!R$52:R$67,$K242),"")</f>
        <v/>
      </c>
      <c r="AA242" s="93" t="str">
        <f>IF($B242="Yes",COUNTIF(Reference!S$52:S$67,$K242),"")</f>
        <v/>
      </c>
      <c r="AB242" s="93" t="str">
        <f>IF($B242="Yes",COUNTIF(Reference!T$52:T$67,$K242),"")</f>
        <v/>
      </c>
      <c r="AC242" s="93" t="str">
        <f t="shared" si="11"/>
        <v/>
      </c>
    </row>
    <row r="243" spans="1:29" x14ac:dyDescent="0.25">
      <c r="A243" s="95">
        <v>333</v>
      </c>
      <c r="B243" s="95" t="str">
        <f t="shared" si="9"/>
        <v>No</v>
      </c>
      <c r="H243" s="95" t="str">
        <f t="shared" si="10"/>
        <v/>
      </c>
      <c r="I243" s="111"/>
      <c r="J243" s="112"/>
      <c r="K243" s="112"/>
      <c r="L243" s="112"/>
      <c r="M243" s="112"/>
      <c r="N243" s="112"/>
      <c r="O243" s="112"/>
      <c r="P243" s="112"/>
      <c r="Q243" s="112"/>
      <c r="R243" s="112"/>
      <c r="S243" s="111"/>
      <c r="T243" s="93"/>
      <c r="U243" s="93"/>
      <c r="V243" s="93"/>
      <c r="W243" s="93"/>
      <c r="X243" s="93" t="str">
        <f>IF($B243="Yes",COUNTIF(Reference!P$52:P$67,$K243),"")</f>
        <v/>
      </c>
      <c r="Y243" s="93" t="str">
        <f>IF($B243="Yes",COUNTIF(Reference!Q$52:Q$67,$K243),"")</f>
        <v/>
      </c>
      <c r="Z243" s="93" t="str">
        <f>IF($B243="Yes",COUNTIF(Reference!R$52:R$67,$K243),"")</f>
        <v/>
      </c>
      <c r="AA243" s="93" t="str">
        <f>IF($B243="Yes",COUNTIF(Reference!S$52:S$67,$K243),"")</f>
        <v/>
      </c>
      <c r="AB243" s="93" t="str">
        <f>IF($B243="Yes",COUNTIF(Reference!T$52:T$67,$K243),"")</f>
        <v/>
      </c>
      <c r="AC243" s="93" t="str">
        <f t="shared" si="11"/>
        <v/>
      </c>
    </row>
    <row r="244" spans="1:29" x14ac:dyDescent="0.25">
      <c r="A244" s="95">
        <v>334</v>
      </c>
      <c r="B244" s="95" t="str">
        <f t="shared" si="9"/>
        <v>No</v>
      </c>
      <c r="H244" s="95" t="str">
        <f t="shared" si="10"/>
        <v/>
      </c>
      <c r="I244" s="111"/>
      <c r="J244" s="112"/>
      <c r="K244" s="112"/>
      <c r="L244" s="112"/>
      <c r="M244" s="112"/>
      <c r="N244" s="112"/>
      <c r="O244" s="112"/>
      <c r="P244" s="112"/>
      <c r="Q244" s="112"/>
      <c r="R244" s="112"/>
      <c r="S244" s="111"/>
      <c r="T244" s="93"/>
      <c r="U244" s="93"/>
      <c r="V244" s="93"/>
      <c r="W244" s="93"/>
      <c r="X244" s="93" t="str">
        <f>IF($B244="Yes",COUNTIF(Reference!P$52:P$67,$K244),"")</f>
        <v/>
      </c>
      <c r="Y244" s="93" t="str">
        <f>IF($B244="Yes",COUNTIF(Reference!Q$52:Q$67,$K244),"")</f>
        <v/>
      </c>
      <c r="Z244" s="93" t="str">
        <f>IF($B244="Yes",COUNTIF(Reference!R$52:R$67,$K244),"")</f>
        <v/>
      </c>
      <c r="AA244" s="93" t="str">
        <f>IF($B244="Yes",COUNTIF(Reference!S$52:S$67,$K244),"")</f>
        <v/>
      </c>
      <c r="AB244" s="93" t="str">
        <f>IF($B244="Yes",COUNTIF(Reference!T$52:T$67,$K244),"")</f>
        <v/>
      </c>
      <c r="AC244" s="93" t="str">
        <f t="shared" si="11"/>
        <v/>
      </c>
    </row>
    <row r="245" spans="1:29" x14ac:dyDescent="0.25">
      <c r="A245" s="95">
        <v>335</v>
      </c>
      <c r="B245" s="95" t="str">
        <f t="shared" si="9"/>
        <v>No</v>
      </c>
      <c r="H245" s="95" t="str">
        <f t="shared" si="10"/>
        <v/>
      </c>
      <c r="I245" s="111"/>
      <c r="J245" s="112"/>
      <c r="K245" s="112"/>
      <c r="L245" s="112"/>
      <c r="M245" s="112"/>
      <c r="N245" s="112"/>
      <c r="O245" s="112"/>
      <c r="P245" s="112"/>
      <c r="Q245" s="112"/>
      <c r="R245" s="112"/>
      <c r="S245" s="111"/>
      <c r="T245" s="93"/>
      <c r="U245" s="93"/>
      <c r="V245" s="93"/>
      <c r="W245" s="93"/>
      <c r="X245" s="93" t="str">
        <f>IF($B245="Yes",COUNTIF(Reference!P$52:P$67,$K245),"")</f>
        <v/>
      </c>
      <c r="Y245" s="93" t="str">
        <f>IF($B245="Yes",COUNTIF(Reference!Q$52:Q$67,$K245),"")</f>
        <v/>
      </c>
      <c r="Z245" s="93" t="str">
        <f>IF($B245="Yes",COUNTIF(Reference!R$52:R$67,$K245),"")</f>
        <v/>
      </c>
      <c r="AA245" s="93" t="str">
        <f>IF($B245="Yes",COUNTIF(Reference!S$52:S$67,$K245),"")</f>
        <v/>
      </c>
      <c r="AB245" s="93" t="str">
        <f>IF($B245="Yes",COUNTIF(Reference!T$52:T$67,$K245),"")</f>
        <v/>
      </c>
      <c r="AC245" s="93" t="str">
        <f t="shared" si="11"/>
        <v/>
      </c>
    </row>
    <row r="246" spans="1:29" x14ac:dyDescent="0.25">
      <c r="A246" s="95">
        <v>336</v>
      </c>
      <c r="B246" s="95" t="str">
        <f t="shared" si="9"/>
        <v>No</v>
      </c>
      <c r="H246" s="95" t="str">
        <f t="shared" si="10"/>
        <v/>
      </c>
      <c r="I246" s="111"/>
      <c r="J246" s="112"/>
      <c r="K246" s="112"/>
      <c r="L246" s="112"/>
      <c r="M246" s="112"/>
      <c r="N246" s="112"/>
      <c r="O246" s="112"/>
      <c r="P246" s="112"/>
      <c r="Q246" s="112"/>
      <c r="R246" s="112"/>
      <c r="S246" s="111"/>
      <c r="T246" s="93"/>
      <c r="U246" s="93"/>
      <c r="V246" s="93"/>
      <c r="W246" s="93"/>
      <c r="X246" s="93" t="str">
        <f>IF($B246="Yes",COUNTIF(Reference!P$52:P$67,$K246),"")</f>
        <v/>
      </c>
      <c r="Y246" s="93" t="str">
        <f>IF($B246="Yes",COUNTIF(Reference!Q$52:Q$67,$K246),"")</f>
        <v/>
      </c>
      <c r="Z246" s="93" t="str">
        <f>IF($B246="Yes",COUNTIF(Reference!R$52:R$67,$K246),"")</f>
        <v/>
      </c>
      <c r="AA246" s="93" t="str">
        <f>IF($B246="Yes",COUNTIF(Reference!S$52:S$67,$K246),"")</f>
        <v/>
      </c>
      <c r="AB246" s="93" t="str">
        <f>IF($B246="Yes",COUNTIF(Reference!T$52:T$67,$K246),"")</f>
        <v/>
      </c>
      <c r="AC246" s="93" t="str">
        <f t="shared" si="11"/>
        <v/>
      </c>
    </row>
    <row r="247" spans="1:29" x14ac:dyDescent="0.25">
      <c r="A247" s="95">
        <v>337</v>
      </c>
      <c r="B247" s="95" t="str">
        <f t="shared" si="9"/>
        <v>No</v>
      </c>
      <c r="H247" s="95" t="str">
        <f t="shared" si="10"/>
        <v/>
      </c>
      <c r="I247" s="111"/>
      <c r="J247" s="112"/>
      <c r="K247" s="112"/>
      <c r="L247" s="112"/>
      <c r="M247" s="112"/>
      <c r="N247" s="112"/>
      <c r="O247" s="112"/>
      <c r="P247" s="112"/>
      <c r="Q247" s="112"/>
      <c r="R247" s="112"/>
      <c r="S247" s="111"/>
      <c r="T247" s="93"/>
      <c r="U247" s="93"/>
      <c r="V247" s="93"/>
      <c r="W247" s="93"/>
      <c r="X247" s="93" t="str">
        <f>IF($B247="Yes",COUNTIF(Reference!P$52:P$67,$K247),"")</f>
        <v/>
      </c>
      <c r="Y247" s="93" t="str">
        <f>IF($B247="Yes",COUNTIF(Reference!Q$52:Q$67,$K247),"")</f>
        <v/>
      </c>
      <c r="Z247" s="93" t="str">
        <f>IF($B247="Yes",COUNTIF(Reference!R$52:R$67,$K247),"")</f>
        <v/>
      </c>
      <c r="AA247" s="93" t="str">
        <f>IF($B247="Yes",COUNTIF(Reference!S$52:S$67,$K247),"")</f>
        <v/>
      </c>
      <c r="AB247" s="93" t="str">
        <f>IF($B247="Yes",COUNTIF(Reference!T$52:T$67,$K247),"")</f>
        <v/>
      </c>
      <c r="AC247" s="93" t="str">
        <f t="shared" si="11"/>
        <v/>
      </c>
    </row>
    <row r="248" spans="1:29" x14ac:dyDescent="0.25">
      <c r="A248" s="95">
        <v>338</v>
      </c>
      <c r="B248" s="95" t="str">
        <f t="shared" si="9"/>
        <v>No</v>
      </c>
      <c r="H248" s="95" t="str">
        <f t="shared" si="10"/>
        <v/>
      </c>
      <c r="I248" s="111"/>
      <c r="J248" s="112"/>
      <c r="K248" s="112"/>
      <c r="L248" s="112"/>
      <c r="M248" s="112"/>
      <c r="N248" s="112"/>
      <c r="O248" s="112"/>
      <c r="P248" s="112"/>
      <c r="Q248" s="112"/>
      <c r="R248" s="112"/>
      <c r="S248" s="111"/>
      <c r="T248" s="93"/>
      <c r="U248" s="93"/>
      <c r="V248" s="93"/>
      <c r="W248" s="93"/>
      <c r="X248" s="93" t="str">
        <f>IF($B248="Yes",COUNTIF(Reference!P$52:P$67,$K248),"")</f>
        <v/>
      </c>
      <c r="Y248" s="93" t="str">
        <f>IF($B248="Yes",COUNTIF(Reference!Q$52:Q$67,$K248),"")</f>
        <v/>
      </c>
      <c r="Z248" s="93" t="str">
        <f>IF($B248="Yes",COUNTIF(Reference!R$52:R$67,$K248),"")</f>
        <v/>
      </c>
      <c r="AA248" s="93" t="str">
        <f>IF($B248="Yes",COUNTIF(Reference!S$52:S$67,$K248),"")</f>
        <v/>
      </c>
      <c r="AB248" s="93" t="str">
        <f>IF($B248="Yes",COUNTIF(Reference!T$52:T$67,$K248),"")</f>
        <v/>
      </c>
      <c r="AC248" s="93" t="str">
        <f t="shared" si="11"/>
        <v/>
      </c>
    </row>
    <row r="249" spans="1:29" x14ac:dyDescent="0.25">
      <c r="A249" s="95">
        <v>339</v>
      </c>
      <c r="B249" s="95" t="str">
        <f t="shared" si="9"/>
        <v>No</v>
      </c>
      <c r="H249" s="95" t="str">
        <f t="shared" si="10"/>
        <v/>
      </c>
      <c r="I249" s="111"/>
      <c r="J249" s="112"/>
      <c r="K249" s="112"/>
      <c r="L249" s="112"/>
      <c r="M249" s="112"/>
      <c r="N249" s="112"/>
      <c r="O249" s="112"/>
      <c r="P249" s="112"/>
      <c r="Q249" s="112"/>
      <c r="R249" s="112"/>
      <c r="S249" s="111"/>
      <c r="T249" s="93"/>
      <c r="U249" s="93"/>
      <c r="V249" s="93"/>
      <c r="W249" s="93"/>
      <c r="X249" s="93" t="str">
        <f>IF($B249="Yes",COUNTIF(Reference!P$52:P$67,$K249),"")</f>
        <v/>
      </c>
      <c r="Y249" s="93" t="str">
        <f>IF($B249="Yes",COUNTIF(Reference!Q$52:Q$67,$K249),"")</f>
        <v/>
      </c>
      <c r="Z249" s="93" t="str">
        <f>IF($B249="Yes",COUNTIF(Reference!R$52:R$67,$K249),"")</f>
        <v/>
      </c>
      <c r="AA249" s="93" t="str">
        <f>IF($B249="Yes",COUNTIF(Reference!S$52:S$67,$K249),"")</f>
        <v/>
      </c>
      <c r="AB249" s="93" t="str">
        <f>IF($B249="Yes",COUNTIF(Reference!T$52:T$67,$K249),"")</f>
        <v/>
      </c>
      <c r="AC249" s="93" t="str">
        <f t="shared" si="11"/>
        <v/>
      </c>
    </row>
    <row r="250" spans="1:29" x14ac:dyDescent="0.25">
      <c r="A250" s="95">
        <v>340</v>
      </c>
      <c r="B250" s="95" t="str">
        <f t="shared" si="9"/>
        <v>No</v>
      </c>
      <c r="H250" s="95" t="str">
        <f t="shared" si="10"/>
        <v/>
      </c>
      <c r="I250" s="111"/>
      <c r="J250" s="112"/>
      <c r="K250" s="112"/>
      <c r="L250" s="112"/>
      <c r="M250" s="112"/>
      <c r="N250" s="112"/>
      <c r="O250" s="112"/>
      <c r="P250" s="112"/>
      <c r="Q250" s="112"/>
      <c r="R250" s="112"/>
      <c r="S250" s="111"/>
      <c r="T250" s="93"/>
      <c r="U250" s="93"/>
      <c r="V250" s="93"/>
      <c r="W250" s="93"/>
      <c r="X250" s="93" t="str">
        <f>IF($B250="Yes",COUNTIF(Reference!P$52:P$67,$K250),"")</f>
        <v/>
      </c>
      <c r="Y250" s="93" t="str">
        <f>IF($B250="Yes",COUNTIF(Reference!Q$52:Q$67,$K250),"")</f>
        <v/>
      </c>
      <c r="Z250" s="93" t="str">
        <f>IF($B250="Yes",COUNTIF(Reference!R$52:R$67,$K250),"")</f>
        <v/>
      </c>
      <c r="AA250" s="93" t="str">
        <f>IF($B250="Yes",COUNTIF(Reference!S$52:S$67,$K250),"")</f>
        <v/>
      </c>
      <c r="AB250" s="93" t="str">
        <f>IF($B250="Yes",COUNTIF(Reference!T$52:T$67,$K250),"")</f>
        <v/>
      </c>
      <c r="AC250" s="93" t="str">
        <f t="shared" si="11"/>
        <v/>
      </c>
    </row>
    <row r="251" spans="1:29" x14ac:dyDescent="0.25">
      <c r="A251" s="95">
        <v>341</v>
      </c>
      <c r="B251" s="95" t="str">
        <f t="shared" si="9"/>
        <v>No</v>
      </c>
      <c r="H251" s="95" t="str">
        <f t="shared" si="10"/>
        <v/>
      </c>
      <c r="I251" s="111"/>
      <c r="J251" s="112"/>
      <c r="K251" s="112"/>
      <c r="L251" s="112"/>
      <c r="M251" s="112"/>
      <c r="N251" s="112"/>
      <c r="O251" s="112"/>
      <c r="P251" s="112"/>
      <c r="Q251" s="112"/>
      <c r="R251" s="112"/>
      <c r="S251" s="111"/>
      <c r="T251" s="93"/>
      <c r="U251" s="93"/>
      <c r="V251" s="93"/>
      <c r="W251" s="93"/>
      <c r="X251" s="93" t="str">
        <f>IF($B251="Yes",COUNTIF(Reference!P$52:P$67,$K251),"")</f>
        <v/>
      </c>
      <c r="Y251" s="93" t="str">
        <f>IF($B251="Yes",COUNTIF(Reference!Q$52:Q$67,$K251),"")</f>
        <v/>
      </c>
      <c r="Z251" s="93" t="str">
        <f>IF($B251="Yes",COUNTIF(Reference!R$52:R$67,$K251),"")</f>
        <v/>
      </c>
      <c r="AA251" s="93" t="str">
        <f>IF($B251="Yes",COUNTIF(Reference!S$52:S$67,$K251),"")</f>
        <v/>
      </c>
      <c r="AB251" s="93" t="str">
        <f>IF($B251="Yes",COUNTIF(Reference!T$52:T$67,$K251),"")</f>
        <v/>
      </c>
      <c r="AC251" s="93" t="str">
        <f t="shared" si="11"/>
        <v/>
      </c>
    </row>
    <row r="252" spans="1:29" x14ac:dyDescent="0.25">
      <c r="A252" s="95">
        <v>342</v>
      </c>
      <c r="B252" s="95" t="str">
        <f t="shared" si="9"/>
        <v>No</v>
      </c>
      <c r="H252" s="95" t="str">
        <f t="shared" si="10"/>
        <v/>
      </c>
      <c r="I252" s="111"/>
      <c r="J252" s="112"/>
      <c r="K252" s="112"/>
      <c r="L252" s="112"/>
      <c r="M252" s="112"/>
      <c r="N252" s="112"/>
      <c r="O252" s="112"/>
      <c r="P252" s="112"/>
      <c r="Q252" s="112"/>
      <c r="R252" s="112"/>
      <c r="S252" s="111"/>
      <c r="T252" s="93"/>
      <c r="U252" s="93"/>
      <c r="V252" s="93"/>
      <c r="W252" s="93"/>
      <c r="X252" s="93" t="str">
        <f>IF($B252="Yes",COUNTIF(Reference!P$52:P$67,$K252),"")</f>
        <v/>
      </c>
      <c r="Y252" s="93" t="str">
        <f>IF($B252="Yes",COUNTIF(Reference!Q$52:Q$67,$K252),"")</f>
        <v/>
      </c>
      <c r="Z252" s="93" t="str">
        <f>IF($B252="Yes",COUNTIF(Reference!R$52:R$67,$K252),"")</f>
        <v/>
      </c>
      <c r="AA252" s="93" t="str">
        <f>IF($B252="Yes",COUNTIF(Reference!S$52:S$67,$K252),"")</f>
        <v/>
      </c>
      <c r="AB252" s="93" t="str">
        <f>IF($B252="Yes",COUNTIF(Reference!T$52:T$67,$K252),"")</f>
        <v/>
      </c>
      <c r="AC252" s="93" t="str">
        <f t="shared" si="11"/>
        <v/>
      </c>
    </row>
    <row r="253" spans="1:29" x14ac:dyDescent="0.25">
      <c r="A253" s="95">
        <v>343</v>
      </c>
      <c r="B253" s="95" t="str">
        <f t="shared" si="9"/>
        <v>No</v>
      </c>
      <c r="H253" s="95" t="str">
        <f t="shared" si="10"/>
        <v/>
      </c>
      <c r="I253" s="111"/>
      <c r="J253" s="112"/>
      <c r="K253" s="112"/>
      <c r="L253" s="112"/>
      <c r="M253" s="112"/>
      <c r="N253" s="112"/>
      <c r="O253" s="112"/>
      <c r="P253" s="112"/>
      <c r="Q253" s="112"/>
      <c r="R253" s="112"/>
      <c r="S253" s="111"/>
      <c r="T253" s="93"/>
      <c r="U253" s="93"/>
      <c r="V253" s="93"/>
      <c r="W253" s="93"/>
      <c r="X253" s="93" t="str">
        <f>IF($B253="Yes",COUNTIF(Reference!P$52:P$67,$K253),"")</f>
        <v/>
      </c>
      <c r="Y253" s="93" t="str">
        <f>IF($B253="Yes",COUNTIF(Reference!Q$52:Q$67,$K253),"")</f>
        <v/>
      </c>
      <c r="Z253" s="93" t="str">
        <f>IF($B253="Yes",COUNTIF(Reference!R$52:R$67,$K253),"")</f>
        <v/>
      </c>
      <c r="AA253" s="93" t="str">
        <f>IF($B253="Yes",COUNTIF(Reference!S$52:S$67,$K253),"")</f>
        <v/>
      </c>
      <c r="AB253" s="93" t="str">
        <f>IF($B253="Yes",COUNTIF(Reference!T$52:T$67,$K253),"")</f>
        <v/>
      </c>
      <c r="AC253" s="93" t="str">
        <f t="shared" si="11"/>
        <v/>
      </c>
    </row>
    <row r="254" spans="1:29" x14ac:dyDescent="0.25">
      <c r="A254" s="95">
        <v>344</v>
      </c>
      <c r="B254" s="95" t="str">
        <f t="shared" si="9"/>
        <v>No</v>
      </c>
      <c r="H254" s="95" t="str">
        <f t="shared" si="10"/>
        <v/>
      </c>
      <c r="I254" s="111"/>
      <c r="J254" s="112"/>
      <c r="K254" s="112"/>
      <c r="L254" s="112"/>
      <c r="M254" s="112"/>
      <c r="N254" s="112"/>
      <c r="O254" s="112"/>
      <c r="P254" s="112"/>
      <c r="Q254" s="112"/>
      <c r="R254" s="112"/>
      <c r="S254" s="111"/>
      <c r="T254" s="93"/>
      <c r="U254" s="93"/>
      <c r="V254" s="93"/>
      <c r="W254" s="93"/>
      <c r="X254" s="93" t="str">
        <f>IF($B254="Yes",COUNTIF(Reference!P$52:P$67,$K254),"")</f>
        <v/>
      </c>
      <c r="Y254" s="93" t="str">
        <f>IF($B254="Yes",COUNTIF(Reference!Q$52:Q$67,$K254),"")</f>
        <v/>
      </c>
      <c r="Z254" s="93" t="str">
        <f>IF($B254="Yes",COUNTIF(Reference!R$52:R$67,$K254),"")</f>
        <v/>
      </c>
      <c r="AA254" s="93" t="str">
        <f>IF($B254="Yes",COUNTIF(Reference!S$52:S$67,$K254),"")</f>
        <v/>
      </c>
      <c r="AB254" s="93" t="str">
        <f>IF($B254="Yes",COUNTIF(Reference!T$52:T$67,$K254),"")</f>
        <v/>
      </c>
      <c r="AC254" s="93" t="str">
        <f t="shared" si="11"/>
        <v/>
      </c>
    </row>
    <row r="255" spans="1:29" x14ac:dyDescent="0.25">
      <c r="A255" s="95">
        <v>345</v>
      </c>
      <c r="B255" s="95" t="str">
        <f t="shared" si="9"/>
        <v>No</v>
      </c>
      <c r="H255" s="95" t="str">
        <f t="shared" si="10"/>
        <v/>
      </c>
      <c r="I255" s="111"/>
      <c r="J255" s="112"/>
      <c r="K255" s="112"/>
      <c r="L255" s="112"/>
      <c r="M255" s="112"/>
      <c r="N255" s="112"/>
      <c r="O255" s="112"/>
      <c r="P255" s="112"/>
      <c r="Q255" s="112"/>
      <c r="R255" s="112"/>
      <c r="S255" s="111"/>
      <c r="T255" s="93"/>
      <c r="U255" s="93"/>
      <c r="V255" s="93"/>
      <c r="W255" s="93"/>
      <c r="X255" s="93" t="str">
        <f>IF($B255="Yes",COUNTIF(Reference!P$52:P$67,$K255),"")</f>
        <v/>
      </c>
      <c r="Y255" s="93" t="str">
        <f>IF($B255="Yes",COUNTIF(Reference!Q$52:Q$67,$K255),"")</f>
        <v/>
      </c>
      <c r="Z255" s="93" t="str">
        <f>IF($B255="Yes",COUNTIF(Reference!R$52:R$67,$K255),"")</f>
        <v/>
      </c>
      <c r="AA255" s="93" t="str">
        <f>IF($B255="Yes",COUNTIF(Reference!S$52:S$67,$K255),"")</f>
        <v/>
      </c>
      <c r="AB255" s="93" t="str">
        <f>IF($B255="Yes",COUNTIF(Reference!T$52:T$67,$K255),"")</f>
        <v/>
      </c>
      <c r="AC255" s="93" t="str">
        <f t="shared" si="11"/>
        <v/>
      </c>
    </row>
    <row r="256" spans="1:29" x14ac:dyDescent="0.25">
      <c r="A256" s="95">
        <v>346</v>
      </c>
      <c r="B256" s="95" t="str">
        <f t="shared" si="9"/>
        <v>No</v>
      </c>
      <c r="H256" s="95" t="str">
        <f t="shared" si="10"/>
        <v/>
      </c>
      <c r="I256" s="111"/>
      <c r="J256" s="112"/>
      <c r="K256" s="112"/>
      <c r="L256" s="112"/>
      <c r="M256" s="112"/>
      <c r="N256" s="112"/>
      <c r="O256" s="112"/>
      <c r="P256" s="112"/>
      <c r="Q256" s="112"/>
      <c r="R256" s="112"/>
      <c r="S256" s="111"/>
      <c r="T256" s="93"/>
      <c r="U256" s="93"/>
      <c r="V256" s="93"/>
      <c r="W256" s="93"/>
      <c r="X256" s="93" t="str">
        <f>IF($B256="Yes",COUNTIF(Reference!P$52:P$67,$K256),"")</f>
        <v/>
      </c>
      <c r="Y256" s="93" t="str">
        <f>IF($B256="Yes",COUNTIF(Reference!Q$52:Q$67,$K256),"")</f>
        <v/>
      </c>
      <c r="Z256" s="93" t="str">
        <f>IF($B256="Yes",COUNTIF(Reference!R$52:R$67,$K256),"")</f>
        <v/>
      </c>
      <c r="AA256" s="93" t="str">
        <f>IF($B256="Yes",COUNTIF(Reference!S$52:S$67,$K256),"")</f>
        <v/>
      </c>
      <c r="AB256" s="93" t="str">
        <f>IF($B256="Yes",COUNTIF(Reference!T$52:T$67,$K256),"")</f>
        <v/>
      </c>
      <c r="AC256" s="93" t="str">
        <f t="shared" si="11"/>
        <v/>
      </c>
    </row>
    <row r="257" spans="1:29" x14ac:dyDescent="0.25">
      <c r="A257" s="95">
        <v>347</v>
      </c>
      <c r="B257" s="95" t="str">
        <f t="shared" si="9"/>
        <v>No</v>
      </c>
      <c r="H257" s="95" t="str">
        <f t="shared" si="10"/>
        <v/>
      </c>
      <c r="I257" s="111"/>
      <c r="J257" s="112"/>
      <c r="K257" s="112"/>
      <c r="L257" s="112"/>
      <c r="M257" s="112"/>
      <c r="N257" s="112"/>
      <c r="O257" s="112"/>
      <c r="P257" s="112"/>
      <c r="Q257" s="112"/>
      <c r="R257" s="112"/>
      <c r="S257" s="111"/>
      <c r="T257" s="93"/>
      <c r="U257" s="93"/>
      <c r="V257" s="93"/>
      <c r="W257" s="93"/>
      <c r="X257" s="93" t="str">
        <f>IF($B257="Yes",COUNTIF(Reference!P$52:P$67,$K257),"")</f>
        <v/>
      </c>
      <c r="Y257" s="93" t="str">
        <f>IF($B257="Yes",COUNTIF(Reference!Q$52:Q$67,$K257),"")</f>
        <v/>
      </c>
      <c r="Z257" s="93" t="str">
        <f>IF($B257="Yes",COUNTIF(Reference!R$52:R$67,$K257),"")</f>
        <v/>
      </c>
      <c r="AA257" s="93" t="str">
        <f>IF($B257="Yes",COUNTIF(Reference!S$52:S$67,$K257),"")</f>
        <v/>
      </c>
      <c r="AB257" s="93" t="str">
        <f>IF($B257="Yes",COUNTIF(Reference!T$52:T$67,$K257),"")</f>
        <v/>
      </c>
      <c r="AC257" s="93" t="str">
        <f t="shared" si="11"/>
        <v/>
      </c>
    </row>
    <row r="258" spans="1:29" x14ac:dyDescent="0.25">
      <c r="A258" s="95">
        <v>348</v>
      </c>
      <c r="B258" s="95" t="str">
        <f t="shared" si="9"/>
        <v>No</v>
      </c>
      <c r="H258" s="95" t="str">
        <f t="shared" si="10"/>
        <v/>
      </c>
      <c r="I258" s="111"/>
      <c r="J258" s="112"/>
      <c r="K258" s="112"/>
      <c r="L258" s="112"/>
      <c r="M258" s="112"/>
      <c r="N258" s="112"/>
      <c r="O258" s="112"/>
      <c r="P258" s="112"/>
      <c r="Q258" s="112"/>
      <c r="R258" s="112"/>
      <c r="S258" s="111"/>
      <c r="T258" s="93"/>
      <c r="U258" s="93"/>
      <c r="V258" s="93"/>
      <c r="W258" s="93"/>
      <c r="X258" s="93" t="str">
        <f>IF($B258="Yes",COUNTIF(Reference!P$52:P$67,$K258),"")</f>
        <v/>
      </c>
      <c r="Y258" s="93" t="str">
        <f>IF($B258="Yes",COUNTIF(Reference!Q$52:Q$67,$K258),"")</f>
        <v/>
      </c>
      <c r="Z258" s="93" t="str">
        <f>IF($B258="Yes",COUNTIF(Reference!R$52:R$67,$K258),"")</f>
        <v/>
      </c>
      <c r="AA258" s="93" t="str">
        <f>IF($B258="Yes",COUNTIF(Reference!S$52:S$67,$K258),"")</f>
        <v/>
      </c>
      <c r="AB258" s="93" t="str">
        <f>IF($B258="Yes",COUNTIF(Reference!T$52:T$67,$K258),"")</f>
        <v/>
      </c>
      <c r="AC258" s="93" t="str">
        <f t="shared" si="11"/>
        <v/>
      </c>
    </row>
    <row r="259" spans="1:29" x14ac:dyDescent="0.25">
      <c r="A259" s="95">
        <v>349</v>
      </c>
      <c r="B259" s="95" t="str">
        <f t="shared" si="9"/>
        <v>No</v>
      </c>
      <c r="H259" s="95" t="str">
        <f t="shared" si="10"/>
        <v/>
      </c>
      <c r="I259" s="111"/>
      <c r="J259" s="112"/>
      <c r="K259" s="112"/>
      <c r="L259" s="112"/>
      <c r="M259" s="112"/>
      <c r="N259" s="112"/>
      <c r="O259" s="112"/>
      <c r="P259" s="112"/>
      <c r="Q259" s="112"/>
      <c r="R259" s="112"/>
      <c r="S259" s="111"/>
      <c r="T259" s="93"/>
      <c r="U259" s="93"/>
      <c r="V259" s="93"/>
      <c r="W259" s="93"/>
      <c r="X259" s="93" t="str">
        <f>IF($B259="Yes",COUNTIF(Reference!P$52:P$67,$K259),"")</f>
        <v/>
      </c>
      <c r="Y259" s="93" t="str">
        <f>IF($B259="Yes",COUNTIF(Reference!Q$52:Q$67,$K259),"")</f>
        <v/>
      </c>
      <c r="Z259" s="93" t="str">
        <f>IF($B259="Yes",COUNTIF(Reference!R$52:R$67,$K259),"")</f>
        <v/>
      </c>
      <c r="AA259" s="93" t="str">
        <f>IF($B259="Yes",COUNTIF(Reference!S$52:S$67,$K259),"")</f>
        <v/>
      </c>
      <c r="AB259" s="93" t="str">
        <f>IF($B259="Yes",COUNTIF(Reference!T$52:T$67,$K259),"")</f>
        <v/>
      </c>
      <c r="AC259" s="93" t="str">
        <f t="shared" si="11"/>
        <v/>
      </c>
    </row>
    <row r="260" spans="1:29" x14ac:dyDescent="0.25">
      <c r="A260" s="95">
        <v>350</v>
      </c>
      <c r="B260" s="95" t="str">
        <f t="shared" si="9"/>
        <v>No</v>
      </c>
      <c r="H260" s="95" t="str">
        <f t="shared" si="10"/>
        <v/>
      </c>
      <c r="I260" s="111"/>
      <c r="J260" s="112"/>
      <c r="K260" s="112"/>
      <c r="L260" s="112"/>
      <c r="M260" s="112"/>
      <c r="N260" s="112"/>
      <c r="O260" s="112"/>
      <c r="P260" s="112"/>
      <c r="Q260" s="112"/>
      <c r="R260" s="112"/>
      <c r="S260" s="111"/>
      <c r="T260" s="93"/>
      <c r="U260" s="93"/>
      <c r="V260" s="93"/>
      <c r="W260" s="93"/>
      <c r="X260" s="93" t="str">
        <f>IF($B260="Yes",COUNTIF(Reference!P$52:P$67,$K260),"")</f>
        <v/>
      </c>
      <c r="Y260" s="93" t="str">
        <f>IF($B260="Yes",COUNTIF(Reference!Q$52:Q$67,$K260),"")</f>
        <v/>
      </c>
      <c r="Z260" s="93" t="str">
        <f>IF($B260="Yes",COUNTIF(Reference!R$52:R$67,$K260),"")</f>
        <v/>
      </c>
      <c r="AA260" s="93" t="str">
        <f>IF($B260="Yes",COUNTIF(Reference!S$52:S$67,$K260),"")</f>
        <v/>
      </c>
      <c r="AB260" s="93" t="str">
        <f>IF($B260="Yes",COUNTIF(Reference!T$52:T$67,$K260),"")</f>
        <v/>
      </c>
      <c r="AC260" s="93" t="str">
        <f t="shared" si="11"/>
        <v/>
      </c>
    </row>
    <row r="261" spans="1:29" x14ac:dyDescent="0.25">
      <c r="A261" s="95">
        <v>351</v>
      </c>
      <c r="B261" s="95" t="str">
        <f t="shared" si="9"/>
        <v>No</v>
      </c>
      <c r="H261" s="95" t="str">
        <f t="shared" si="10"/>
        <v/>
      </c>
      <c r="I261" s="111"/>
      <c r="J261" s="112"/>
      <c r="K261" s="112"/>
      <c r="L261" s="112"/>
      <c r="M261" s="112"/>
      <c r="N261" s="112"/>
      <c r="O261" s="112"/>
      <c r="P261" s="112"/>
      <c r="Q261" s="112"/>
      <c r="R261" s="112"/>
      <c r="S261" s="111"/>
      <c r="T261" s="93"/>
      <c r="U261" s="93"/>
      <c r="V261" s="93"/>
      <c r="W261" s="93"/>
      <c r="X261" s="93" t="str">
        <f>IF($B261="Yes",COUNTIF(Reference!P$52:P$67,$K261),"")</f>
        <v/>
      </c>
      <c r="Y261" s="93" t="str">
        <f>IF($B261="Yes",COUNTIF(Reference!Q$52:Q$67,$K261),"")</f>
        <v/>
      </c>
      <c r="Z261" s="93" t="str">
        <f>IF($B261="Yes",COUNTIF(Reference!R$52:R$67,$K261),"")</f>
        <v/>
      </c>
      <c r="AA261" s="93" t="str">
        <f>IF($B261="Yes",COUNTIF(Reference!S$52:S$67,$K261),"")</f>
        <v/>
      </c>
      <c r="AB261" s="93" t="str">
        <f>IF($B261="Yes",COUNTIF(Reference!T$52:T$67,$K261),"")</f>
        <v/>
      </c>
      <c r="AC261" s="93" t="str">
        <f t="shared" si="11"/>
        <v/>
      </c>
    </row>
    <row r="262" spans="1:29" x14ac:dyDescent="0.25">
      <c r="A262" s="95">
        <v>352</v>
      </c>
      <c r="B262" s="95" t="str">
        <f t="shared" si="9"/>
        <v>No</v>
      </c>
      <c r="H262" s="95" t="str">
        <f t="shared" si="10"/>
        <v/>
      </c>
      <c r="I262" s="111"/>
      <c r="J262" s="112"/>
      <c r="K262" s="112"/>
      <c r="L262" s="112"/>
      <c r="M262" s="112"/>
      <c r="N262" s="112"/>
      <c r="O262" s="112"/>
      <c r="P262" s="112"/>
      <c r="Q262" s="112"/>
      <c r="R262" s="112"/>
      <c r="S262" s="111"/>
      <c r="T262" s="93"/>
      <c r="U262" s="93"/>
      <c r="V262" s="93"/>
      <c r="W262" s="93"/>
      <c r="X262" s="93" t="str">
        <f>IF($B262="Yes",COUNTIF(Reference!P$52:P$67,$K262),"")</f>
        <v/>
      </c>
      <c r="Y262" s="93" t="str">
        <f>IF($B262="Yes",COUNTIF(Reference!Q$52:Q$67,$K262),"")</f>
        <v/>
      </c>
      <c r="Z262" s="93" t="str">
        <f>IF($B262="Yes",COUNTIF(Reference!R$52:R$67,$K262),"")</f>
        <v/>
      </c>
      <c r="AA262" s="93" t="str">
        <f>IF($B262="Yes",COUNTIF(Reference!S$52:S$67,$K262),"")</f>
        <v/>
      </c>
      <c r="AB262" s="93" t="str">
        <f>IF($B262="Yes",COUNTIF(Reference!T$52:T$67,$K262),"")</f>
        <v/>
      </c>
      <c r="AC262" s="93" t="str">
        <f t="shared" si="11"/>
        <v/>
      </c>
    </row>
    <row r="263" spans="1:29" x14ac:dyDescent="0.25">
      <c r="A263" s="95">
        <v>353</v>
      </c>
      <c r="B263" s="95" t="str">
        <f t="shared" si="9"/>
        <v>No</v>
      </c>
      <c r="H263" s="95" t="str">
        <f t="shared" si="10"/>
        <v/>
      </c>
      <c r="I263" s="111"/>
      <c r="J263" s="112"/>
      <c r="K263" s="112"/>
      <c r="L263" s="112"/>
      <c r="M263" s="112"/>
      <c r="N263" s="112"/>
      <c r="O263" s="112"/>
      <c r="P263" s="112"/>
      <c r="Q263" s="112"/>
      <c r="R263" s="112"/>
      <c r="S263" s="111"/>
      <c r="T263" s="93"/>
      <c r="U263" s="93"/>
      <c r="V263" s="93"/>
      <c r="W263" s="93"/>
      <c r="X263" s="93" t="str">
        <f>IF($B263="Yes",COUNTIF(Reference!P$52:P$67,$K263),"")</f>
        <v/>
      </c>
      <c r="Y263" s="93" t="str">
        <f>IF($B263="Yes",COUNTIF(Reference!Q$52:Q$67,$K263),"")</f>
        <v/>
      </c>
      <c r="Z263" s="93" t="str">
        <f>IF($B263="Yes",COUNTIF(Reference!R$52:R$67,$K263),"")</f>
        <v/>
      </c>
      <c r="AA263" s="93" t="str">
        <f>IF($B263="Yes",COUNTIF(Reference!S$52:S$67,$K263),"")</f>
        <v/>
      </c>
      <c r="AB263" s="93" t="str">
        <f>IF($B263="Yes",COUNTIF(Reference!T$52:T$67,$K263),"")</f>
        <v/>
      </c>
      <c r="AC263" s="93" t="str">
        <f t="shared" si="11"/>
        <v/>
      </c>
    </row>
    <row r="264" spans="1:29" x14ac:dyDescent="0.25">
      <c r="A264" s="95">
        <v>354</v>
      </c>
      <c r="B264" s="95" t="str">
        <f t="shared" si="9"/>
        <v>No</v>
      </c>
      <c r="H264" s="95" t="str">
        <f t="shared" si="10"/>
        <v/>
      </c>
      <c r="I264" s="111"/>
      <c r="J264" s="112"/>
      <c r="K264" s="112"/>
      <c r="L264" s="112"/>
      <c r="M264" s="112"/>
      <c r="N264" s="112"/>
      <c r="O264" s="112"/>
      <c r="P264" s="112"/>
      <c r="Q264" s="112"/>
      <c r="R264" s="112"/>
      <c r="S264" s="111"/>
      <c r="T264" s="93"/>
      <c r="U264" s="93"/>
      <c r="V264" s="93"/>
      <c r="W264" s="93"/>
      <c r="X264" s="93" t="str">
        <f>IF($B264="Yes",COUNTIF(Reference!P$52:P$67,$K264),"")</f>
        <v/>
      </c>
      <c r="Y264" s="93" t="str">
        <f>IF($B264="Yes",COUNTIF(Reference!Q$52:Q$67,$K264),"")</f>
        <v/>
      </c>
      <c r="Z264" s="93" t="str">
        <f>IF($B264="Yes",COUNTIF(Reference!R$52:R$67,$K264),"")</f>
        <v/>
      </c>
      <c r="AA264" s="93" t="str">
        <f>IF($B264="Yes",COUNTIF(Reference!S$52:S$67,$K264),"")</f>
        <v/>
      </c>
      <c r="AB264" s="93" t="str">
        <f>IF($B264="Yes",COUNTIF(Reference!T$52:T$67,$K264),"")</f>
        <v/>
      </c>
      <c r="AC264" s="93" t="str">
        <f t="shared" si="11"/>
        <v/>
      </c>
    </row>
    <row r="265" spans="1:29" x14ac:dyDescent="0.25">
      <c r="A265" s="95">
        <v>355</v>
      </c>
      <c r="B265" s="95" t="str">
        <f t="shared" si="9"/>
        <v>No</v>
      </c>
      <c r="H265" s="95" t="str">
        <f t="shared" si="10"/>
        <v/>
      </c>
      <c r="I265" s="111"/>
      <c r="J265" s="112"/>
      <c r="K265" s="112"/>
      <c r="L265" s="112"/>
      <c r="M265" s="112"/>
      <c r="N265" s="112"/>
      <c r="O265" s="112"/>
      <c r="P265" s="112"/>
      <c r="Q265" s="112"/>
      <c r="R265" s="112"/>
      <c r="S265" s="111"/>
      <c r="T265" s="93"/>
      <c r="U265" s="93"/>
      <c r="V265" s="93"/>
      <c r="W265" s="93"/>
      <c r="X265" s="93" t="str">
        <f>IF($B265="Yes",COUNTIF(Reference!P$52:P$67,$K265),"")</f>
        <v/>
      </c>
      <c r="Y265" s="93" t="str">
        <f>IF($B265="Yes",COUNTIF(Reference!Q$52:Q$67,$K265),"")</f>
        <v/>
      </c>
      <c r="Z265" s="93" t="str">
        <f>IF($B265="Yes",COUNTIF(Reference!R$52:R$67,$K265),"")</f>
        <v/>
      </c>
      <c r="AA265" s="93" t="str">
        <f>IF($B265="Yes",COUNTIF(Reference!S$52:S$67,$K265),"")</f>
        <v/>
      </c>
      <c r="AB265" s="93" t="str">
        <f>IF($B265="Yes",COUNTIF(Reference!T$52:T$67,$K265),"")</f>
        <v/>
      </c>
      <c r="AC265" s="93" t="str">
        <f t="shared" si="11"/>
        <v/>
      </c>
    </row>
    <row r="266" spans="1:29" x14ac:dyDescent="0.25">
      <c r="A266" s="95">
        <v>356</v>
      </c>
      <c r="B266" s="95" t="str">
        <f t="shared" si="9"/>
        <v>No</v>
      </c>
      <c r="H266" s="95" t="str">
        <f t="shared" si="10"/>
        <v/>
      </c>
      <c r="I266" s="111"/>
      <c r="J266" s="112"/>
      <c r="K266" s="112"/>
      <c r="L266" s="112"/>
      <c r="M266" s="112"/>
      <c r="N266" s="112"/>
      <c r="O266" s="112"/>
      <c r="P266" s="112"/>
      <c r="Q266" s="112"/>
      <c r="R266" s="112"/>
      <c r="S266" s="111"/>
      <c r="T266" s="93"/>
      <c r="U266" s="93"/>
      <c r="V266" s="93"/>
      <c r="W266" s="93"/>
      <c r="X266" s="93" t="str">
        <f>IF($B266="Yes",COUNTIF(Reference!P$52:P$67,$K266),"")</f>
        <v/>
      </c>
      <c r="Y266" s="93" t="str">
        <f>IF($B266="Yes",COUNTIF(Reference!Q$52:Q$67,$K266),"")</f>
        <v/>
      </c>
      <c r="Z266" s="93" t="str">
        <f>IF($B266="Yes",COUNTIF(Reference!R$52:R$67,$K266),"")</f>
        <v/>
      </c>
      <c r="AA266" s="93" t="str">
        <f>IF($B266="Yes",COUNTIF(Reference!S$52:S$67,$K266),"")</f>
        <v/>
      </c>
      <c r="AB266" s="93" t="str">
        <f>IF($B266="Yes",COUNTIF(Reference!T$52:T$67,$K266),"")</f>
        <v/>
      </c>
      <c r="AC266" s="93" t="str">
        <f t="shared" si="11"/>
        <v/>
      </c>
    </row>
    <row r="267" spans="1:29" x14ac:dyDescent="0.25">
      <c r="A267" s="95">
        <v>357</v>
      </c>
      <c r="B267" s="95" t="str">
        <f t="shared" ref="B267:B330" si="12">IF(COUNTBLANK(J267:M267)=0,"Yes","No")</f>
        <v>No</v>
      </c>
      <c r="H267" s="95" t="str">
        <f t="shared" ref="H267:H330" si="13">IF(J267="","",$A$1&amp;"-"&amp;A267)</f>
        <v/>
      </c>
      <c r="I267" s="111"/>
      <c r="J267" s="112"/>
      <c r="K267" s="112"/>
      <c r="L267" s="112"/>
      <c r="M267" s="112"/>
      <c r="N267" s="112"/>
      <c r="O267" s="112"/>
      <c r="P267" s="112"/>
      <c r="Q267" s="112"/>
      <c r="R267" s="112"/>
      <c r="S267" s="111"/>
      <c r="T267" s="93"/>
      <c r="U267" s="93"/>
      <c r="V267" s="93"/>
      <c r="W267" s="93"/>
      <c r="X267" s="93" t="str">
        <f>IF($B267="Yes",COUNTIF(Reference!P$52:P$67,$K267),"")</f>
        <v/>
      </c>
      <c r="Y267" s="93" t="str">
        <f>IF($B267="Yes",COUNTIF(Reference!Q$52:Q$67,$K267),"")</f>
        <v/>
      </c>
      <c r="Z267" s="93" t="str">
        <f>IF($B267="Yes",COUNTIF(Reference!R$52:R$67,$K267),"")</f>
        <v/>
      </c>
      <c r="AA267" s="93" t="str">
        <f>IF($B267="Yes",COUNTIF(Reference!S$52:S$67,$K267),"")</f>
        <v/>
      </c>
      <c r="AB267" s="93" t="str">
        <f>IF($B267="Yes",COUNTIF(Reference!T$52:T$67,$K267),"")</f>
        <v/>
      </c>
      <c r="AC267" s="93" t="str">
        <f t="shared" ref="AC267:AC330" si="14">IF($B267="Yes",COUNTIF(K267,"N"),"")</f>
        <v/>
      </c>
    </row>
    <row r="268" spans="1:29" x14ac:dyDescent="0.25">
      <c r="A268" s="95">
        <v>358</v>
      </c>
      <c r="B268" s="95" t="str">
        <f t="shared" si="12"/>
        <v>No</v>
      </c>
      <c r="H268" s="95" t="str">
        <f t="shared" si="13"/>
        <v/>
      </c>
      <c r="I268" s="111"/>
      <c r="J268" s="112"/>
      <c r="K268" s="112"/>
      <c r="L268" s="112"/>
      <c r="M268" s="112"/>
      <c r="N268" s="112"/>
      <c r="O268" s="112"/>
      <c r="P268" s="112"/>
      <c r="Q268" s="112"/>
      <c r="R268" s="112"/>
      <c r="S268" s="111"/>
      <c r="T268" s="93"/>
      <c r="U268" s="93"/>
      <c r="V268" s="93"/>
      <c r="W268" s="93"/>
      <c r="X268" s="93" t="str">
        <f>IF($B268="Yes",COUNTIF(Reference!P$52:P$67,$K268),"")</f>
        <v/>
      </c>
      <c r="Y268" s="93" t="str">
        <f>IF($B268="Yes",COUNTIF(Reference!Q$52:Q$67,$K268),"")</f>
        <v/>
      </c>
      <c r="Z268" s="93" t="str">
        <f>IF($B268="Yes",COUNTIF(Reference!R$52:R$67,$K268),"")</f>
        <v/>
      </c>
      <c r="AA268" s="93" t="str">
        <f>IF($B268="Yes",COUNTIF(Reference!S$52:S$67,$K268),"")</f>
        <v/>
      </c>
      <c r="AB268" s="93" t="str">
        <f>IF($B268="Yes",COUNTIF(Reference!T$52:T$67,$K268),"")</f>
        <v/>
      </c>
      <c r="AC268" s="93" t="str">
        <f t="shared" si="14"/>
        <v/>
      </c>
    </row>
    <row r="269" spans="1:29" x14ac:dyDescent="0.25">
      <c r="A269" s="95">
        <v>359</v>
      </c>
      <c r="B269" s="95" t="str">
        <f t="shared" si="12"/>
        <v>No</v>
      </c>
      <c r="H269" s="95" t="str">
        <f t="shared" si="13"/>
        <v/>
      </c>
      <c r="I269" s="111"/>
      <c r="J269" s="112"/>
      <c r="K269" s="112"/>
      <c r="L269" s="112"/>
      <c r="M269" s="112"/>
      <c r="N269" s="112"/>
      <c r="O269" s="112"/>
      <c r="P269" s="112"/>
      <c r="Q269" s="112"/>
      <c r="R269" s="112"/>
      <c r="S269" s="111"/>
      <c r="T269" s="93"/>
      <c r="U269" s="93"/>
      <c r="V269" s="93"/>
      <c r="W269" s="93"/>
      <c r="X269" s="93" t="str">
        <f>IF($B269="Yes",COUNTIF(Reference!P$52:P$67,$K269),"")</f>
        <v/>
      </c>
      <c r="Y269" s="93" t="str">
        <f>IF($B269="Yes",COUNTIF(Reference!Q$52:Q$67,$K269),"")</f>
        <v/>
      </c>
      <c r="Z269" s="93" t="str">
        <f>IF($B269="Yes",COUNTIF(Reference!R$52:R$67,$K269),"")</f>
        <v/>
      </c>
      <c r="AA269" s="93" t="str">
        <f>IF($B269="Yes",COUNTIF(Reference!S$52:S$67,$K269),"")</f>
        <v/>
      </c>
      <c r="AB269" s="93" t="str">
        <f>IF($B269="Yes",COUNTIF(Reference!T$52:T$67,$K269),"")</f>
        <v/>
      </c>
      <c r="AC269" s="93" t="str">
        <f t="shared" si="14"/>
        <v/>
      </c>
    </row>
    <row r="270" spans="1:29" x14ac:dyDescent="0.25">
      <c r="A270" s="95">
        <v>360</v>
      </c>
      <c r="B270" s="95" t="str">
        <f t="shared" si="12"/>
        <v>No</v>
      </c>
      <c r="H270" s="95" t="str">
        <f t="shared" si="13"/>
        <v/>
      </c>
      <c r="I270" s="111"/>
      <c r="J270" s="112"/>
      <c r="K270" s="112"/>
      <c r="L270" s="112"/>
      <c r="M270" s="112"/>
      <c r="N270" s="112"/>
      <c r="O270" s="112"/>
      <c r="P270" s="112"/>
      <c r="Q270" s="112"/>
      <c r="R270" s="112"/>
      <c r="S270" s="111"/>
      <c r="T270" s="93"/>
      <c r="U270" s="93"/>
      <c r="V270" s="93"/>
      <c r="W270" s="93"/>
      <c r="X270" s="93" t="str">
        <f>IF($B270="Yes",COUNTIF(Reference!P$52:P$67,$K270),"")</f>
        <v/>
      </c>
      <c r="Y270" s="93" t="str">
        <f>IF($B270="Yes",COUNTIF(Reference!Q$52:Q$67,$K270),"")</f>
        <v/>
      </c>
      <c r="Z270" s="93" t="str">
        <f>IF($B270="Yes",COUNTIF(Reference!R$52:R$67,$K270),"")</f>
        <v/>
      </c>
      <c r="AA270" s="93" t="str">
        <f>IF($B270="Yes",COUNTIF(Reference!S$52:S$67,$K270),"")</f>
        <v/>
      </c>
      <c r="AB270" s="93" t="str">
        <f>IF($B270="Yes",COUNTIF(Reference!T$52:T$67,$K270),"")</f>
        <v/>
      </c>
      <c r="AC270" s="93" t="str">
        <f t="shared" si="14"/>
        <v/>
      </c>
    </row>
    <row r="271" spans="1:29" x14ac:dyDescent="0.25">
      <c r="A271" s="95">
        <v>361</v>
      </c>
      <c r="B271" s="95" t="str">
        <f t="shared" si="12"/>
        <v>No</v>
      </c>
      <c r="H271" s="95" t="str">
        <f t="shared" si="13"/>
        <v/>
      </c>
      <c r="I271" s="111"/>
      <c r="J271" s="112"/>
      <c r="K271" s="112"/>
      <c r="L271" s="112"/>
      <c r="M271" s="112"/>
      <c r="N271" s="112"/>
      <c r="O271" s="112"/>
      <c r="P271" s="112"/>
      <c r="Q271" s="112"/>
      <c r="R271" s="112"/>
      <c r="S271" s="111"/>
      <c r="T271" s="93"/>
      <c r="U271" s="93"/>
      <c r="V271" s="93"/>
      <c r="W271" s="93"/>
      <c r="X271" s="93" t="str">
        <f>IF($B271="Yes",COUNTIF(Reference!P$52:P$67,$K271),"")</f>
        <v/>
      </c>
      <c r="Y271" s="93" t="str">
        <f>IF($B271="Yes",COUNTIF(Reference!Q$52:Q$67,$K271),"")</f>
        <v/>
      </c>
      <c r="Z271" s="93" t="str">
        <f>IF($B271="Yes",COUNTIF(Reference!R$52:R$67,$K271),"")</f>
        <v/>
      </c>
      <c r="AA271" s="93" t="str">
        <f>IF($B271="Yes",COUNTIF(Reference!S$52:S$67,$K271),"")</f>
        <v/>
      </c>
      <c r="AB271" s="93" t="str">
        <f>IF($B271="Yes",COUNTIF(Reference!T$52:T$67,$K271),"")</f>
        <v/>
      </c>
      <c r="AC271" s="93" t="str">
        <f t="shared" si="14"/>
        <v/>
      </c>
    </row>
    <row r="272" spans="1:29" x14ac:dyDescent="0.25">
      <c r="A272" s="95">
        <v>362</v>
      </c>
      <c r="B272" s="95" t="str">
        <f t="shared" si="12"/>
        <v>No</v>
      </c>
      <c r="H272" s="95" t="str">
        <f t="shared" si="13"/>
        <v/>
      </c>
      <c r="I272" s="111"/>
      <c r="J272" s="112"/>
      <c r="K272" s="112"/>
      <c r="L272" s="112"/>
      <c r="M272" s="112"/>
      <c r="N272" s="112"/>
      <c r="O272" s="112"/>
      <c r="P272" s="112"/>
      <c r="Q272" s="112"/>
      <c r="R272" s="112"/>
      <c r="S272" s="111"/>
      <c r="T272" s="93"/>
      <c r="U272" s="93"/>
      <c r="V272" s="93"/>
      <c r="W272" s="93"/>
      <c r="X272" s="93" t="str">
        <f>IF($B272="Yes",COUNTIF(Reference!P$52:P$67,$K272),"")</f>
        <v/>
      </c>
      <c r="Y272" s="93" t="str">
        <f>IF($B272="Yes",COUNTIF(Reference!Q$52:Q$67,$K272),"")</f>
        <v/>
      </c>
      <c r="Z272" s="93" t="str">
        <f>IF($B272="Yes",COUNTIF(Reference!R$52:R$67,$K272),"")</f>
        <v/>
      </c>
      <c r="AA272" s="93" t="str">
        <f>IF($B272="Yes",COUNTIF(Reference!S$52:S$67,$K272),"")</f>
        <v/>
      </c>
      <c r="AB272" s="93" t="str">
        <f>IF($B272="Yes",COUNTIF(Reference!T$52:T$67,$K272),"")</f>
        <v/>
      </c>
      <c r="AC272" s="93" t="str">
        <f t="shared" si="14"/>
        <v/>
      </c>
    </row>
    <row r="273" spans="1:29" x14ac:dyDescent="0.25">
      <c r="A273" s="95">
        <v>363</v>
      </c>
      <c r="B273" s="95" t="str">
        <f t="shared" si="12"/>
        <v>No</v>
      </c>
      <c r="H273" s="95" t="str">
        <f t="shared" si="13"/>
        <v/>
      </c>
      <c r="I273" s="111"/>
      <c r="J273" s="112"/>
      <c r="K273" s="112"/>
      <c r="L273" s="112"/>
      <c r="M273" s="112"/>
      <c r="N273" s="112"/>
      <c r="O273" s="112"/>
      <c r="P273" s="112"/>
      <c r="Q273" s="112"/>
      <c r="R273" s="112"/>
      <c r="S273" s="111"/>
      <c r="T273" s="93"/>
      <c r="U273" s="93"/>
      <c r="V273" s="93"/>
      <c r="W273" s="93"/>
      <c r="X273" s="93" t="str">
        <f>IF($B273="Yes",COUNTIF(Reference!P$52:P$67,$K273),"")</f>
        <v/>
      </c>
      <c r="Y273" s="93" t="str">
        <f>IF($B273="Yes",COUNTIF(Reference!Q$52:Q$67,$K273),"")</f>
        <v/>
      </c>
      <c r="Z273" s="93" t="str">
        <f>IF($B273="Yes",COUNTIF(Reference!R$52:R$67,$K273),"")</f>
        <v/>
      </c>
      <c r="AA273" s="93" t="str">
        <f>IF($B273="Yes",COUNTIF(Reference!S$52:S$67,$K273),"")</f>
        <v/>
      </c>
      <c r="AB273" s="93" t="str">
        <f>IF($B273="Yes",COUNTIF(Reference!T$52:T$67,$K273),"")</f>
        <v/>
      </c>
      <c r="AC273" s="93" t="str">
        <f t="shared" si="14"/>
        <v/>
      </c>
    </row>
    <row r="274" spans="1:29" x14ac:dyDescent="0.25">
      <c r="A274" s="95">
        <v>364</v>
      </c>
      <c r="B274" s="95" t="str">
        <f t="shared" si="12"/>
        <v>No</v>
      </c>
      <c r="H274" s="95" t="str">
        <f t="shared" si="13"/>
        <v/>
      </c>
      <c r="I274" s="111"/>
      <c r="J274" s="112"/>
      <c r="K274" s="112"/>
      <c r="L274" s="112"/>
      <c r="M274" s="112"/>
      <c r="N274" s="112"/>
      <c r="O274" s="112"/>
      <c r="P274" s="112"/>
      <c r="Q274" s="112"/>
      <c r="R274" s="112"/>
      <c r="S274" s="111"/>
      <c r="T274" s="93"/>
      <c r="U274" s="93"/>
      <c r="V274" s="93"/>
      <c r="W274" s="93"/>
      <c r="X274" s="93" t="str">
        <f>IF($B274="Yes",COUNTIF(Reference!P$52:P$67,$K274),"")</f>
        <v/>
      </c>
      <c r="Y274" s="93" t="str">
        <f>IF($B274="Yes",COUNTIF(Reference!Q$52:Q$67,$K274),"")</f>
        <v/>
      </c>
      <c r="Z274" s="93" t="str">
        <f>IF($B274="Yes",COUNTIF(Reference!R$52:R$67,$K274),"")</f>
        <v/>
      </c>
      <c r="AA274" s="93" t="str">
        <f>IF($B274="Yes",COUNTIF(Reference!S$52:S$67,$K274),"")</f>
        <v/>
      </c>
      <c r="AB274" s="93" t="str">
        <f>IF($B274="Yes",COUNTIF(Reference!T$52:T$67,$K274),"")</f>
        <v/>
      </c>
      <c r="AC274" s="93" t="str">
        <f t="shared" si="14"/>
        <v/>
      </c>
    </row>
    <row r="275" spans="1:29" x14ac:dyDescent="0.25">
      <c r="A275" s="95">
        <v>365</v>
      </c>
      <c r="B275" s="95" t="str">
        <f t="shared" si="12"/>
        <v>No</v>
      </c>
      <c r="H275" s="95" t="str">
        <f t="shared" si="13"/>
        <v/>
      </c>
      <c r="I275" s="111"/>
      <c r="J275" s="112"/>
      <c r="K275" s="112"/>
      <c r="L275" s="112"/>
      <c r="M275" s="112"/>
      <c r="N275" s="112"/>
      <c r="O275" s="112"/>
      <c r="P275" s="112"/>
      <c r="Q275" s="112"/>
      <c r="R275" s="112"/>
      <c r="S275" s="111"/>
      <c r="T275" s="93"/>
      <c r="U275" s="93"/>
      <c r="V275" s="93"/>
      <c r="W275" s="93"/>
      <c r="X275" s="93" t="str">
        <f>IF($B275="Yes",COUNTIF(Reference!P$52:P$67,$K275),"")</f>
        <v/>
      </c>
      <c r="Y275" s="93" t="str">
        <f>IF($B275="Yes",COUNTIF(Reference!Q$52:Q$67,$K275),"")</f>
        <v/>
      </c>
      <c r="Z275" s="93" t="str">
        <f>IF($B275="Yes",COUNTIF(Reference!R$52:R$67,$K275),"")</f>
        <v/>
      </c>
      <c r="AA275" s="93" t="str">
        <f>IF($B275="Yes",COUNTIF(Reference!S$52:S$67,$K275),"")</f>
        <v/>
      </c>
      <c r="AB275" s="93" t="str">
        <f>IF($B275="Yes",COUNTIF(Reference!T$52:T$67,$K275),"")</f>
        <v/>
      </c>
      <c r="AC275" s="93" t="str">
        <f t="shared" si="14"/>
        <v/>
      </c>
    </row>
    <row r="276" spans="1:29" x14ac:dyDescent="0.25">
      <c r="A276" s="95">
        <v>366</v>
      </c>
      <c r="B276" s="95" t="str">
        <f t="shared" si="12"/>
        <v>No</v>
      </c>
      <c r="H276" s="95" t="str">
        <f t="shared" si="13"/>
        <v/>
      </c>
      <c r="I276" s="111"/>
      <c r="J276" s="112"/>
      <c r="K276" s="112"/>
      <c r="L276" s="112"/>
      <c r="M276" s="112"/>
      <c r="N276" s="112"/>
      <c r="O276" s="112"/>
      <c r="P276" s="112"/>
      <c r="Q276" s="112"/>
      <c r="R276" s="112"/>
      <c r="S276" s="111"/>
      <c r="T276" s="93"/>
      <c r="U276" s="93"/>
      <c r="V276" s="93"/>
      <c r="W276" s="93"/>
      <c r="X276" s="93" t="str">
        <f>IF($B276="Yes",COUNTIF(Reference!P$52:P$67,$K276),"")</f>
        <v/>
      </c>
      <c r="Y276" s="93" t="str">
        <f>IF($B276="Yes",COUNTIF(Reference!Q$52:Q$67,$K276),"")</f>
        <v/>
      </c>
      <c r="Z276" s="93" t="str">
        <f>IF($B276="Yes",COUNTIF(Reference!R$52:R$67,$K276),"")</f>
        <v/>
      </c>
      <c r="AA276" s="93" t="str">
        <f>IF($B276="Yes",COUNTIF(Reference!S$52:S$67,$K276),"")</f>
        <v/>
      </c>
      <c r="AB276" s="93" t="str">
        <f>IF($B276="Yes",COUNTIF(Reference!T$52:T$67,$K276),"")</f>
        <v/>
      </c>
      <c r="AC276" s="93" t="str">
        <f t="shared" si="14"/>
        <v/>
      </c>
    </row>
    <row r="277" spans="1:29" x14ac:dyDescent="0.25">
      <c r="A277" s="95">
        <v>367</v>
      </c>
      <c r="B277" s="95" t="str">
        <f t="shared" si="12"/>
        <v>No</v>
      </c>
      <c r="H277" s="95" t="str">
        <f t="shared" si="13"/>
        <v/>
      </c>
      <c r="I277" s="111"/>
      <c r="J277" s="112"/>
      <c r="K277" s="112"/>
      <c r="L277" s="112"/>
      <c r="M277" s="112"/>
      <c r="N277" s="112"/>
      <c r="O277" s="112"/>
      <c r="P277" s="112"/>
      <c r="Q277" s="112"/>
      <c r="R277" s="112"/>
      <c r="S277" s="111"/>
      <c r="T277" s="93"/>
      <c r="U277" s="93"/>
      <c r="V277" s="93"/>
      <c r="W277" s="93"/>
      <c r="X277" s="93" t="str">
        <f>IF($B277="Yes",COUNTIF(Reference!P$52:P$67,$K277),"")</f>
        <v/>
      </c>
      <c r="Y277" s="93" t="str">
        <f>IF($B277="Yes",COUNTIF(Reference!Q$52:Q$67,$K277),"")</f>
        <v/>
      </c>
      <c r="Z277" s="93" t="str">
        <f>IF($B277="Yes",COUNTIF(Reference!R$52:R$67,$K277),"")</f>
        <v/>
      </c>
      <c r="AA277" s="93" t="str">
        <f>IF($B277="Yes",COUNTIF(Reference!S$52:S$67,$K277),"")</f>
        <v/>
      </c>
      <c r="AB277" s="93" t="str">
        <f>IF($B277="Yes",COUNTIF(Reference!T$52:T$67,$K277),"")</f>
        <v/>
      </c>
      <c r="AC277" s="93" t="str">
        <f t="shared" si="14"/>
        <v/>
      </c>
    </row>
    <row r="278" spans="1:29" x14ac:dyDescent="0.25">
      <c r="A278" s="95">
        <v>368</v>
      </c>
      <c r="B278" s="95" t="str">
        <f t="shared" si="12"/>
        <v>No</v>
      </c>
      <c r="H278" s="95" t="str">
        <f t="shared" si="13"/>
        <v/>
      </c>
      <c r="I278" s="111"/>
      <c r="J278" s="112"/>
      <c r="K278" s="112"/>
      <c r="L278" s="112"/>
      <c r="M278" s="112"/>
      <c r="N278" s="112"/>
      <c r="O278" s="112"/>
      <c r="P278" s="112"/>
      <c r="Q278" s="112"/>
      <c r="R278" s="112"/>
      <c r="S278" s="111"/>
      <c r="T278" s="93"/>
      <c r="U278" s="93"/>
      <c r="V278" s="93"/>
      <c r="W278" s="93"/>
      <c r="X278" s="93" t="str">
        <f>IF($B278="Yes",COUNTIF(Reference!P$52:P$67,$K278),"")</f>
        <v/>
      </c>
      <c r="Y278" s="93" t="str">
        <f>IF($B278="Yes",COUNTIF(Reference!Q$52:Q$67,$K278),"")</f>
        <v/>
      </c>
      <c r="Z278" s="93" t="str">
        <f>IF($B278="Yes",COUNTIF(Reference!R$52:R$67,$K278),"")</f>
        <v/>
      </c>
      <c r="AA278" s="93" t="str">
        <f>IF($B278="Yes",COUNTIF(Reference!S$52:S$67,$K278),"")</f>
        <v/>
      </c>
      <c r="AB278" s="93" t="str">
        <f>IF($B278="Yes",COUNTIF(Reference!T$52:T$67,$K278),"")</f>
        <v/>
      </c>
      <c r="AC278" s="93" t="str">
        <f t="shared" si="14"/>
        <v/>
      </c>
    </row>
    <row r="279" spans="1:29" x14ac:dyDescent="0.25">
      <c r="A279" s="95">
        <v>369</v>
      </c>
      <c r="B279" s="95" t="str">
        <f t="shared" si="12"/>
        <v>No</v>
      </c>
      <c r="H279" s="95" t="str">
        <f t="shared" si="13"/>
        <v/>
      </c>
      <c r="I279" s="111"/>
      <c r="J279" s="112"/>
      <c r="K279" s="112"/>
      <c r="L279" s="112"/>
      <c r="M279" s="112"/>
      <c r="N279" s="112"/>
      <c r="O279" s="112"/>
      <c r="P279" s="112"/>
      <c r="Q279" s="112"/>
      <c r="R279" s="112"/>
      <c r="S279" s="111"/>
      <c r="T279" s="93"/>
      <c r="U279" s="93"/>
      <c r="V279" s="93"/>
      <c r="W279" s="93"/>
      <c r="X279" s="93" t="str">
        <f>IF($B279="Yes",COUNTIF(Reference!P$52:P$67,$K279),"")</f>
        <v/>
      </c>
      <c r="Y279" s="93" t="str">
        <f>IF($B279="Yes",COUNTIF(Reference!Q$52:Q$67,$K279),"")</f>
        <v/>
      </c>
      <c r="Z279" s="93" t="str">
        <f>IF($B279="Yes",COUNTIF(Reference!R$52:R$67,$K279),"")</f>
        <v/>
      </c>
      <c r="AA279" s="93" t="str">
        <f>IF($B279="Yes",COUNTIF(Reference!S$52:S$67,$K279),"")</f>
        <v/>
      </c>
      <c r="AB279" s="93" t="str">
        <f>IF($B279="Yes",COUNTIF(Reference!T$52:T$67,$K279),"")</f>
        <v/>
      </c>
      <c r="AC279" s="93" t="str">
        <f t="shared" si="14"/>
        <v/>
      </c>
    </row>
    <row r="280" spans="1:29" x14ac:dyDescent="0.25">
      <c r="A280" s="95">
        <v>370</v>
      </c>
      <c r="B280" s="95" t="str">
        <f t="shared" si="12"/>
        <v>No</v>
      </c>
      <c r="H280" s="95" t="str">
        <f t="shared" si="13"/>
        <v/>
      </c>
      <c r="I280" s="111"/>
      <c r="J280" s="112"/>
      <c r="K280" s="112"/>
      <c r="L280" s="112"/>
      <c r="M280" s="112"/>
      <c r="N280" s="112"/>
      <c r="O280" s="112"/>
      <c r="P280" s="112"/>
      <c r="Q280" s="112"/>
      <c r="R280" s="112"/>
      <c r="S280" s="111"/>
      <c r="T280" s="93"/>
      <c r="U280" s="93"/>
      <c r="V280" s="93"/>
      <c r="W280" s="93"/>
      <c r="X280" s="93" t="str">
        <f>IF($B280="Yes",COUNTIF(Reference!P$52:P$67,$K280),"")</f>
        <v/>
      </c>
      <c r="Y280" s="93" t="str">
        <f>IF($B280="Yes",COUNTIF(Reference!Q$52:Q$67,$K280),"")</f>
        <v/>
      </c>
      <c r="Z280" s="93" t="str">
        <f>IF($B280="Yes",COUNTIF(Reference!R$52:R$67,$K280),"")</f>
        <v/>
      </c>
      <c r="AA280" s="93" t="str">
        <f>IF($B280="Yes",COUNTIF(Reference!S$52:S$67,$K280),"")</f>
        <v/>
      </c>
      <c r="AB280" s="93" t="str">
        <f>IF($B280="Yes",COUNTIF(Reference!T$52:T$67,$K280),"")</f>
        <v/>
      </c>
      <c r="AC280" s="93" t="str">
        <f t="shared" si="14"/>
        <v/>
      </c>
    </row>
    <row r="281" spans="1:29" x14ac:dyDescent="0.25">
      <c r="A281" s="95">
        <v>371</v>
      </c>
      <c r="B281" s="95" t="str">
        <f t="shared" si="12"/>
        <v>No</v>
      </c>
      <c r="H281" s="95" t="str">
        <f t="shared" si="13"/>
        <v/>
      </c>
      <c r="I281" s="111"/>
      <c r="J281" s="112"/>
      <c r="K281" s="112"/>
      <c r="L281" s="112"/>
      <c r="M281" s="112"/>
      <c r="N281" s="112"/>
      <c r="O281" s="112"/>
      <c r="P281" s="112"/>
      <c r="Q281" s="112"/>
      <c r="R281" s="112"/>
      <c r="S281" s="111"/>
      <c r="T281" s="93"/>
      <c r="U281" s="93"/>
      <c r="V281" s="93"/>
      <c r="W281" s="93"/>
      <c r="X281" s="93" t="str">
        <f>IF($B281="Yes",COUNTIF(Reference!P$52:P$67,$K281),"")</f>
        <v/>
      </c>
      <c r="Y281" s="93" t="str">
        <f>IF($B281="Yes",COUNTIF(Reference!Q$52:Q$67,$K281),"")</f>
        <v/>
      </c>
      <c r="Z281" s="93" t="str">
        <f>IF($B281="Yes",COUNTIF(Reference!R$52:R$67,$K281),"")</f>
        <v/>
      </c>
      <c r="AA281" s="93" t="str">
        <f>IF($B281="Yes",COUNTIF(Reference!S$52:S$67,$K281),"")</f>
        <v/>
      </c>
      <c r="AB281" s="93" t="str">
        <f>IF($B281="Yes",COUNTIF(Reference!T$52:T$67,$K281),"")</f>
        <v/>
      </c>
      <c r="AC281" s="93" t="str">
        <f t="shared" si="14"/>
        <v/>
      </c>
    </row>
    <row r="282" spans="1:29" x14ac:dyDescent="0.25">
      <c r="A282" s="95">
        <v>372</v>
      </c>
      <c r="B282" s="95" t="str">
        <f t="shared" si="12"/>
        <v>No</v>
      </c>
      <c r="H282" s="95" t="str">
        <f t="shared" si="13"/>
        <v/>
      </c>
      <c r="I282" s="111"/>
      <c r="J282" s="112"/>
      <c r="K282" s="112"/>
      <c r="L282" s="112"/>
      <c r="M282" s="112"/>
      <c r="N282" s="112"/>
      <c r="O282" s="112"/>
      <c r="P282" s="112"/>
      <c r="Q282" s="112"/>
      <c r="R282" s="112"/>
      <c r="S282" s="111"/>
      <c r="T282" s="93"/>
      <c r="U282" s="93"/>
      <c r="V282" s="93"/>
      <c r="W282" s="93"/>
      <c r="X282" s="93" t="str">
        <f>IF($B282="Yes",COUNTIF(Reference!P$52:P$67,$K282),"")</f>
        <v/>
      </c>
      <c r="Y282" s="93" t="str">
        <f>IF($B282="Yes",COUNTIF(Reference!Q$52:Q$67,$K282),"")</f>
        <v/>
      </c>
      <c r="Z282" s="93" t="str">
        <f>IF($B282="Yes",COUNTIF(Reference!R$52:R$67,$K282),"")</f>
        <v/>
      </c>
      <c r="AA282" s="93" t="str">
        <f>IF($B282="Yes",COUNTIF(Reference!S$52:S$67,$K282),"")</f>
        <v/>
      </c>
      <c r="AB282" s="93" t="str">
        <f>IF($B282="Yes",COUNTIF(Reference!T$52:T$67,$K282),"")</f>
        <v/>
      </c>
      <c r="AC282" s="93" t="str">
        <f t="shared" si="14"/>
        <v/>
      </c>
    </row>
    <row r="283" spans="1:29" x14ac:dyDescent="0.25">
      <c r="A283" s="95">
        <v>373</v>
      </c>
      <c r="B283" s="95" t="str">
        <f t="shared" si="12"/>
        <v>No</v>
      </c>
      <c r="H283" s="95" t="str">
        <f t="shared" si="13"/>
        <v/>
      </c>
      <c r="I283" s="111"/>
      <c r="J283" s="112"/>
      <c r="K283" s="112"/>
      <c r="L283" s="112"/>
      <c r="M283" s="112"/>
      <c r="N283" s="112"/>
      <c r="O283" s="112"/>
      <c r="P283" s="112"/>
      <c r="Q283" s="112"/>
      <c r="R283" s="112"/>
      <c r="S283" s="111"/>
      <c r="T283" s="93"/>
      <c r="U283" s="93"/>
      <c r="V283" s="93"/>
      <c r="W283" s="93"/>
      <c r="X283" s="93" t="str">
        <f>IF($B283="Yes",COUNTIF(Reference!P$52:P$67,$K283),"")</f>
        <v/>
      </c>
      <c r="Y283" s="93" t="str">
        <f>IF($B283="Yes",COUNTIF(Reference!Q$52:Q$67,$K283),"")</f>
        <v/>
      </c>
      <c r="Z283" s="93" t="str">
        <f>IF($B283="Yes",COUNTIF(Reference!R$52:R$67,$K283),"")</f>
        <v/>
      </c>
      <c r="AA283" s="93" t="str">
        <f>IF($B283="Yes",COUNTIF(Reference!S$52:S$67,$K283),"")</f>
        <v/>
      </c>
      <c r="AB283" s="93" t="str">
        <f>IF($B283="Yes",COUNTIF(Reference!T$52:T$67,$K283),"")</f>
        <v/>
      </c>
      <c r="AC283" s="93" t="str">
        <f t="shared" si="14"/>
        <v/>
      </c>
    </row>
    <row r="284" spans="1:29" x14ac:dyDescent="0.25">
      <c r="A284" s="95">
        <v>374</v>
      </c>
      <c r="B284" s="95" t="str">
        <f t="shared" si="12"/>
        <v>No</v>
      </c>
      <c r="H284" s="95" t="str">
        <f t="shared" si="13"/>
        <v/>
      </c>
      <c r="I284" s="111"/>
      <c r="J284" s="112"/>
      <c r="K284" s="112"/>
      <c r="L284" s="112"/>
      <c r="M284" s="112"/>
      <c r="N284" s="112"/>
      <c r="O284" s="112"/>
      <c r="P284" s="112"/>
      <c r="Q284" s="112"/>
      <c r="R284" s="112"/>
      <c r="S284" s="111"/>
      <c r="T284" s="93"/>
      <c r="U284" s="93"/>
      <c r="V284" s="93"/>
      <c r="W284" s="93"/>
      <c r="X284" s="93" t="str">
        <f>IF($B284="Yes",COUNTIF(Reference!P$52:P$67,$K284),"")</f>
        <v/>
      </c>
      <c r="Y284" s="93" t="str">
        <f>IF($B284="Yes",COUNTIF(Reference!Q$52:Q$67,$K284),"")</f>
        <v/>
      </c>
      <c r="Z284" s="93" t="str">
        <f>IF($B284="Yes",COUNTIF(Reference!R$52:R$67,$K284),"")</f>
        <v/>
      </c>
      <c r="AA284" s="93" t="str">
        <f>IF($B284="Yes",COUNTIF(Reference!S$52:S$67,$K284),"")</f>
        <v/>
      </c>
      <c r="AB284" s="93" t="str">
        <f>IF($B284="Yes",COUNTIF(Reference!T$52:T$67,$K284),"")</f>
        <v/>
      </c>
      <c r="AC284" s="93" t="str">
        <f t="shared" si="14"/>
        <v/>
      </c>
    </row>
    <row r="285" spans="1:29" x14ac:dyDescent="0.25">
      <c r="A285" s="95">
        <v>375</v>
      </c>
      <c r="B285" s="95" t="str">
        <f t="shared" si="12"/>
        <v>No</v>
      </c>
      <c r="H285" s="95" t="str">
        <f t="shared" si="13"/>
        <v/>
      </c>
      <c r="I285" s="111"/>
      <c r="J285" s="112"/>
      <c r="K285" s="112"/>
      <c r="L285" s="112"/>
      <c r="M285" s="112"/>
      <c r="N285" s="112"/>
      <c r="O285" s="112"/>
      <c r="P285" s="112"/>
      <c r="Q285" s="112"/>
      <c r="R285" s="112"/>
      <c r="S285" s="111"/>
      <c r="T285" s="93"/>
      <c r="U285" s="93"/>
      <c r="V285" s="93"/>
      <c r="W285" s="93"/>
      <c r="X285" s="93" t="str">
        <f>IF($B285="Yes",COUNTIF(Reference!P$52:P$67,$K285),"")</f>
        <v/>
      </c>
      <c r="Y285" s="93" t="str">
        <f>IF($B285="Yes",COUNTIF(Reference!Q$52:Q$67,$K285),"")</f>
        <v/>
      </c>
      <c r="Z285" s="93" t="str">
        <f>IF($B285="Yes",COUNTIF(Reference!R$52:R$67,$K285),"")</f>
        <v/>
      </c>
      <c r="AA285" s="93" t="str">
        <f>IF($B285="Yes",COUNTIF(Reference!S$52:S$67,$K285),"")</f>
        <v/>
      </c>
      <c r="AB285" s="93" t="str">
        <f>IF($B285="Yes",COUNTIF(Reference!T$52:T$67,$K285),"")</f>
        <v/>
      </c>
      <c r="AC285" s="93" t="str">
        <f t="shared" si="14"/>
        <v/>
      </c>
    </row>
    <row r="286" spans="1:29" x14ac:dyDescent="0.25">
      <c r="A286" s="95">
        <v>376</v>
      </c>
      <c r="B286" s="95" t="str">
        <f t="shared" si="12"/>
        <v>No</v>
      </c>
      <c r="H286" s="95" t="str">
        <f t="shared" si="13"/>
        <v/>
      </c>
      <c r="I286" s="111"/>
      <c r="J286" s="112"/>
      <c r="K286" s="112"/>
      <c r="L286" s="112"/>
      <c r="M286" s="112"/>
      <c r="N286" s="112"/>
      <c r="O286" s="112"/>
      <c r="P286" s="112"/>
      <c r="Q286" s="112"/>
      <c r="R286" s="112"/>
      <c r="S286" s="111"/>
      <c r="T286" s="93"/>
      <c r="U286" s="93"/>
      <c r="V286" s="93"/>
      <c r="W286" s="93"/>
      <c r="X286" s="93" t="str">
        <f>IF($B286="Yes",COUNTIF(Reference!P$52:P$67,$K286),"")</f>
        <v/>
      </c>
      <c r="Y286" s="93" t="str">
        <f>IF($B286="Yes",COUNTIF(Reference!Q$52:Q$67,$K286),"")</f>
        <v/>
      </c>
      <c r="Z286" s="93" t="str">
        <f>IF($B286="Yes",COUNTIF(Reference!R$52:R$67,$K286),"")</f>
        <v/>
      </c>
      <c r="AA286" s="93" t="str">
        <f>IF($B286="Yes",COUNTIF(Reference!S$52:S$67,$K286),"")</f>
        <v/>
      </c>
      <c r="AB286" s="93" t="str">
        <f>IF($B286="Yes",COUNTIF(Reference!T$52:T$67,$K286),"")</f>
        <v/>
      </c>
      <c r="AC286" s="93" t="str">
        <f t="shared" si="14"/>
        <v/>
      </c>
    </row>
    <row r="287" spans="1:29" x14ac:dyDescent="0.25">
      <c r="A287" s="95">
        <v>377</v>
      </c>
      <c r="B287" s="95" t="str">
        <f t="shared" si="12"/>
        <v>No</v>
      </c>
      <c r="H287" s="95" t="str">
        <f t="shared" si="13"/>
        <v/>
      </c>
      <c r="I287" s="111"/>
      <c r="J287" s="112"/>
      <c r="K287" s="112"/>
      <c r="L287" s="112"/>
      <c r="M287" s="112"/>
      <c r="N287" s="112"/>
      <c r="O287" s="112"/>
      <c r="P287" s="112"/>
      <c r="Q287" s="112"/>
      <c r="R287" s="112"/>
      <c r="S287" s="111"/>
      <c r="T287" s="93"/>
      <c r="U287" s="93"/>
      <c r="V287" s="93"/>
      <c r="W287" s="93"/>
      <c r="X287" s="93" t="str">
        <f>IF($B287="Yes",COUNTIF(Reference!P$52:P$67,$K287),"")</f>
        <v/>
      </c>
      <c r="Y287" s="93" t="str">
        <f>IF($B287="Yes",COUNTIF(Reference!Q$52:Q$67,$K287),"")</f>
        <v/>
      </c>
      <c r="Z287" s="93" t="str">
        <f>IF($B287="Yes",COUNTIF(Reference!R$52:R$67,$K287),"")</f>
        <v/>
      </c>
      <c r="AA287" s="93" t="str">
        <f>IF($B287="Yes",COUNTIF(Reference!S$52:S$67,$K287),"")</f>
        <v/>
      </c>
      <c r="AB287" s="93" t="str">
        <f>IF($B287="Yes",COUNTIF(Reference!T$52:T$67,$K287),"")</f>
        <v/>
      </c>
      <c r="AC287" s="93" t="str">
        <f t="shared" si="14"/>
        <v/>
      </c>
    </row>
    <row r="288" spans="1:29" x14ac:dyDescent="0.25">
      <c r="A288" s="95">
        <v>378</v>
      </c>
      <c r="B288" s="95" t="str">
        <f t="shared" si="12"/>
        <v>No</v>
      </c>
      <c r="H288" s="95" t="str">
        <f t="shared" si="13"/>
        <v/>
      </c>
      <c r="I288" s="111"/>
      <c r="J288" s="112"/>
      <c r="K288" s="112"/>
      <c r="L288" s="112"/>
      <c r="M288" s="112"/>
      <c r="N288" s="112"/>
      <c r="O288" s="112"/>
      <c r="P288" s="112"/>
      <c r="Q288" s="112"/>
      <c r="R288" s="112"/>
      <c r="S288" s="111"/>
      <c r="T288" s="93"/>
      <c r="U288" s="93"/>
      <c r="V288" s="93"/>
      <c r="W288" s="93"/>
      <c r="X288" s="93" t="str">
        <f>IF($B288="Yes",COUNTIF(Reference!P$52:P$67,$K288),"")</f>
        <v/>
      </c>
      <c r="Y288" s="93" t="str">
        <f>IF($B288="Yes",COUNTIF(Reference!Q$52:Q$67,$K288),"")</f>
        <v/>
      </c>
      <c r="Z288" s="93" t="str">
        <f>IF($B288="Yes",COUNTIF(Reference!R$52:R$67,$K288),"")</f>
        <v/>
      </c>
      <c r="AA288" s="93" t="str">
        <f>IF($B288="Yes",COUNTIF(Reference!S$52:S$67,$K288),"")</f>
        <v/>
      </c>
      <c r="AB288" s="93" t="str">
        <f>IF($B288="Yes",COUNTIF(Reference!T$52:T$67,$K288),"")</f>
        <v/>
      </c>
      <c r="AC288" s="93" t="str">
        <f t="shared" si="14"/>
        <v/>
      </c>
    </row>
    <row r="289" spans="1:29" x14ac:dyDescent="0.25">
      <c r="A289" s="95">
        <v>379</v>
      </c>
      <c r="B289" s="95" t="str">
        <f t="shared" si="12"/>
        <v>No</v>
      </c>
      <c r="H289" s="95" t="str">
        <f t="shared" si="13"/>
        <v/>
      </c>
      <c r="I289" s="111"/>
      <c r="J289" s="112"/>
      <c r="K289" s="112"/>
      <c r="L289" s="112"/>
      <c r="M289" s="112"/>
      <c r="N289" s="112"/>
      <c r="O289" s="112"/>
      <c r="P289" s="112"/>
      <c r="Q289" s="112"/>
      <c r="R289" s="112"/>
      <c r="S289" s="111"/>
      <c r="T289" s="93"/>
      <c r="U289" s="93"/>
      <c r="V289" s="93"/>
      <c r="W289" s="93"/>
      <c r="X289" s="93" t="str">
        <f>IF($B289="Yes",COUNTIF(Reference!P$52:P$67,$K289),"")</f>
        <v/>
      </c>
      <c r="Y289" s="93" t="str">
        <f>IF($B289="Yes",COUNTIF(Reference!Q$52:Q$67,$K289),"")</f>
        <v/>
      </c>
      <c r="Z289" s="93" t="str">
        <f>IF($B289="Yes",COUNTIF(Reference!R$52:R$67,$K289),"")</f>
        <v/>
      </c>
      <c r="AA289" s="93" t="str">
        <f>IF($B289="Yes",COUNTIF(Reference!S$52:S$67,$K289),"")</f>
        <v/>
      </c>
      <c r="AB289" s="93" t="str">
        <f>IF($B289="Yes",COUNTIF(Reference!T$52:T$67,$K289),"")</f>
        <v/>
      </c>
      <c r="AC289" s="93" t="str">
        <f t="shared" si="14"/>
        <v/>
      </c>
    </row>
    <row r="290" spans="1:29" x14ac:dyDescent="0.25">
      <c r="A290" s="95">
        <v>380</v>
      </c>
      <c r="B290" s="95" t="str">
        <f t="shared" si="12"/>
        <v>No</v>
      </c>
      <c r="H290" s="95" t="str">
        <f t="shared" si="13"/>
        <v/>
      </c>
      <c r="I290" s="111"/>
      <c r="J290" s="112"/>
      <c r="K290" s="112"/>
      <c r="L290" s="112"/>
      <c r="M290" s="112"/>
      <c r="N290" s="112"/>
      <c r="O290" s="112"/>
      <c r="P290" s="112"/>
      <c r="Q290" s="112"/>
      <c r="R290" s="112"/>
      <c r="S290" s="111"/>
      <c r="T290" s="93"/>
      <c r="U290" s="93"/>
      <c r="V290" s="93"/>
      <c r="W290" s="93"/>
      <c r="X290" s="93" t="str">
        <f>IF($B290="Yes",COUNTIF(Reference!P$52:P$67,$K290),"")</f>
        <v/>
      </c>
      <c r="Y290" s="93" t="str">
        <f>IF($B290="Yes",COUNTIF(Reference!Q$52:Q$67,$K290),"")</f>
        <v/>
      </c>
      <c r="Z290" s="93" t="str">
        <f>IF($B290="Yes",COUNTIF(Reference!R$52:R$67,$K290),"")</f>
        <v/>
      </c>
      <c r="AA290" s="93" t="str">
        <f>IF($B290="Yes",COUNTIF(Reference!S$52:S$67,$K290),"")</f>
        <v/>
      </c>
      <c r="AB290" s="93" t="str">
        <f>IF($B290="Yes",COUNTIF(Reference!T$52:T$67,$K290),"")</f>
        <v/>
      </c>
      <c r="AC290" s="93" t="str">
        <f t="shared" si="14"/>
        <v/>
      </c>
    </row>
    <row r="291" spans="1:29" x14ac:dyDescent="0.25">
      <c r="A291" s="95">
        <v>381</v>
      </c>
      <c r="B291" s="95" t="str">
        <f t="shared" si="12"/>
        <v>No</v>
      </c>
      <c r="H291" s="95" t="str">
        <f t="shared" si="13"/>
        <v/>
      </c>
      <c r="I291" s="111"/>
      <c r="J291" s="112"/>
      <c r="K291" s="112"/>
      <c r="L291" s="112"/>
      <c r="M291" s="112"/>
      <c r="N291" s="112"/>
      <c r="O291" s="112"/>
      <c r="P291" s="112"/>
      <c r="Q291" s="112"/>
      <c r="R291" s="112"/>
      <c r="S291" s="111"/>
      <c r="T291" s="93"/>
      <c r="U291" s="93"/>
      <c r="V291" s="93"/>
      <c r="W291" s="93"/>
      <c r="X291" s="93" t="str">
        <f>IF($B291="Yes",COUNTIF(Reference!P$52:P$67,$K291),"")</f>
        <v/>
      </c>
      <c r="Y291" s="93" t="str">
        <f>IF($B291="Yes",COUNTIF(Reference!Q$52:Q$67,$K291),"")</f>
        <v/>
      </c>
      <c r="Z291" s="93" t="str">
        <f>IF($B291="Yes",COUNTIF(Reference!R$52:R$67,$K291),"")</f>
        <v/>
      </c>
      <c r="AA291" s="93" t="str">
        <f>IF($B291="Yes",COUNTIF(Reference!S$52:S$67,$K291),"")</f>
        <v/>
      </c>
      <c r="AB291" s="93" t="str">
        <f>IF($B291="Yes",COUNTIF(Reference!T$52:T$67,$K291),"")</f>
        <v/>
      </c>
      <c r="AC291" s="93" t="str">
        <f t="shared" si="14"/>
        <v/>
      </c>
    </row>
    <row r="292" spans="1:29" x14ac:dyDescent="0.25">
      <c r="A292" s="95">
        <v>382</v>
      </c>
      <c r="B292" s="95" t="str">
        <f t="shared" si="12"/>
        <v>No</v>
      </c>
      <c r="H292" s="95" t="str">
        <f t="shared" si="13"/>
        <v/>
      </c>
      <c r="I292" s="111"/>
      <c r="J292" s="112"/>
      <c r="K292" s="112"/>
      <c r="L292" s="112"/>
      <c r="M292" s="112"/>
      <c r="N292" s="112"/>
      <c r="O292" s="112"/>
      <c r="P292" s="112"/>
      <c r="Q292" s="112"/>
      <c r="R292" s="112"/>
      <c r="S292" s="111"/>
      <c r="T292" s="93"/>
      <c r="U292" s="93"/>
      <c r="V292" s="93"/>
      <c r="W292" s="93"/>
      <c r="X292" s="93" t="str">
        <f>IF($B292="Yes",COUNTIF(Reference!P$52:P$67,$K292),"")</f>
        <v/>
      </c>
      <c r="Y292" s="93" t="str">
        <f>IF($B292="Yes",COUNTIF(Reference!Q$52:Q$67,$K292),"")</f>
        <v/>
      </c>
      <c r="Z292" s="93" t="str">
        <f>IF($B292="Yes",COUNTIF(Reference!R$52:R$67,$K292),"")</f>
        <v/>
      </c>
      <c r="AA292" s="93" t="str">
        <f>IF($B292="Yes",COUNTIF(Reference!S$52:S$67,$K292),"")</f>
        <v/>
      </c>
      <c r="AB292" s="93" t="str">
        <f>IF($B292="Yes",COUNTIF(Reference!T$52:T$67,$K292),"")</f>
        <v/>
      </c>
      <c r="AC292" s="93" t="str">
        <f t="shared" si="14"/>
        <v/>
      </c>
    </row>
    <row r="293" spans="1:29" x14ac:dyDescent="0.25">
      <c r="A293" s="95">
        <v>383</v>
      </c>
      <c r="B293" s="95" t="str">
        <f t="shared" si="12"/>
        <v>No</v>
      </c>
      <c r="H293" s="95" t="str">
        <f t="shared" si="13"/>
        <v/>
      </c>
      <c r="I293" s="111"/>
      <c r="J293" s="112"/>
      <c r="K293" s="112"/>
      <c r="L293" s="112"/>
      <c r="M293" s="112"/>
      <c r="N293" s="112"/>
      <c r="O293" s="112"/>
      <c r="P293" s="112"/>
      <c r="Q293" s="112"/>
      <c r="R293" s="112"/>
      <c r="S293" s="111"/>
      <c r="T293" s="93"/>
      <c r="U293" s="93"/>
      <c r="V293" s="93"/>
      <c r="W293" s="93"/>
      <c r="X293" s="93" t="str">
        <f>IF($B293="Yes",COUNTIF(Reference!P$52:P$67,$K293),"")</f>
        <v/>
      </c>
      <c r="Y293" s="93" t="str">
        <f>IF($B293="Yes",COUNTIF(Reference!Q$52:Q$67,$K293),"")</f>
        <v/>
      </c>
      <c r="Z293" s="93" t="str">
        <f>IF($B293="Yes",COUNTIF(Reference!R$52:R$67,$K293),"")</f>
        <v/>
      </c>
      <c r="AA293" s="93" t="str">
        <f>IF($B293="Yes",COUNTIF(Reference!S$52:S$67,$K293),"")</f>
        <v/>
      </c>
      <c r="AB293" s="93" t="str">
        <f>IF($B293="Yes",COUNTIF(Reference!T$52:T$67,$K293),"")</f>
        <v/>
      </c>
      <c r="AC293" s="93" t="str">
        <f t="shared" si="14"/>
        <v/>
      </c>
    </row>
    <row r="294" spans="1:29" x14ac:dyDescent="0.25">
      <c r="A294" s="95">
        <v>384</v>
      </c>
      <c r="B294" s="95" t="str">
        <f t="shared" si="12"/>
        <v>No</v>
      </c>
      <c r="H294" s="95" t="str">
        <f t="shared" si="13"/>
        <v/>
      </c>
      <c r="I294" s="111"/>
      <c r="J294" s="112"/>
      <c r="K294" s="112"/>
      <c r="L294" s="112"/>
      <c r="M294" s="112"/>
      <c r="N294" s="112"/>
      <c r="O294" s="112"/>
      <c r="P294" s="112"/>
      <c r="Q294" s="112"/>
      <c r="R294" s="112"/>
      <c r="S294" s="111"/>
      <c r="T294" s="93"/>
      <c r="U294" s="93"/>
      <c r="V294" s="93"/>
      <c r="W294" s="93"/>
      <c r="X294" s="93" t="str">
        <f>IF($B294="Yes",COUNTIF(Reference!P$52:P$67,$K294),"")</f>
        <v/>
      </c>
      <c r="Y294" s="93" t="str">
        <f>IF($B294="Yes",COUNTIF(Reference!Q$52:Q$67,$K294),"")</f>
        <v/>
      </c>
      <c r="Z294" s="93" t="str">
        <f>IF($B294="Yes",COUNTIF(Reference!R$52:R$67,$K294),"")</f>
        <v/>
      </c>
      <c r="AA294" s="93" t="str">
        <f>IF($B294="Yes",COUNTIF(Reference!S$52:S$67,$K294),"")</f>
        <v/>
      </c>
      <c r="AB294" s="93" t="str">
        <f>IF($B294="Yes",COUNTIF(Reference!T$52:T$67,$K294),"")</f>
        <v/>
      </c>
      <c r="AC294" s="93" t="str">
        <f t="shared" si="14"/>
        <v/>
      </c>
    </row>
    <row r="295" spans="1:29" x14ac:dyDescent="0.25">
      <c r="A295" s="95">
        <v>385</v>
      </c>
      <c r="B295" s="95" t="str">
        <f t="shared" si="12"/>
        <v>No</v>
      </c>
      <c r="H295" s="95" t="str">
        <f t="shared" si="13"/>
        <v/>
      </c>
      <c r="I295" s="111"/>
      <c r="J295" s="112"/>
      <c r="K295" s="112"/>
      <c r="L295" s="112"/>
      <c r="M295" s="112"/>
      <c r="N295" s="112"/>
      <c r="O295" s="112"/>
      <c r="P295" s="112"/>
      <c r="Q295" s="112"/>
      <c r="R295" s="112"/>
      <c r="S295" s="111"/>
      <c r="T295" s="93"/>
      <c r="U295" s="93"/>
      <c r="V295" s="93"/>
      <c r="W295" s="93"/>
      <c r="X295" s="93" t="str">
        <f>IF($B295="Yes",COUNTIF(Reference!P$52:P$67,$K295),"")</f>
        <v/>
      </c>
      <c r="Y295" s="93" t="str">
        <f>IF($B295="Yes",COUNTIF(Reference!Q$52:Q$67,$K295),"")</f>
        <v/>
      </c>
      <c r="Z295" s="93" t="str">
        <f>IF($B295="Yes",COUNTIF(Reference!R$52:R$67,$K295),"")</f>
        <v/>
      </c>
      <c r="AA295" s="93" t="str">
        <f>IF($B295="Yes",COUNTIF(Reference!S$52:S$67,$K295),"")</f>
        <v/>
      </c>
      <c r="AB295" s="93" t="str">
        <f>IF($B295="Yes",COUNTIF(Reference!T$52:T$67,$K295),"")</f>
        <v/>
      </c>
      <c r="AC295" s="93" t="str">
        <f t="shared" si="14"/>
        <v/>
      </c>
    </row>
    <row r="296" spans="1:29" x14ac:dyDescent="0.25">
      <c r="A296" s="95">
        <v>386</v>
      </c>
      <c r="B296" s="95" t="str">
        <f t="shared" si="12"/>
        <v>No</v>
      </c>
      <c r="H296" s="95" t="str">
        <f t="shared" si="13"/>
        <v/>
      </c>
      <c r="I296" s="111"/>
      <c r="J296" s="112"/>
      <c r="K296" s="112"/>
      <c r="L296" s="112"/>
      <c r="M296" s="112"/>
      <c r="N296" s="112"/>
      <c r="O296" s="112"/>
      <c r="P296" s="112"/>
      <c r="Q296" s="112"/>
      <c r="R296" s="112"/>
      <c r="S296" s="111"/>
      <c r="T296" s="93"/>
      <c r="U296" s="93"/>
      <c r="V296" s="93"/>
      <c r="W296" s="93"/>
      <c r="X296" s="93" t="str">
        <f>IF($B296="Yes",COUNTIF(Reference!P$52:P$67,$K296),"")</f>
        <v/>
      </c>
      <c r="Y296" s="93" t="str">
        <f>IF($B296="Yes",COUNTIF(Reference!Q$52:Q$67,$K296),"")</f>
        <v/>
      </c>
      <c r="Z296" s="93" t="str">
        <f>IF($B296="Yes",COUNTIF(Reference!R$52:R$67,$K296),"")</f>
        <v/>
      </c>
      <c r="AA296" s="93" t="str">
        <f>IF($B296="Yes",COUNTIF(Reference!S$52:S$67,$K296),"")</f>
        <v/>
      </c>
      <c r="AB296" s="93" t="str">
        <f>IF($B296="Yes",COUNTIF(Reference!T$52:T$67,$K296),"")</f>
        <v/>
      </c>
      <c r="AC296" s="93" t="str">
        <f t="shared" si="14"/>
        <v/>
      </c>
    </row>
    <row r="297" spans="1:29" x14ac:dyDescent="0.25">
      <c r="A297" s="95">
        <v>387</v>
      </c>
      <c r="B297" s="95" t="str">
        <f t="shared" si="12"/>
        <v>No</v>
      </c>
      <c r="H297" s="95" t="str">
        <f t="shared" si="13"/>
        <v/>
      </c>
      <c r="I297" s="111"/>
      <c r="J297" s="112"/>
      <c r="K297" s="112"/>
      <c r="L297" s="112"/>
      <c r="M297" s="112"/>
      <c r="N297" s="112"/>
      <c r="O297" s="112"/>
      <c r="P297" s="112"/>
      <c r="Q297" s="112"/>
      <c r="R297" s="112"/>
      <c r="S297" s="111"/>
      <c r="T297" s="93"/>
      <c r="U297" s="93"/>
      <c r="V297" s="93"/>
      <c r="W297" s="93"/>
      <c r="X297" s="93" t="str">
        <f>IF($B297="Yes",COUNTIF(Reference!P$52:P$67,$K297),"")</f>
        <v/>
      </c>
      <c r="Y297" s="93" t="str">
        <f>IF($B297="Yes",COUNTIF(Reference!Q$52:Q$67,$K297),"")</f>
        <v/>
      </c>
      <c r="Z297" s="93" t="str">
        <f>IF($B297="Yes",COUNTIF(Reference!R$52:R$67,$K297),"")</f>
        <v/>
      </c>
      <c r="AA297" s="93" t="str">
        <f>IF($B297="Yes",COUNTIF(Reference!S$52:S$67,$K297),"")</f>
        <v/>
      </c>
      <c r="AB297" s="93" t="str">
        <f>IF($B297="Yes",COUNTIF(Reference!T$52:T$67,$K297),"")</f>
        <v/>
      </c>
      <c r="AC297" s="93" t="str">
        <f t="shared" si="14"/>
        <v/>
      </c>
    </row>
    <row r="298" spans="1:29" x14ac:dyDescent="0.25">
      <c r="A298" s="95">
        <v>388</v>
      </c>
      <c r="B298" s="95" t="str">
        <f t="shared" si="12"/>
        <v>No</v>
      </c>
      <c r="H298" s="95" t="str">
        <f t="shared" si="13"/>
        <v/>
      </c>
      <c r="I298" s="111"/>
      <c r="J298" s="112"/>
      <c r="K298" s="112"/>
      <c r="L298" s="112"/>
      <c r="M298" s="112"/>
      <c r="N298" s="112"/>
      <c r="O298" s="112"/>
      <c r="P298" s="112"/>
      <c r="Q298" s="112"/>
      <c r="R298" s="112"/>
      <c r="S298" s="111"/>
      <c r="T298" s="93"/>
      <c r="U298" s="93"/>
      <c r="V298" s="93"/>
      <c r="W298" s="93"/>
      <c r="X298" s="93" t="str">
        <f>IF($B298="Yes",COUNTIF(Reference!P$52:P$67,$K298),"")</f>
        <v/>
      </c>
      <c r="Y298" s="93" t="str">
        <f>IF($B298="Yes",COUNTIF(Reference!Q$52:Q$67,$K298),"")</f>
        <v/>
      </c>
      <c r="Z298" s="93" t="str">
        <f>IF($B298="Yes",COUNTIF(Reference!R$52:R$67,$K298),"")</f>
        <v/>
      </c>
      <c r="AA298" s="93" t="str">
        <f>IF($B298="Yes",COUNTIF(Reference!S$52:S$67,$K298),"")</f>
        <v/>
      </c>
      <c r="AB298" s="93" t="str">
        <f>IF($B298="Yes",COUNTIF(Reference!T$52:T$67,$K298),"")</f>
        <v/>
      </c>
      <c r="AC298" s="93" t="str">
        <f t="shared" si="14"/>
        <v/>
      </c>
    </row>
    <row r="299" spans="1:29" x14ac:dyDescent="0.25">
      <c r="A299" s="95">
        <v>389</v>
      </c>
      <c r="B299" s="95" t="str">
        <f t="shared" si="12"/>
        <v>No</v>
      </c>
      <c r="H299" s="95" t="str">
        <f t="shared" si="13"/>
        <v/>
      </c>
      <c r="I299" s="111"/>
      <c r="J299" s="112"/>
      <c r="K299" s="112"/>
      <c r="L299" s="112"/>
      <c r="M299" s="112"/>
      <c r="N299" s="112"/>
      <c r="O299" s="112"/>
      <c r="P299" s="112"/>
      <c r="Q299" s="112"/>
      <c r="R299" s="112"/>
      <c r="S299" s="111"/>
      <c r="T299" s="93"/>
      <c r="U299" s="93"/>
      <c r="V299" s="93"/>
      <c r="W299" s="93"/>
      <c r="X299" s="93" t="str">
        <f>IF($B299="Yes",COUNTIF(Reference!P$52:P$67,$K299),"")</f>
        <v/>
      </c>
      <c r="Y299" s="93" t="str">
        <f>IF($B299="Yes",COUNTIF(Reference!Q$52:Q$67,$K299),"")</f>
        <v/>
      </c>
      <c r="Z299" s="93" t="str">
        <f>IF($B299="Yes",COUNTIF(Reference!R$52:R$67,$K299),"")</f>
        <v/>
      </c>
      <c r="AA299" s="93" t="str">
        <f>IF($B299="Yes",COUNTIF(Reference!S$52:S$67,$K299),"")</f>
        <v/>
      </c>
      <c r="AB299" s="93" t="str">
        <f>IF($B299="Yes",COUNTIF(Reference!T$52:T$67,$K299),"")</f>
        <v/>
      </c>
      <c r="AC299" s="93" t="str">
        <f t="shared" si="14"/>
        <v/>
      </c>
    </row>
    <row r="300" spans="1:29" x14ac:dyDescent="0.25">
      <c r="A300" s="95">
        <v>390</v>
      </c>
      <c r="B300" s="95" t="str">
        <f t="shared" si="12"/>
        <v>No</v>
      </c>
      <c r="H300" s="95" t="str">
        <f t="shared" si="13"/>
        <v/>
      </c>
      <c r="I300" s="111"/>
      <c r="J300" s="112"/>
      <c r="K300" s="112"/>
      <c r="L300" s="112"/>
      <c r="M300" s="112"/>
      <c r="N300" s="112"/>
      <c r="O300" s="112"/>
      <c r="P300" s="112"/>
      <c r="Q300" s="112"/>
      <c r="R300" s="112"/>
      <c r="S300" s="111"/>
      <c r="T300" s="93"/>
      <c r="U300" s="93"/>
      <c r="V300" s="93"/>
      <c r="W300" s="93"/>
      <c r="X300" s="93" t="str">
        <f>IF($B300="Yes",COUNTIF(Reference!P$52:P$67,$K300),"")</f>
        <v/>
      </c>
      <c r="Y300" s="93" t="str">
        <f>IF($B300="Yes",COUNTIF(Reference!Q$52:Q$67,$K300),"")</f>
        <v/>
      </c>
      <c r="Z300" s="93" t="str">
        <f>IF($B300="Yes",COUNTIF(Reference!R$52:R$67,$K300),"")</f>
        <v/>
      </c>
      <c r="AA300" s="93" t="str">
        <f>IF($B300="Yes",COUNTIF(Reference!S$52:S$67,$K300),"")</f>
        <v/>
      </c>
      <c r="AB300" s="93" t="str">
        <f>IF($B300="Yes",COUNTIF(Reference!T$52:T$67,$K300),"")</f>
        <v/>
      </c>
      <c r="AC300" s="93" t="str">
        <f t="shared" si="14"/>
        <v/>
      </c>
    </row>
    <row r="301" spans="1:29" x14ac:dyDescent="0.25">
      <c r="A301" s="95">
        <v>391</v>
      </c>
      <c r="B301" s="95" t="str">
        <f t="shared" si="12"/>
        <v>No</v>
      </c>
      <c r="H301" s="95" t="str">
        <f t="shared" si="13"/>
        <v/>
      </c>
      <c r="I301" s="111"/>
      <c r="J301" s="112"/>
      <c r="K301" s="112"/>
      <c r="L301" s="112"/>
      <c r="M301" s="112"/>
      <c r="N301" s="112"/>
      <c r="O301" s="112"/>
      <c r="P301" s="112"/>
      <c r="Q301" s="112"/>
      <c r="R301" s="112"/>
      <c r="S301" s="111"/>
      <c r="T301" s="93"/>
      <c r="U301" s="93"/>
      <c r="V301" s="93"/>
      <c r="W301" s="93"/>
      <c r="X301" s="93" t="str">
        <f>IF($B301="Yes",COUNTIF(Reference!P$52:P$67,$K301),"")</f>
        <v/>
      </c>
      <c r="Y301" s="93" t="str">
        <f>IF($B301="Yes",COUNTIF(Reference!Q$52:Q$67,$K301),"")</f>
        <v/>
      </c>
      <c r="Z301" s="93" t="str">
        <f>IF($B301="Yes",COUNTIF(Reference!R$52:R$67,$K301),"")</f>
        <v/>
      </c>
      <c r="AA301" s="93" t="str">
        <f>IF($B301="Yes",COUNTIF(Reference!S$52:S$67,$K301),"")</f>
        <v/>
      </c>
      <c r="AB301" s="93" t="str">
        <f>IF($B301="Yes",COUNTIF(Reference!T$52:T$67,$K301),"")</f>
        <v/>
      </c>
      <c r="AC301" s="93" t="str">
        <f t="shared" si="14"/>
        <v/>
      </c>
    </row>
    <row r="302" spans="1:29" x14ac:dyDescent="0.25">
      <c r="A302" s="95">
        <v>392</v>
      </c>
      <c r="B302" s="95" t="str">
        <f t="shared" si="12"/>
        <v>No</v>
      </c>
      <c r="H302" s="95" t="str">
        <f t="shared" si="13"/>
        <v/>
      </c>
      <c r="I302" s="111"/>
      <c r="J302" s="112"/>
      <c r="K302" s="112"/>
      <c r="L302" s="112"/>
      <c r="M302" s="112"/>
      <c r="N302" s="112"/>
      <c r="O302" s="112"/>
      <c r="P302" s="112"/>
      <c r="Q302" s="112"/>
      <c r="R302" s="112"/>
      <c r="S302" s="111"/>
      <c r="T302" s="93"/>
      <c r="U302" s="93"/>
      <c r="V302" s="93"/>
      <c r="W302" s="93"/>
      <c r="X302" s="93" t="str">
        <f>IF($B302="Yes",COUNTIF(Reference!P$52:P$67,$K302),"")</f>
        <v/>
      </c>
      <c r="Y302" s="93" t="str">
        <f>IF($B302="Yes",COUNTIF(Reference!Q$52:Q$67,$K302),"")</f>
        <v/>
      </c>
      <c r="Z302" s="93" t="str">
        <f>IF($B302="Yes",COUNTIF(Reference!R$52:R$67,$K302),"")</f>
        <v/>
      </c>
      <c r="AA302" s="93" t="str">
        <f>IF($B302="Yes",COUNTIF(Reference!S$52:S$67,$K302),"")</f>
        <v/>
      </c>
      <c r="AB302" s="93" t="str">
        <f>IF($B302="Yes",COUNTIF(Reference!T$52:T$67,$K302),"")</f>
        <v/>
      </c>
      <c r="AC302" s="93" t="str">
        <f t="shared" si="14"/>
        <v/>
      </c>
    </row>
    <row r="303" spans="1:29" x14ac:dyDescent="0.25">
      <c r="A303" s="95">
        <v>393</v>
      </c>
      <c r="B303" s="95" t="str">
        <f t="shared" si="12"/>
        <v>No</v>
      </c>
      <c r="H303" s="95" t="str">
        <f t="shared" si="13"/>
        <v/>
      </c>
      <c r="I303" s="111"/>
      <c r="J303" s="112"/>
      <c r="K303" s="112"/>
      <c r="L303" s="112"/>
      <c r="M303" s="112"/>
      <c r="N303" s="112"/>
      <c r="O303" s="112"/>
      <c r="P303" s="112"/>
      <c r="Q303" s="112"/>
      <c r="R303" s="112"/>
      <c r="S303" s="111"/>
      <c r="T303" s="93"/>
      <c r="U303" s="93"/>
      <c r="V303" s="93"/>
      <c r="W303" s="93"/>
      <c r="X303" s="93" t="str">
        <f>IF($B303="Yes",COUNTIF(Reference!P$52:P$67,$K303),"")</f>
        <v/>
      </c>
      <c r="Y303" s="93" t="str">
        <f>IF($B303="Yes",COUNTIF(Reference!Q$52:Q$67,$K303),"")</f>
        <v/>
      </c>
      <c r="Z303" s="93" t="str">
        <f>IF($B303="Yes",COUNTIF(Reference!R$52:R$67,$K303),"")</f>
        <v/>
      </c>
      <c r="AA303" s="93" t="str">
        <f>IF($B303="Yes",COUNTIF(Reference!S$52:S$67,$K303),"")</f>
        <v/>
      </c>
      <c r="AB303" s="93" t="str">
        <f>IF($B303="Yes",COUNTIF(Reference!T$52:T$67,$K303),"")</f>
        <v/>
      </c>
      <c r="AC303" s="93" t="str">
        <f t="shared" si="14"/>
        <v/>
      </c>
    </row>
    <row r="304" spans="1:29" x14ac:dyDescent="0.25">
      <c r="A304" s="95">
        <v>394</v>
      </c>
      <c r="B304" s="95" t="str">
        <f t="shared" si="12"/>
        <v>No</v>
      </c>
      <c r="H304" s="95" t="str">
        <f t="shared" si="13"/>
        <v/>
      </c>
      <c r="I304" s="111"/>
      <c r="J304" s="112"/>
      <c r="K304" s="112"/>
      <c r="L304" s="112"/>
      <c r="M304" s="112"/>
      <c r="N304" s="112"/>
      <c r="O304" s="112"/>
      <c r="P304" s="112"/>
      <c r="Q304" s="112"/>
      <c r="R304" s="112"/>
      <c r="S304" s="111"/>
      <c r="T304" s="93"/>
      <c r="U304" s="93"/>
      <c r="V304" s="93"/>
      <c r="W304" s="93"/>
      <c r="X304" s="93" t="str">
        <f>IF($B304="Yes",COUNTIF(Reference!P$52:P$67,$K304),"")</f>
        <v/>
      </c>
      <c r="Y304" s="93" t="str">
        <f>IF($B304="Yes",COUNTIF(Reference!Q$52:Q$67,$K304),"")</f>
        <v/>
      </c>
      <c r="Z304" s="93" t="str">
        <f>IF($B304="Yes",COUNTIF(Reference!R$52:R$67,$K304),"")</f>
        <v/>
      </c>
      <c r="AA304" s="93" t="str">
        <f>IF($B304="Yes",COUNTIF(Reference!S$52:S$67,$K304),"")</f>
        <v/>
      </c>
      <c r="AB304" s="93" t="str">
        <f>IF($B304="Yes",COUNTIF(Reference!T$52:T$67,$K304),"")</f>
        <v/>
      </c>
      <c r="AC304" s="93" t="str">
        <f t="shared" si="14"/>
        <v/>
      </c>
    </row>
    <row r="305" spans="1:29" x14ac:dyDescent="0.25">
      <c r="A305" s="95">
        <v>395</v>
      </c>
      <c r="B305" s="95" t="str">
        <f t="shared" si="12"/>
        <v>No</v>
      </c>
      <c r="H305" s="95" t="str">
        <f t="shared" si="13"/>
        <v/>
      </c>
      <c r="I305" s="111"/>
      <c r="J305" s="112"/>
      <c r="K305" s="112"/>
      <c r="L305" s="112"/>
      <c r="M305" s="112"/>
      <c r="N305" s="112"/>
      <c r="O305" s="112"/>
      <c r="P305" s="112"/>
      <c r="Q305" s="112"/>
      <c r="R305" s="112"/>
      <c r="S305" s="111"/>
      <c r="T305" s="93"/>
      <c r="U305" s="93"/>
      <c r="V305" s="93"/>
      <c r="W305" s="93"/>
      <c r="X305" s="93" t="str">
        <f>IF($B305="Yes",COUNTIF(Reference!P$52:P$67,$K305),"")</f>
        <v/>
      </c>
      <c r="Y305" s="93" t="str">
        <f>IF($B305="Yes",COUNTIF(Reference!Q$52:Q$67,$K305),"")</f>
        <v/>
      </c>
      <c r="Z305" s="93" t="str">
        <f>IF($B305="Yes",COUNTIF(Reference!R$52:R$67,$K305),"")</f>
        <v/>
      </c>
      <c r="AA305" s="93" t="str">
        <f>IF($B305="Yes",COUNTIF(Reference!S$52:S$67,$K305),"")</f>
        <v/>
      </c>
      <c r="AB305" s="93" t="str">
        <f>IF($B305="Yes",COUNTIF(Reference!T$52:T$67,$K305),"")</f>
        <v/>
      </c>
      <c r="AC305" s="93" t="str">
        <f t="shared" si="14"/>
        <v/>
      </c>
    </row>
    <row r="306" spans="1:29" x14ac:dyDescent="0.25">
      <c r="A306" s="95">
        <v>396</v>
      </c>
      <c r="B306" s="95" t="str">
        <f t="shared" si="12"/>
        <v>No</v>
      </c>
      <c r="H306" s="95" t="str">
        <f t="shared" si="13"/>
        <v/>
      </c>
      <c r="I306" s="111"/>
      <c r="J306" s="112"/>
      <c r="K306" s="112"/>
      <c r="L306" s="112"/>
      <c r="M306" s="112"/>
      <c r="N306" s="112"/>
      <c r="O306" s="112"/>
      <c r="P306" s="112"/>
      <c r="Q306" s="112"/>
      <c r="R306" s="112"/>
      <c r="S306" s="111"/>
      <c r="T306" s="93"/>
      <c r="U306" s="93"/>
      <c r="V306" s="93"/>
      <c r="W306" s="93"/>
      <c r="X306" s="93" t="str">
        <f>IF($B306="Yes",COUNTIF(Reference!P$52:P$67,$K306),"")</f>
        <v/>
      </c>
      <c r="Y306" s="93" t="str">
        <f>IF($B306="Yes",COUNTIF(Reference!Q$52:Q$67,$K306),"")</f>
        <v/>
      </c>
      <c r="Z306" s="93" t="str">
        <f>IF($B306="Yes",COUNTIF(Reference!R$52:R$67,$K306),"")</f>
        <v/>
      </c>
      <c r="AA306" s="93" t="str">
        <f>IF($B306="Yes",COUNTIF(Reference!S$52:S$67,$K306),"")</f>
        <v/>
      </c>
      <c r="AB306" s="93" t="str">
        <f>IF($B306="Yes",COUNTIF(Reference!T$52:T$67,$K306),"")</f>
        <v/>
      </c>
      <c r="AC306" s="93" t="str">
        <f t="shared" si="14"/>
        <v/>
      </c>
    </row>
    <row r="307" spans="1:29" x14ac:dyDescent="0.25">
      <c r="A307" s="95">
        <v>397</v>
      </c>
      <c r="B307" s="95" t="str">
        <f t="shared" si="12"/>
        <v>No</v>
      </c>
      <c r="H307" s="95" t="str">
        <f t="shared" si="13"/>
        <v/>
      </c>
      <c r="I307" s="111"/>
      <c r="J307" s="112"/>
      <c r="K307" s="112"/>
      <c r="L307" s="112"/>
      <c r="M307" s="112"/>
      <c r="N307" s="112"/>
      <c r="O307" s="112"/>
      <c r="P307" s="112"/>
      <c r="Q307" s="112"/>
      <c r="R307" s="112"/>
      <c r="S307" s="111"/>
      <c r="T307" s="93"/>
      <c r="U307" s="93"/>
      <c r="V307" s="93"/>
      <c r="W307" s="93"/>
      <c r="X307" s="93" t="str">
        <f>IF($B307="Yes",COUNTIF(Reference!P$52:P$67,$K307),"")</f>
        <v/>
      </c>
      <c r="Y307" s="93" t="str">
        <f>IF($B307="Yes",COUNTIF(Reference!Q$52:Q$67,$K307),"")</f>
        <v/>
      </c>
      <c r="Z307" s="93" t="str">
        <f>IF($B307="Yes",COUNTIF(Reference!R$52:R$67,$K307),"")</f>
        <v/>
      </c>
      <c r="AA307" s="93" t="str">
        <f>IF($B307="Yes",COUNTIF(Reference!S$52:S$67,$K307),"")</f>
        <v/>
      </c>
      <c r="AB307" s="93" t="str">
        <f>IF($B307="Yes",COUNTIF(Reference!T$52:T$67,$K307),"")</f>
        <v/>
      </c>
      <c r="AC307" s="93" t="str">
        <f t="shared" si="14"/>
        <v/>
      </c>
    </row>
    <row r="308" spans="1:29" x14ac:dyDescent="0.25">
      <c r="A308" s="95">
        <v>398</v>
      </c>
      <c r="B308" s="95" t="str">
        <f t="shared" si="12"/>
        <v>No</v>
      </c>
      <c r="H308" s="95" t="str">
        <f t="shared" si="13"/>
        <v/>
      </c>
      <c r="I308" s="111"/>
      <c r="J308" s="112"/>
      <c r="K308" s="112"/>
      <c r="L308" s="112"/>
      <c r="M308" s="112"/>
      <c r="N308" s="112"/>
      <c r="O308" s="112"/>
      <c r="P308" s="112"/>
      <c r="Q308" s="112"/>
      <c r="R308" s="112"/>
      <c r="S308" s="111"/>
      <c r="T308" s="93"/>
      <c r="U308" s="93"/>
      <c r="V308" s="93"/>
      <c r="W308" s="93"/>
      <c r="X308" s="93" t="str">
        <f>IF($B308="Yes",COUNTIF(Reference!P$52:P$67,$K308),"")</f>
        <v/>
      </c>
      <c r="Y308" s="93" t="str">
        <f>IF($B308="Yes",COUNTIF(Reference!Q$52:Q$67,$K308),"")</f>
        <v/>
      </c>
      <c r="Z308" s="93" t="str">
        <f>IF($B308="Yes",COUNTIF(Reference!R$52:R$67,$K308),"")</f>
        <v/>
      </c>
      <c r="AA308" s="93" t="str">
        <f>IF($B308="Yes",COUNTIF(Reference!S$52:S$67,$K308),"")</f>
        <v/>
      </c>
      <c r="AB308" s="93" t="str">
        <f>IF($B308="Yes",COUNTIF(Reference!T$52:T$67,$K308),"")</f>
        <v/>
      </c>
      <c r="AC308" s="93" t="str">
        <f t="shared" si="14"/>
        <v/>
      </c>
    </row>
    <row r="309" spans="1:29" x14ac:dyDescent="0.25">
      <c r="A309" s="95">
        <v>399</v>
      </c>
      <c r="B309" s="95" t="str">
        <f t="shared" si="12"/>
        <v>No</v>
      </c>
      <c r="H309" s="95" t="str">
        <f t="shared" si="13"/>
        <v/>
      </c>
      <c r="I309" s="111"/>
      <c r="J309" s="112"/>
      <c r="K309" s="112"/>
      <c r="L309" s="112"/>
      <c r="M309" s="112"/>
      <c r="N309" s="112"/>
      <c r="O309" s="112"/>
      <c r="P309" s="112"/>
      <c r="Q309" s="112"/>
      <c r="R309" s="112"/>
      <c r="S309" s="111"/>
      <c r="T309" s="93"/>
      <c r="U309" s="93"/>
      <c r="V309" s="93"/>
      <c r="W309" s="93"/>
      <c r="X309" s="93" t="str">
        <f>IF($B309="Yes",COUNTIF(Reference!P$52:P$67,$K309),"")</f>
        <v/>
      </c>
      <c r="Y309" s="93" t="str">
        <f>IF($B309="Yes",COUNTIF(Reference!Q$52:Q$67,$K309),"")</f>
        <v/>
      </c>
      <c r="Z309" s="93" t="str">
        <f>IF($B309="Yes",COUNTIF(Reference!R$52:R$67,$K309),"")</f>
        <v/>
      </c>
      <c r="AA309" s="93" t="str">
        <f>IF($B309="Yes",COUNTIF(Reference!S$52:S$67,$K309),"")</f>
        <v/>
      </c>
      <c r="AB309" s="93" t="str">
        <f>IF($B309="Yes",COUNTIF(Reference!T$52:T$67,$K309),"")</f>
        <v/>
      </c>
      <c r="AC309" s="93" t="str">
        <f t="shared" si="14"/>
        <v/>
      </c>
    </row>
    <row r="310" spans="1:29" x14ac:dyDescent="0.25">
      <c r="A310" s="95">
        <v>400</v>
      </c>
      <c r="B310" s="95" t="str">
        <f t="shared" si="12"/>
        <v>No</v>
      </c>
      <c r="H310" s="95" t="str">
        <f t="shared" si="13"/>
        <v/>
      </c>
      <c r="I310" s="111"/>
      <c r="J310" s="112"/>
      <c r="K310" s="112"/>
      <c r="L310" s="112"/>
      <c r="M310" s="112"/>
      <c r="N310" s="112"/>
      <c r="O310" s="112"/>
      <c r="P310" s="112"/>
      <c r="Q310" s="112"/>
      <c r="R310" s="112"/>
      <c r="S310" s="111"/>
      <c r="T310" s="93"/>
      <c r="U310" s="93"/>
      <c r="V310" s="93"/>
      <c r="W310" s="93"/>
      <c r="X310" s="93" t="str">
        <f>IF($B310="Yes",COUNTIF(Reference!P$52:P$67,$K310),"")</f>
        <v/>
      </c>
      <c r="Y310" s="93" t="str">
        <f>IF($B310="Yes",COUNTIF(Reference!Q$52:Q$67,$K310),"")</f>
        <v/>
      </c>
      <c r="Z310" s="93" t="str">
        <f>IF($B310="Yes",COUNTIF(Reference!R$52:R$67,$K310),"")</f>
        <v/>
      </c>
      <c r="AA310" s="93" t="str">
        <f>IF($B310="Yes",COUNTIF(Reference!S$52:S$67,$K310),"")</f>
        <v/>
      </c>
      <c r="AB310" s="93" t="str">
        <f>IF($B310="Yes",COUNTIF(Reference!T$52:T$67,$K310),"")</f>
        <v/>
      </c>
      <c r="AC310" s="93" t="str">
        <f t="shared" si="14"/>
        <v/>
      </c>
    </row>
    <row r="311" spans="1:29" x14ac:dyDescent="0.25">
      <c r="A311" s="95">
        <v>401</v>
      </c>
      <c r="B311" s="95" t="str">
        <f t="shared" si="12"/>
        <v>No</v>
      </c>
      <c r="H311" s="95" t="str">
        <f t="shared" si="13"/>
        <v/>
      </c>
      <c r="I311" s="111"/>
      <c r="J311" s="112"/>
      <c r="K311" s="112"/>
      <c r="L311" s="112"/>
      <c r="M311" s="112"/>
      <c r="N311" s="112"/>
      <c r="O311" s="112"/>
      <c r="P311" s="112"/>
      <c r="Q311" s="112"/>
      <c r="R311" s="112"/>
      <c r="S311" s="111"/>
      <c r="T311" s="93"/>
      <c r="U311" s="93"/>
      <c r="V311" s="93"/>
      <c r="W311" s="93"/>
      <c r="X311" s="93" t="str">
        <f>IF($B311="Yes",COUNTIF(Reference!P$52:P$67,$K311),"")</f>
        <v/>
      </c>
      <c r="Y311" s="93" t="str">
        <f>IF($B311="Yes",COUNTIF(Reference!Q$52:Q$67,$K311),"")</f>
        <v/>
      </c>
      <c r="Z311" s="93" t="str">
        <f>IF($B311="Yes",COUNTIF(Reference!R$52:R$67,$K311),"")</f>
        <v/>
      </c>
      <c r="AA311" s="93" t="str">
        <f>IF($B311="Yes",COUNTIF(Reference!S$52:S$67,$K311),"")</f>
        <v/>
      </c>
      <c r="AB311" s="93" t="str">
        <f>IF($B311="Yes",COUNTIF(Reference!T$52:T$67,$K311),"")</f>
        <v/>
      </c>
      <c r="AC311" s="93" t="str">
        <f t="shared" si="14"/>
        <v/>
      </c>
    </row>
    <row r="312" spans="1:29" x14ac:dyDescent="0.25">
      <c r="A312" s="95">
        <v>402</v>
      </c>
      <c r="B312" s="95" t="str">
        <f t="shared" si="12"/>
        <v>No</v>
      </c>
      <c r="H312" s="95" t="str">
        <f t="shared" si="13"/>
        <v/>
      </c>
      <c r="I312" s="111"/>
      <c r="J312" s="112"/>
      <c r="K312" s="112"/>
      <c r="L312" s="112"/>
      <c r="M312" s="112"/>
      <c r="N312" s="112"/>
      <c r="O312" s="112"/>
      <c r="P312" s="112"/>
      <c r="Q312" s="112"/>
      <c r="R312" s="112"/>
      <c r="S312" s="111"/>
      <c r="T312" s="93"/>
      <c r="U312" s="93"/>
      <c r="V312" s="93"/>
      <c r="W312" s="93"/>
      <c r="X312" s="93" t="str">
        <f>IF($B312="Yes",COUNTIF(Reference!P$52:P$67,$K312),"")</f>
        <v/>
      </c>
      <c r="Y312" s="93" t="str">
        <f>IF($B312="Yes",COUNTIF(Reference!Q$52:Q$67,$K312),"")</f>
        <v/>
      </c>
      <c r="Z312" s="93" t="str">
        <f>IF($B312="Yes",COUNTIF(Reference!R$52:R$67,$K312),"")</f>
        <v/>
      </c>
      <c r="AA312" s="93" t="str">
        <f>IF($B312="Yes",COUNTIF(Reference!S$52:S$67,$K312),"")</f>
        <v/>
      </c>
      <c r="AB312" s="93" t="str">
        <f>IF($B312="Yes",COUNTIF(Reference!T$52:T$67,$K312),"")</f>
        <v/>
      </c>
      <c r="AC312" s="93" t="str">
        <f t="shared" si="14"/>
        <v/>
      </c>
    </row>
    <row r="313" spans="1:29" x14ac:dyDescent="0.25">
      <c r="A313" s="95">
        <v>403</v>
      </c>
      <c r="B313" s="95" t="str">
        <f t="shared" si="12"/>
        <v>No</v>
      </c>
      <c r="H313" s="95" t="str">
        <f t="shared" si="13"/>
        <v/>
      </c>
      <c r="I313" s="111"/>
      <c r="J313" s="112"/>
      <c r="K313" s="112"/>
      <c r="L313" s="112"/>
      <c r="M313" s="112"/>
      <c r="N313" s="112"/>
      <c r="O313" s="112"/>
      <c r="P313" s="112"/>
      <c r="Q313" s="112"/>
      <c r="R313" s="112"/>
      <c r="S313" s="111"/>
      <c r="T313" s="93"/>
      <c r="U313" s="93"/>
      <c r="V313" s="93"/>
      <c r="W313" s="93"/>
      <c r="X313" s="93" t="str">
        <f>IF($B313="Yes",COUNTIF(Reference!P$52:P$67,$K313),"")</f>
        <v/>
      </c>
      <c r="Y313" s="93" t="str">
        <f>IF($B313="Yes",COUNTIF(Reference!Q$52:Q$67,$K313),"")</f>
        <v/>
      </c>
      <c r="Z313" s="93" t="str">
        <f>IF($B313="Yes",COUNTIF(Reference!R$52:R$67,$K313),"")</f>
        <v/>
      </c>
      <c r="AA313" s="93" t="str">
        <f>IF($B313="Yes",COUNTIF(Reference!S$52:S$67,$K313),"")</f>
        <v/>
      </c>
      <c r="AB313" s="93" t="str">
        <f>IF($B313="Yes",COUNTIF(Reference!T$52:T$67,$K313),"")</f>
        <v/>
      </c>
      <c r="AC313" s="93" t="str">
        <f t="shared" si="14"/>
        <v/>
      </c>
    </row>
    <row r="314" spans="1:29" x14ac:dyDescent="0.25">
      <c r="A314" s="95">
        <v>404</v>
      </c>
      <c r="B314" s="95" t="str">
        <f t="shared" si="12"/>
        <v>No</v>
      </c>
      <c r="H314" s="95" t="str">
        <f t="shared" si="13"/>
        <v/>
      </c>
      <c r="I314" s="111"/>
      <c r="J314" s="112"/>
      <c r="K314" s="112"/>
      <c r="L314" s="112"/>
      <c r="M314" s="112"/>
      <c r="N314" s="112"/>
      <c r="O314" s="112"/>
      <c r="P314" s="112"/>
      <c r="Q314" s="112"/>
      <c r="R314" s="112"/>
      <c r="S314" s="111"/>
      <c r="T314" s="93"/>
      <c r="U314" s="93"/>
      <c r="V314" s="93"/>
      <c r="W314" s="93"/>
      <c r="X314" s="93" t="str">
        <f>IF($B314="Yes",COUNTIF(Reference!P$52:P$67,$K314),"")</f>
        <v/>
      </c>
      <c r="Y314" s="93" t="str">
        <f>IF($B314="Yes",COUNTIF(Reference!Q$52:Q$67,$K314),"")</f>
        <v/>
      </c>
      <c r="Z314" s="93" t="str">
        <f>IF($B314="Yes",COUNTIF(Reference!R$52:R$67,$K314),"")</f>
        <v/>
      </c>
      <c r="AA314" s="93" t="str">
        <f>IF($B314="Yes",COUNTIF(Reference!S$52:S$67,$K314),"")</f>
        <v/>
      </c>
      <c r="AB314" s="93" t="str">
        <f>IF($B314="Yes",COUNTIF(Reference!T$52:T$67,$K314),"")</f>
        <v/>
      </c>
      <c r="AC314" s="93" t="str">
        <f t="shared" si="14"/>
        <v/>
      </c>
    </row>
    <row r="315" spans="1:29" x14ac:dyDescent="0.25">
      <c r="A315" s="95">
        <v>405</v>
      </c>
      <c r="B315" s="95" t="str">
        <f t="shared" si="12"/>
        <v>No</v>
      </c>
      <c r="H315" s="95" t="str">
        <f t="shared" si="13"/>
        <v/>
      </c>
      <c r="I315" s="111"/>
      <c r="J315" s="112"/>
      <c r="K315" s="112"/>
      <c r="L315" s="112"/>
      <c r="M315" s="112"/>
      <c r="N315" s="112"/>
      <c r="O315" s="112"/>
      <c r="P315" s="112"/>
      <c r="Q315" s="112"/>
      <c r="R315" s="112"/>
      <c r="S315" s="111"/>
      <c r="T315" s="93"/>
      <c r="U315" s="93"/>
      <c r="V315" s="93"/>
      <c r="W315" s="93"/>
      <c r="X315" s="93" t="str">
        <f>IF($B315="Yes",COUNTIF(Reference!P$52:P$67,$K315),"")</f>
        <v/>
      </c>
      <c r="Y315" s="93" t="str">
        <f>IF($B315="Yes",COUNTIF(Reference!Q$52:Q$67,$K315),"")</f>
        <v/>
      </c>
      <c r="Z315" s="93" t="str">
        <f>IF($B315="Yes",COUNTIF(Reference!R$52:R$67,$K315),"")</f>
        <v/>
      </c>
      <c r="AA315" s="93" t="str">
        <f>IF($B315="Yes",COUNTIF(Reference!S$52:S$67,$K315),"")</f>
        <v/>
      </c>
      <c r="AB315" s="93" t="str">
        <f>IF($B315="Yes",COUNTIF(Reference!T$52:T$67,$K315),"")</f>
        <v/>
      </c>
      <c r="AC315" s="93" t="str">
        <f t="shared" si="14"/>
        <v/>
      </c>
    </row>
    <row r="316" spans="1:29" x14ac:dyDescent="0.25">
      <c r="A316" s="95">
        <v>406</v>
      </c>
      <c r="B316" s="95" t="str">
        <f t="shared" si="12"/>
        <v>No</v>
      </c>
      <c r="H316" s="95" t="str">
        <f t="shared" si="13"/>
        <v/>
      </c>
      <c r="I316" s="111"/>
      <c r="J316" s="112"/>
      <c r="K316" s="112"/>
      <c r="L316" s="112"/>
      <c r="M316" s="112"/>
      <c r="N316" s="112"/>
      <c r="O316" s="112"/>
      <c r="P316" s="112"/>
      <c r="Q316" s="112"/>
      <c r="R316" s="112"/>
      <c r="S316" s="111"/>
      <c r="T316" s="93"/>
      <c r="U316" s="93"/>
      <c r="V316" s="93"/>
      <c r="W316" s="93"/>
      <c r="X316" s="93" t="str">
        <f>IF($B316="Yes",COUNTIF(Reference!P$52:P$67,$K316),"")</f>
        <v/>
      </c>
      <c r="Y316" s="93" t="str">
        <f>IF($B316="Yes",COUNTIF(Reference!Q$52:Q$67,$K316),"")</f>
        <v/>
      </c>
      <c r="Z316" s="93" t="str">
        <f>IF($B316="Yes",COUNTIF(Reference!R$52:R$67,$K316),"")</f>
        <v/>
      </c>
      <c r="AA316" s="93" t="str">
        <f>IF($B316="Yes",COUNTIF(Reference!S$52:S$67,$K316),"")</f>
        <v/>
      </c>
      <c r="AB316" s="93" t="str">
        <f>IF($B316="Yes",COUNTIF(Reference!T$52:T$67,$K316),"")</f>
        <v/>
      </c>
      <c r="AC316" s="93" t="str">
        <f t="shared" si="14"/>
        <v/>
      </c>
    </row>
    <row r="317" spans="1:29" x14ac:dyDescent="0.25">
      <c r="A317" s="95">
        <v>407</v>
      </c>
      <c r="B317" s="95" t="str">
        <f t="shared" si="12"/>
        <v>No</v>
      </c>
      <c r="H317" s="95" t="str">
        <f t="shared" si="13"/>
        <v/>
      </c>
      <c r="I317" s="111"/>
      <c r="J317" s="112"/>
      <c r="K317" s="112"/>
      <c r="L317" s="112"/>
      <c r="M317" s="112"/>
      <c r="N317" s="112"/>
      <c r="O317" s="112"/>
      <c r="P317" s="112"/>
      <c r="Q317" s="112"/>
      <c r="R317" s="112"/>
      <c r="S317" s="111"/>
      <c r="T317" s="93"/>
      <c r="U317" s="93"/>
      <c r="V317" s="93"/>
      <c r="W317" s="93"/>
      <c r="X317" s="93" t="str">
        <f>IF($B317="Yes",COUNTIF(Reference!P$52:P$67,$K317),"")</f>
        <v/>
      </c>
      <c r="Y317" s="93" t="str">
        <f>IF($B317="Yes",COUNTIF(Reference!Q$52:Q$67,$K317),"")</f>
        <v/>
      </c>
      <c r="Z317" s="93" t="str">
        <f>IF($B317="Yes",COUNTIF(Reference!R$52:R$67,$K317),"")</f>
        <v/>
      </c>
      <c r="AA317" s="93" t="str">
        <f>IF($B317="Yes",COUNTIF(Reference!S$52:S$67,$K317),"")</f>
        <v/>
      </c>
      <c r="AB317" s="93" t="str">
        <f>IF($B317="Yes",COUNTIF(Reference!T$52:T$67,$K317),"")</f>
        <v/>
      </c>
      <c r="AC317" s="93" t="str">
        <f t="shared" si="14"/>
        <v/>
      </c>
    </row>
    <row r="318" spans="1:29" x14ac:dyDescent="0.25">
      <c r="A318" s="95">
        <v>408</v>
      </c>
      <c r="B318" s="95" t="str">
        <f t="shared" si="12"/>
        <v>No</v>
      </c>
      <c r="H318" s="95" t="str">
        <f t="shared" si="13"/>
        <v/>
      </c>
      <c r="I318" s="111"/>
      <c r="J318" s="112"/>
      <c r="K318" s="112"/>
      <c r="L318" s="112"/>
      <c r="M318" s="112"/>
      <c r="N318" s="112"/>
      <c r="O318" s="112"/>
      <c r="P318" s="112"/>
      <c r="Q318" s="112"/>
      <c r="R318" s="112"/>
      <c r="S318" s="111"/>
      <c r="T318" s="93"/>
      <c r="U318" s="93"/>
      <c r="V318" s="93"/>
      <c r="W318" s="93"/>
      <c r="X318" s="93" t="str">
        <f>IF($B318="Yes",COUNTIF(Reference!P$52:P$67,$K318),"")</f>
        <v/>
      </c>
      <c r="Y318" s="93" t="str">
        <f>IF($B318="Yes",COUNTIF(Reference!Q$52:Q$67,$K318),"")</f>
        <v/>
      </c>
      <c r="Z318" s="93" t="str">
        <f>IF($B318="Yes",COUNTIF(Reference!R$52:R$67,$K318),"")</f>
        <v/>
      </c>
      <c r="AA318" s="93" t="str">
        <f>IF($B318="Yes",COUNTIF(Reference!S$52:S$67,$K318),"")</f>
        <v/>
      </c>
      <c r="AB318" s="93" t="str">
        <f>IF($B318="Yes",COUNTIF(Reference!T$52:T$67,$K318),"")</f>
        <v/>
      </c>
      <c r="AC318" s="93" t="str">
        <f t="shared" si="14"/>
        <v/>
      </c>
    </row>
    <row r="319" spans="1:29" x14ac:dyDescent="0.25">
      <c r="A319" s="95">
        <v>409</v>
      </c>
      <c r="B319" s="95" t="str">
        <f t="shared" si="12"/>
        <v>No</v>
      </c>
      <c r="H319" s="95" t="str">
        <f t="shared" si="13"/>
        <v/>
      </c>
      <c r="I319" s="111"/>
      <c r="J319" s="112"/>
      <c r="K319" s="112"/>
      <c r="L319" s="112"/>
      <c r="M319" s="112"/>
      <c r="N319" s="112"/>
      <c r="O319" s="112"/>
      <c r="P319" s="112"/>
      <c r="Q319" s="112"/>
      <c r="R319" s="112"/>
      <c r="S319" s="111"/>
      <c r="T319" s="93"/>
      <c r="U319" s="93"/>
      <c r="V319" s="93"/>
      <c r="W319" s="93"/>
      <c r="X319" s="93" t="str">
        <f>IF($B319="Yes",COUNTIF(Reference!P$52:P$67,$K319),"")</f>
        <v/>
      </c>
      <c r="Y319" s="93" t="str">
        <f>IF($B319="Yes",COUNTIF(Reference!Q$52:Q$67,$K319),"")</f>
        <v/>
      </c>
      <c r="Z319" s="93" t="str">
        <f>IF($B319="Yes",COUNTIF(Reference!R$52:R$67,$K319),"")</f>
        <v/>
      </c>
      <c r="AA319" s="93" t="str">
        <f>IF($B319="Yes",COUNTIF(Reference!S$52:S$67,$K319),"")</f>
        <v/>
      </c>
      <c r="AB319" s="93" t="str">
        <f>IF($B319="Yes",COUNTIF(Reference!T$52:T$67,$K319),"")</f>
        <v/>
      </c>
      <c r="AC319" s="93" t="str">
        <f t="shared" si="14"/>
        <v/>
      </c>
    </row>
    <row r="320" spans="1:29" x14ac:dyDescent="0.25">
      <c r="A320" s="95">
        <v>410</v>
      </c>
      <c r="B320" s="95" t="str">
        <f t="shared" si="12"/>
        <v>No</v>
      </c>
      <c r="H320" s="95" t="str">
        <f t="shared" si="13"/>
        <v/>
      </c>
      <c r="I320" s="111"/>
      <c r="J320" s="112"/>
      <c r="K320" s="112"/>
      <c r="L320" s="112"/>
      <c r="M320" s="112"/>
      <c r="N320" s="112"/>
      <c r="O320" s="112"/>
      <c r="P320" s="112"/>
      <c r="Q320" s="112"/>
      <c r="R320" s="112"/>
      <c r="S320" s="111"/>
      <c r="T320" s="93"/>
      <c r="U320" s="93"/>
      <c r="V320" s="93"/>
      <c r="W320" s="93"/>
      <c r="X320" s="93" t="str">
        <f>IF($B320="Yes",COUNTIF(Reference!P$52:P$67,$K320),"")</f>
        <v/>
      </c>
      <c r="Y320" s="93" t="str">
        <f>IF($B320="Yes",COUNTIF(Reference!Q$52:Q$67,$K320),"")</f>
        <v/>
      </c>
      <c r="Z320" s="93" t="str">
        <f>IF($B320="Yes",COUNTIF(Reference!R$52:R$67,$K320),"")</f>
        <v/>
      </c>
      <c r="AA320" s="93" t="str">
        <f>IF($B320="Yes",COUNTIF(Reference!S$52:S$67,$K320),"")</f>
        <v/>
      </c>
      <c r="AB320" s="93" t="str">
        <f>IF($B320="Yes",COUNTIF(Reference!T$52:T$67,$K320),"")</f>
        <v/>
      </c>
      <c r="AC320" s="93" t="str">
        <f t="shared" si="14"/>
        <v/>
      </c>
    </row>
    <row r="321" spans="1:29" x14ac:dyDescent="0.25">
      <c r="A321" s="95">
        <v>411</v>
      </c>
      <c r="B321" s="95" t="str">
        <f t="shared" si="12"/>
        <v>No</v>
      </c>
      <c r="H321" s="95" t="str">
        <f t="shared" si="13"/>
        <v/>
      </c>
      <c r="I321" s="111"/>
      <c r="J321" s="112"/>
      <c r="K321" s="112"/>
      <c r="L321" s="112"/>
      <c r="M321" s="112"/>
      <c r="N321" s="112"/>
      <c r="O321" s="112"/>
      <c r="P321" s="112"/>
      <c r="Q321" s="112"/>
      <c r="R321" s="112"/>
      <c r="S321" s="111"/>
      <c r="T321" s="93"/>
      <c r="U321" s="93"/>
      <c r="V321" s="93"/>
      <c r="W321" s="93"/>
      <c r="X321" s="93" t="str">
        <f>IF($B321="Yes",COUNTIF(Reference!P$52:P$67,$K321),"")</f>
        <v/>
      </c>
      <c r="Y321" s="93" t="str">
        <f>IF($B321="Yes",COUNTIF(Reference!Q$52:Q$67,$K321),"")</f>
        <v/>
      </c>
      <c r="Z321" s="93" t="str">
        <f>IF($B321="Yes",COUNTIF(Reference!R$52:R$67,$K321),"")</f>
        <v/>
      </c>
      <c r="AA321" s="93" t="str">
        <f>IF($B321="Yes",COUNTIF(Reference!S$52:S$67,$K321),"")</f>
        <v/>
      </c>
      <c r="AB321" s="93" t="str">
        <f>IF($B321="Yes",COUNTIF(Reference!T$52:T$67,$K321),"")</f>
        <v/>
      </c>
      <c r="AC321" s="93" t="str">
        <f t="shared" si="14"/>
        <v/>
      </c>
    </row>
    <row r="322" spans="1:29" x14ac:dyDescent="0.25">
      <c r="A322" s="95">
        <v>412</v>
      </c>
      <c r="B322" s="95" t="str">
        <f t="shared" si="12"/>
        <v>No</v>
      </c>
      <c r="H322" s="95" t="str">
        <f t="shared" si="13"/>
        <v/>
      </c>
      <c r="I322" s="111"/>
      <c r="J322" s="112"/>
      <c r="K322" s="112"/>
      <c r="L322" s="112"/>
      <c r="M322" s="112"/>
      <c r="N322" s="112"/>
      <c r="O322" s="112"/>
      <c r="P322" s="112"/>
      <c r="Q322" s="112"/>
      <c r="R322" s="112"/>
      <c r="S322" s="111"/>
      <c r="T322" s="93"/>
      <c r="U322" s="93"/>
      <c r="V322" s="93"/>
      <c r="W322" s="93"/>
      <c r="X322" s="93" t="str">
        <f>IF($B322="Yes",COUNTIF(Reference!P$52:P$67,$K322),"")</f>
        <v/>
      </c>
      <c r="Y322" s="93" t="str">
        <f>IF($B322="Yes",COUNTIF(Reference!Q$52:Q$67,$K322),"")</f>
        <v/>
      </c>
      <c r="Z322" s="93" t="str">
        <f>IF($B322="Yes",COUNTIF(Reference!R$52:R$67,$K322),"")</f>
        <v/>
      </c>
      <c r="AA322" s="93" t="str">
        <f>IF($B322="Yes",COUNTIF(Reference!S$52:S$67,$K322),"")</f>
        <v/>
      </c>
      <c r="AB322" s="93" t="str">
        <f>IF($B322="Yes",COUNTIF(Reference!T$52:T$67,$K322),"")</f>
        <v/>
      </c>
      <c r="AC322" s="93" t="str">
        <f t="shared" si="14"/>
        <v/>
      </c>
    </row>
    <row r="323" spans="1:29" x14ac:dyDescent="0.25">
      <c r="A323" s="95">
        <v>413</v>
      </c>
      <c r="B323" s="95" t="str">
        <f t="shared" si="12"/>
        <v>No</v>
      </c>
      <c r="H323" s="95" t="str">
        <f t="shared" si="13"/>
        <v/>
      </c>
      <c r="I323" s="111"/>
      <c r="J323" s="112"/>
      <c r="K323" s="112"/>
      <c r="L323" s="112"/>
      <c r="M323" s="112"/>
      <c r="N323" s="112"/>
      <c r="O323" s="112"/>
      <c r="P323" s="112"/>
      <c r="Q323" s="112"/>
      <c r="R323" s="112"/>
      <c r="S323" s="111"/>
      <c r="T323" s="93"/>
      <c r="U323" s="93"/>
      <c r="V323" s="93"/>
      <c r="W323" s="93"/>
      <c r="X323" s="93" t="str">
        <f>IF($B323="Yes",COUNTIF(Reference!P$52:P$67,$K323),"")</f>
        <v/>
      </c>
      <c r="Y323" s="93" t="str">
        <f>IF($B323="Yes",COUNTIF(Reference!Q$52:Q$67,$K323),"")</f>
        <v/>
      </c>
      <c r="Z323" s="93" t="str">
        <f>IF($B323="Yes",COUNTIF(Reference!R$52:R$67,$K323),"")</f>
        <v/>
      </c>
      <c r="AA323" s="93" t="str">
        <f>IF($B323="Yes",COUNTIF(Reference!S$52:S$67,$K323),"")</f>
        <v/>
      </c>
      <c r="AB323" s="93" t="str">
        <f>IF($B323="Yes",COUNTIF(Reference!T$52:T$67,$K323),"")</f>
        <v/>
      </c>
      <c r="AC323" s="93" t="str">
        <f t="shared" si="14"/>
        <v/>
      </c>
    </row>
    <row r="324" spans="1:29" x14ac:dyDescent="0.25">
      <c r="A324" s="95">
        <v>414</v>
      </c>
      <c r="B324" s="95" t="str">
        <f t="shared" si="12"/>
        <v>No</v>
      </c>
      <c r="H324" s="95" t="str">
        <f t="shared" si="13"/>
        <v/>
      </c>
      <c r="I324" s="111"/>
      <c r="J324" s="112"/>
      <c r="K324" s="112"/>
      <c r="L324" s="112"/>
      <c r="M324" s="112"/>
      <c r="N324" s="112"/>
      <c r="O324" s="112"/>
      <c r="P324" s="112"/>
      <c r="Q324" s="112"/>
      <c r="R324" s="112"/>
      <c r="S324" s="111"/>
      <c r="T324" s="93"/>
      <c r="U324" s="93"/>
      <c r="V324" s="93"/>
      <c r="W324" s="93"/>
      <c r="X324" s="93" t="str">
        <f>IF($B324="Yes",COUNTIF(Reference!P$52:P$67,$K324),"")</f>
        <v/>
      </c>
      <c r="Y324" s="93" t="str">
        <f>IF($B324="Yes",COUNTIF(Reference!Q$52:Q$67,$K324),"")</f>
        <v/>
      </c>
      <c r="Z324" s="93" t="str">
        <f>IF($B324="Yes",COUNTIF(Reference!R$52:R$67,$K324),"")</f>
        <v/>
      </c>
      <c r="AA324" s="93" t="str">
        <f>IF($B324="Yes",COUNTIF(Reference!S$52:S$67,$K324),"")</f>
        <v/>
      </c>
      <c r="AB324" s="93" t="str">
        <f>IF($B324="Yes",COUNTIF(Reference!T$52:T$67,$K324),"")</f>
        <v/>
      </c>
      <c r="AC324" s="93" t="str">
        <f t="shared" si="14"/>
        <v/>
      </c>
    </row>
    <row r="325" spans="1:29" x14ac:dyDescent="0.25">
      <c r="A325" s="95">
        <v>415</v>
      </c>
      <c r="B325" s="95" t="str">
        <f t="shared" si="12"/>
        <v>No</v>
      </c>
      <c r="H325" s="95" t="str">
        <f t="shared" si="13"/>
        <v/>
      </c>
      <c r="I325" s="111"/>
      <c r="J325" s="112"/>
      <c r="K325" s="112"/>
      <c r="L325" s="112"/>
      <c r="M325" s="112"/>
      <c r="N325" s="112"/>
      <c r="O325" s="112"/>
      <c r="P325" s="112"/>
      <c r="Q325" s="112"/>
      <c r="R325" s="112"/>
      <c r="S325" s="111"/>
      <c r="T325" s="93"/>
      <c r="U325" s="93"/>
      <c r="V325" s="93"/>
      <c r="W325" s="93"/>
      <c r="X325" s="93" t="str">
        <f>IF($B325="Yes",COUNTIF(Reference!P$52:P$67,$K325),"")</f>
        <v/>
      </c>
      <c r="Y325" s="93" t="str">
        <f>IF($B325="Yes",COUNTIF(Reference!Q$52:Q$67,$K325),"")</f>
        <v/>
      </c>
      <c r="Z325" s="93" t="str">
        <f>IF($B325="Yes",COUNTIF(Reference!R$52:R$67,$K325),"")</f>
        <v/>
      </c>
      <c r="AA325" s="93" t="str">
        <f>IF($B325="Yes",COUNTIF(Reference!S$52:S$67,$K325),"")</f>
        <v/>
      </c>
      <c r="AB325" s="93" t="str">
        <f>IF($B325="Yes",COUNTIF(Reference!T$52:T$67,$K325),"")</f>
        <v/>
      </c>
      <c r="AC325" s="93" t="str">
        <f t="shared" si="14"/>
        <v/>
      </c>
    </row>
    <row r="326" spans="1:29" x14ac:dyDescent="0.25">
      <c r="A326" s="95">
        <v>416</v>
      </c>
      <c r="B326" s="95" t="str">
        <f t="shared" si="12"/>
        <v>No</v>
      </c>
      <c r="H326" s="95" t="str">
        <f t="shared" si="13"/>
        <v/>
      </c>
      <c r="I326" s="111"/>
      <c r="J326" s="112"/>
      <c r="K326" s="112"/>
      <c r="L326" s="112"/>
      <c r="M326" s="112"/>
      <c r="N326" s="112"/>
      <c r="O326" s="112"/>
      <c r="P326" s="112"/>
      <c r="Q326" s="112"/>
      <c r="R326" s="112"/>
      <c r="S326" s="111"/>
      <c r="T326" s="93"/>
      <c r="U326" s="93"/>
      <c r="V326" s="93"/>
      <c r="W326" s="93"/>
      <c r="X326" s="93" t="str">
        <f>IF($B326="Yes",COUNTIF(Reference!P$52:P$67,$K326),"")</f>
        <v/>
      </c>
      <c r="Y326" s="93" t="str">
        <f>IF($B326="Yes",COUNTIF(Reference!Q$52:Q$67,$K326),"")</f>
        <v/>
      </c>
      <c r="Z326" s="93" t="str">
        <f>IF($B326="Yes",COUNTIF(Reference!R$52:R$67,$K326),"")</f>
        <v/>
      </c>
      <c r="AA326" s="93" t="str">
        <f>IF($B326="Yes",COUNTIF(Reference!S$52:S$67,$K326),"")</f>
        <v/>
      </c>
      <c r="AB326" s="93" t="str">
        <f>IF($B326="Yes",COUNTIF(Reference!T$52:T$67,$K326),"")</f>
        <v/>
      </c>
      <c r="AC326" s="93" t="str">
        <f t="shared" si="14"/>
        <v/>
      </c>
    </row>
    <row r="327" spans="1:29" x14ac:dyDescent="0.25">
      <c r="A327" s="95">
        <v>417</v>
      </c>
      <c r="B327" s="95" t="str">
        <f t="shared" si="12"/>
        <v>No</v>
      </c>
      <c r="H327" s="95" t="str">
        <f t="shared" si="13"/>
        <v/>
      </c>
      <c r="I327" s="111"/>
      <c r="J327" s="112"/>
      <c r="K327" s="112"/>
      <c r="L327" s="112"/>
      <c r="M327" s="112"/>
      <c r="N327" s="112"/>
      <c r="O327" s="112"/>
      <c r="P327" s="112"/>
      <c r="Q327" s="112"/>
      <c r="R327" s="112"/>
      <c r="S327" s="111"/>
      <c r="T327" s="93"/>
      <c r="U327" s="93"/>
      <c r="V327" s="93"/>
      <c r="W327" s="93"/>
      <c r="X327" s="93" t="str">
        <f>IF($B327="Yes",COUNTIF(Reference!P$52:P$67,$K327),"")</f>
        <v/>
      </c>
      <c r="Y327" s="93" t="str">
        <f>IF($B327="Yes",COUNTIF(Reference!Q$52:Q$67,$K327),"")</f>
        <v/>
      </c>
      <c r="Z327" s="93" t="str">
        <f>IF($B327="Yes",COUNTIF(Reference!R$52:R$67,$K327),"")</f>
        <v/>
      </c>
      <c r="AA327" s="93" t="str">
        <f>IF($B327="Yes",COUNTIF(Reference!S$52:S$67,$K327),"")</f>
        <v/>
      </c>
      <c r="AB327" s="93" t="str">
        <f>IF($B327="Yes",COUNTIF(Reference!T$52:T$67,$K327),"")</f>
        <v/>
      </c>
      <c r="AC327" s="93" t="str">
        <f t="shared" si="14"/>
        <v/>
      </c>
    </row>
    <row r="328" spans="1:29" x14ac:dyDescent="0.25">
      <c r="A328" s="95">
        <v>418</v>
      </c>
      <c r="B328" s="95" t="str">
        <f t="shared" si="12"/>
        <v>No</v>
      </c>
      <c r="H328" s="95" t="str">
        <f t="shared" si="13"/>
        <v/>
      </c>
      <c r="I328" s="111"/>
      <c r="J328" s="112"/>
      <c r="K328" s="112"/>
      <c r="L328" s="112"/>
      <c r="M328" s="112"/>
      <c r="N328" s="112"/>
      <c r="O328" s="112"/>
      <c r="P328" s="112"/>
      <c r="Q328" s="112"/>
      <c r="R328" s="112"/>
      <c r="S328" s="111"/>
      <c r="T328" s="93"/>
      <c r="U328" s="93"/>
      <c r="V328" s="93"/>
      <c r="W328" s="93"/>
      <c r="X328" s="93" t="str">
        <f>IF($B328="Yes",COUNTIF(Reference!P$52:P$67,$K328),"")</f>
        <v/>
      </c>
      <c r="Y328" s="93" t="str">
        <f>IF($B328="Yes",COUNTIF(Reference!Q$52:Q$67,$K328),"")</f>
        <v/>
      </c>
      <c r="Z328" s="93" t="str">
        <f>IF($B328="Yes",COUNTIF(Reference!R$52:R$67,$K328),"")</f>
        <v/>
      </c>
      <c r="AA328" s="93" t="str">
        <f>IF($B328="Yes",COUNTIF(Reference!S$52:S$67,$K328),"")</f>
        <v/>
      </c>
      <c r="AB328" s="93" t="str">
        <f>IF($B328="Yes",COUNTIF(Reference!T$52:T$67,$K328),"")</f>
        <v/>
      </c>
      <c r="AC328" s="93" t="str">
        <f t="shared" si="14"/>
        <v/>
      </c>
    </row>
    <row r="329" spans="1:29" x14ac:dyDescent="0.25">
      <c r="A329" s="95">
        <v>419</v>
      </c>
      <c r="B329" s="95" t="str">
        <f t="shared" si="12"/>
        <v>No</v>
      </c>
      <c r="H329" s="95" t="str">
        <f t="shared" si="13"/>
        <v/>
      </c>
      <c r="I329" s="111"/>
      <c r="J329" s="112"/>
      <c r="K329" s="112"/>
      <c r="L329" s="112"/>
      <c r="M329" s="112"/>
      <c r="N329" s="112"/>
      <c r="O329" s="112"/>
      <c r="P329" s="112"/>
      <c r="Q329" s="112"/>
      <c r="R329" s="112"/>
      <c r="S329" s="111"/>
      <c r="T329" s="93"/>
      <c r="U329" s="93"/>
      <c r="V329" s="93"/>
      <c r="W329" s="93"/>
      <c r="X329" s="93" t="str">
        <f>IF($B329="Yes",COUNTIF(Reference!P$52:P$67,$K329),"")</f>
        <v/>
      </c>
      <c r="Y329" s="93" t="str">
        <f>IF($B329="Yes",COUNTIF(Reference!Q$52:Q$67,$K329),"")</f>
        <v/>
      </c>
      <c r="Z329" s="93" t="str">
        <f>IF($B329="Yes",COUNTIF(Reference!R$52:R$67,$K329),"")</f>
        <v/>
      </c>
      <c r="AA329" s="93" t="str">
        <f>IF($B329="Yes",COUNTIF(Reference!S$52:S$67,$K329),"")</f>
        <v/>
      </c>
      <c r="AB329" s="93" t="str">
        <f>IF($B329="Yes",COUNTIF(Reference!T$52:T$67,$K329),"")</f>
        <v/>
      </c>
      <c r="AC329" s="93" t="str">
        <f t="shared" si="14"/>
        <v/>
      </c>
    </row>
    <row r="330" spans="1:29" x14ac:dyDescent="0.25">
      <c r="A330" s="95">
        <v>420</v>
      </c>
      <c r="B330" s="95" t="str">
        <f t="shared" si="12"/>
        <v>No</v>
      </c>
      <c r="H330" s="95" t="str">
        <f t="shared" si="13"/>
        <v/>
      </c>
      <c r="I330" s="111"/>
      <c r="J330" s="112"/>
      <c r="K330" s="112"/>
      <c r="L330" s="112"/>
      <c r="M330" s="112"/>
      <c r="N330" s="112"/>
      <c r="O330" s="112"/>
      <c r="P330" s="112"/>
      <c r="Q330" s="112"/>
      <c r="R330" s="112"/>
      <c r="S330" s="111"/>
      <c r="T330" s="93"/>
      <c r="U330" s="93"/>
      <c r="V330" s="93"/>
      <c r="W330" s="93"/>
      <c r="X330" s="93" t="str">
        <f>IF($B330="Yes",COUNTIF(Reference!P$52:P$67,$K330),"")</f>
        <v/>
      </c>
      <c r="Y330" s="93" t="str">
        <f>IF($B330="Yes",COUNTIF(Reference!Q$52:Q$67,$K330),"")</f>
        <v/>
      </c>
      <c r="Z330" s="93" t="str">
        <f>IF($B330="Yes",COUNTIF(Reference!R$52:R$67,$K330),"")</f>
        <v/>
      </c>
      <c r="AA330" s="93" t="str">
        <f>IF($B330="Yes",COUNTIF(Reference!S$52:S$67,$K330),"")</f>
        <v/>
      </c>
      <c r="AB330" s="93" t="str">
        <f>IF($B330="Yes",COUNTIF(Reference!T$52:T$67,$K330),"")</f>
        <v/>
      </c>
      <c r="AC330" s="93" t="str">
        <f t="shared" si="14"/>
        <v/>
      </c>
    </row>
    <row r="331" spans="1:29" x14ac:dyDescent="0.25">
      <c r="A331" s="95">
        <v>421</v>
      </c>
      <c r="B331" s="95" t="str">
        <f t="shared" ref="B331:B394" si="15">IF(COUNTBLANK(J331:M331)=0,"Yes","No")</f>
        <v>No</v>
      </c>
      <c r="H331" s="95" t="str">
        <f t="shared" ref="H331:H394" si="16">IF(J331="","",$A$1&amp;"-"&amp;A331)</f>
        <v/>
      </c>
      <c r="I331" s="111"/>
      <c r="J331" s="112"/>
      <c r="K331" s="112"/>
      <c r="L331" s="112"/>
      <c r="M331" s="112"/>
      <c r="N331" s="112"/>
      <c r="O331" s="112"/>
      <c r="P331" s="112"/>
      <c r="Q331" s="112"/>
      <c r="R331" s="112"/>
      <c r="S331" s="111"/>
      <c r="T331" s="93"/>
      <c r="U331" s="93"/>
      <c r="V331" s="93"/>
      <c r="W331" s="93"/>
      <c r="X331" s="93" t="str">
        <f>IF($B331="Yes",COUNTIF(Reference!P$52:P$67,$K331),"")</f>
        <v/>
      </c>
      <c r="Y331" s="93" t="str">
        <f>IF($B331="Yes",COUNTIF(Reference!Q$52:Q$67,$K331),"")</f>
        <v/>
      </c>
      <c r="Z331" s="93" t="str">
        <f>IF($B331="Yes",COUNTIF(Reference!R$52:R$67,$K331),"")</f>
        <v/>
      </c>
      <c r="AA331" s="93" t="str">
        <f>IF($B331="Yes",COUNTIF(Reference!S$52:S$67,$K331),"")</f>
        <v/>
      </c>
      <c r="AB331" s="93" t="str">
        <f>IF($B331="Yes",COUNTIF(Reference!T$52:T$67,$K331),"")</f>
        <v/>
      </c>
      <c r="AC331" s="93" t="str">
        <f t="shared" ref="AC331:AC394" si="17">IF($B331="Yes",COUNTIF(K331,"N"),"")</f>
        <v/>
      </c>
    </row>
    <row r="332" spans="1:29" x14ac:dyDescent="0.25">
      <c r="A332" s="95">
        <v>422</v>
      </c>
      <c r="B332" s="95" t="str">
        <f t="shared" si="15"/>
        <v>No</v>
      </c>
      <c r="H332" s="95" t="str">
        <f t="shared" si="16"/>
        <v/>
      </c>
      <c r="I332" s="111"/>
      <c r="J332" s="112"/>
      <c r="K332" s="112"/>
      <c r="L332" s="112"/>
      <c r="M332" s="112"/>
      <c r="N332" s="112"/>
      <c r="O332" s="112"/>
      <c r="P332" s="112"/>
      <c r="Q332" s="112"/>
      <c r="R332" s="112"/>
      <c r="S332" s="111"/>
      <c r="T332" s="93"/>
      <c r="U332" s="93"/>
      <c r="V332" s="93"/>
      <c r="W332" s="93"/>
      <c r="X332" s="93" t="str">
        <f>IF($B332="Yes",COUNTIF(Reference!P$52:P$67,$K332),"")</f>
        <v/>
      </c>
      <c r="Y332" s="93" t="str">
        <f>IF($B332="Yes",COUNTIF(Reference!Q$52:Q$67,$K332),"")</f>
        <v/>
      </c>
      <c r="Z332" s="93" t="str">
        <f>IF($B332="Yes",COUNTIF(Reference!R$52:R$67,$K332),"")</f>
        <v/>
      </c>
      <c r="AA332" s="93" t="str">
        <f>IF($B332="Yes",COUNTIF(Reference!S$52:S$67,$K332),"")</f>
        <v/>
      </c>
      <c r="AB332" s="93" t="str">
        <f>IF($B332="Yes",COUNTIF(Reference!T$52:T$67,$K332),"")</f>
        <v/>
      </c>
      <c r="AC332" s="93" t="str">
        <f t="shared" si="17"/>
        <v/>
      </c>
    </row>
    <row r="333" spans="1:29" x14ac:dyDescent="0.25">
      <c r="A333" s="95">
        <v>423</v>
      </c>
      <c r="B333" s="95" t="str">
        <f t="shared" si="15"/>
        <v>No</v>
      </c>
      <c r="H333" s="95" t="str">
        <f t="shared" si="16"/>
        <v/>
      </c>
      <c r="I333" s="111"/>
      <c r="J333" s="112"/>
      <c r="K333" s="112"/>
      <c r="L333" s="112"/>
      <c r="M333" s="112"/>
      <c r="N333" s="112"/>
      <c r="O333" s="112"/>
      <c r="P333" s="112"/>
      <c r="Q333" s="112"/>
      <c r="R333" s="112"/>
      <c r="S333" s="111"/>
      <c r="T333" s="93"/>
      <c r="U333" s="93"/>
      <c r="V333" s="93"/>
      <c r="W333" s="93"/>
      <c r="X333" s="93" t="str">
        <f>IF($B333="Yes",COUNTIF(Reference!P$52:P$67,$K333),"")</f>
        <v/>
      </c>
      <c r="Y333" s="93" t="str">
        <f>IF($B333="Yes",COUNTIF(Reference!Q$52:Q$67,$K333),"")</f>
        <v/>
      </c>
      <c r="Z333" s="93" t="str">
        <f>IF($B333="Yes",COUNTIF(Reference!R$52:R$67,$K333),"")</f>
        <v/>
      </c>
      <c r="AA333" s="93" t="str">
        <f>IF($B333="Yes",COUNTIF(Reference!S$52:S$67,$K333),"")</f>
        <v/>
      </c>
      <c r="AB333" s="93" t="str">
        <f>IF($B333="Yes",COUNTIF(Reference!T$52:T$67,$K333),"")</f>
        <v/>
      </c>
      <c r="AC333" s="93" t="str">
        <f t="shared" si="17"/>
        <v/>
      </c>
    </row>
    <row r="334" spans="1:29" x14ac:dyDescent="0.25">
      <c r="A334" s="95">
        <v>424</v>
      </c>
      <c r="B334" s="95" t="str">
        <f t="shared" si="15"/>
        <v>No</v>
      </c>
      <c r="H334" s="95" t="str">
        <f t="shared" si="16"/>
        <v/>
      </c>
      <c r="I334" s="111"/>
      <c r="J334" s="112"/>
      <c r="K334" s="112"/>
      <c r="L334" s="112"/>
      <c r="M334" s="112"/>
      <c r="N334" s="112"/>
      <c r="O334" s="112"/>
      <c r="P334" s="112"/>
      <c r="Q334" s="112"/>
      <c r="R334" s="112"/>
      <c r="S334" s="111"/>
      <c r="T334" s="93"/>
      <c r="U334" s="93"/>
      <c r="V334" s="93"/>
      <c r="W334" s="93"/>
      <c r="X334" s="93" t="str">
        <f>IF($B334="Yes",COUNTIF(Reference!P$52:P$67,$K334),"")</f>
        <v/>
      </c>
      <c r="Y334" s="93" t="str">
        <f>IF($B334="Yes",COUNTIF(Reference!Q$52:Q$67,$K334),"")</f>
        <v/>
      </c>
      <c r="Z334" s="93" t="str">
        <f>IF($B334="Yes",COUNTIF(Reference!R$52:R$67,$K334),"")</f>
        <v/>
      </c>
      <c r="AA334" s="93" t="str">
        <f>IF($B334="Yes",COUNTIF(Reference!S$52:S$67,$K334),"")</f>
        <v/>
      </c>
      <c r="AB334" s="93" t="str">
        <f>IF($B334="Yes",COUNTIF(Reference!T$52:T$67,$K334),"")</f>
        <v/>
      </c>
      <c r="AC334" s="93" t="str">
        <f t="shared" si="17"/>
        <v/>
      </c>
    </row>
    <row r="335" spans="1:29" x14ac:dyDescent="0.25">
      <c r="A335" s="95">
        <v>425</v>
      </c>
      <c r="B335" s="95" t="str">
        <f t="shared" si="15"/>
        <v>No</v>
      </c>
      <c r="H335" s="95" t="str">
        <f t="shared" si="16"/>
        <v/>
      </c>
      <c r="I335" s="111"/>
      <c r="J335" s="112"/>
      <c r="K335" s="112"/>
      <c r="L335" s="112"/>
      <c r="M335" s="112"/>
      <c r="N335" s="112"/>
      <c r="O335" s="112"/>
      <c r="P335" s="112"/>
      <c r="Q335" s="112"/>
      <c r="R335" s="112"/>
      <c r="S335" s="111"/>
      <c r="T335" s="93"/>
      <c r="U335" s="93"/>
      <c r="V335" s="93"/>
      <c r="W335" s="93"/>
      <c r="X335" s="93" t="str">
        <f>IF($B335="Yes",COUNTIF(Reference!P$52:P$67,$K335),"")</f>
        <v/>
      </c>
      <c r="Y335" s="93" t="str">
        <f>IF($B335="Yes",COUNTIF(Reference!Q$52:Q$67,$K335),"")</f>
        <v/>
      </c>
      <c r="Z335" s="93" t="str">
        <f>IF($B335="Yes",COUNTIF(Reference!R$52:R$67,$K335),"")</f>
        <v/>
      </c>
      <c r="AA335" s="93" t="str">
        <f>IF($B335="Yes",COUNTIF(Reference!S$52:S$67,$K335),"")</f>
        <v/>
      </c>
      <c r="AB335" s="93" t="str">
        <f>IF($B335="Yes",COUNTIF(Reference!T$52:T$67,$K335),"")</f>
        <v/>
      </c>
      <c r="AC335" s="93" t="str">
        <f t="shared" si="17"/>
        <v/>
      </c>
    </row>
    <row r="336" spans="1:29" x14ac:dyDescent="0.25">
      <c r="A336" s="95">
        <v>426</v>
      </c>
      <c r="B336" s="95" t="str">
        <f t="shared" si="15"/>
        <v>No</v>
      </c>
      <c r="H336" s="95" t="str">
        <f t="shared" si="16"/>
        <v/>
      </c>
      <c r="I336" s="111"/>
      <c r="J336" s="112"/>
      <c r="K336" s="112"/>
      <c r="L336" s="112"/>
      <c r="M336" s="112"/>
      <c r="N336" s="112"/>
      <c r="O336" s="112"/>
      <c r="P336" s="112"/>
      <c r="Q336" s="112"/>
      <c r="R336" s="112"/>
      <c r="S336" s="111"/>
      <c r="T336" s="93"/>
      <c r="U336" s="93"/>
      <c r="V336" s="93"/>
      <c r="W336" s="93"/>
      <c r="X336" s="93" t="str">
        <f>IF($B336="Yes",COUNTIF(Reference!P$52:P$67,$K336),"")</f>
        <v/>
      </c>
      <c r="Y336" s="93" t="str">
        <f>IF($B336="Yes",COUNTIF(Reference!Q$52:Q$67,$K336),"")</f>
        <v/>
      </c>
      <c r="Z336" s="93" t="str">
        <f>IF($B336="Yes",COUNTIF(Reference!R$52:R$67,$K336),"")</f>
        <v/>
      </c>
      <c r="AA336" s="93" t="str">
        <f>IF($B336="Yes",COUNTIF(Reference!S$52:S$67,$K336),"")</f>
        <v/>
      </c>
      <c r="AB336" s="93" t="str">
        <f>IF($B336="Yes",COUNTIF(Reference!T$52:T$67,$K336),"")</f>
        <v/>
      </c>
      <c r="AC336" s="93" t="str">
        <f t="shared" si="17"/>
        <v/>
      </c>
    </row>
    <row r="337" spans="1:29" x14ac:dyDescent="0.25">
      <c r="A337" s="95">
        <v>427</v>
      </c>
      <c r="B337" s="95" t="str">
        <f t="shared" si="15"/>
        <v>No</v>
      </c>
      <c r="H337" s="95" t="str">
        <f t="shared" si="16"/>
        <v/>
      </c>
      <c r="I337" s="111"/>
      <c r="J337" s="112"/>
      <c r="K337" s="112"/>
      <c r="L337" s="112"/>
      <c r="M337" s="112"/>
      <c r="N337" s="112"/>
      <c r="O337" s="112"/>
      <c r="P337" s="112"/>
      <c r="Q337" s="112"/>
      <c r="R337" s="112"/>
      <c r="S337" s="111"/>
      <c r="T337" s="93"/>
      <c r="U337" s="93"/>
      <c r="V337" s="93"/>
      <c r="W337" s="93"/>
      <c r="X337" s="93" t="str">
        <f>IF($B337="Yes",COUNTIF(Reference!P$52:P$67,$K337),"")</f>
        <v/>
      </c>
      <c r="Y337" s="93" t="str">
        <f>IF($B337="Yes",COUNTIF(Reference!Q$52:Q$67,$K337),"")</f>
        <v/>
      </c>
      <c r="Z337" s="93" t="str">
        <f>IF($B337="Yes",COUNTIF(Reference!R$52:R$67,$K337),"")</f>
        <v/>
      </c>
      <c r="AA337" s="93" t="str">
        <f>IF($B337="Yes",COUNTIF(Reference!S$52:S$67,$K337),"")</f>
        <v/>
      </c>
      <c r="AB337" s="93" t="str">
        <f>IF($B337="Yes",COUNTIF(Reference!T$52:T$67,$K337),"")</f>
        <v/>
      </c>
      <c r="AC337" s="93" t="str">
        <f t="shared" si="17"/>
        <v/>
      </c>
    </row>
    <row r="338" spans="1:29" x14ac:dyDescent="0.25">
      <c r="A338" s="95">
        <v>428</v>
      </c>
      <c r="B338" s="95" t="str">
        <f t="shared" si="15"/>
        <v>No</v>
      </c>
      <c r="H338" s="95" t="str">
        <f t="shared" si="16"/>
        <v/>
      </c>
      <c r="I338" s="111"/>
      <c r="J338" s="112"/>
      <c r="K338" s="112"/>
      <c r="L338" s="112"/>
      <c r="M338" s="112"/>
      <c r="N338" s="112"/>
      <c r="O338" s="112"/>
      <c r="P338" s="112"/>
      <c r="Q338" s="112"/>
      <c r="R338" s="112"/>
      <c r="S338" s="111"/>
      <c r="T338" s="93"/>
      <c r="U338" s="93"/>
      <c r="V338" s="93"/>
      <c r="W338" s="93"/>
      <c r="X338" s="93" t="str">
        <f>IF($B338="Yes",COUNTIF(Reference!P$52:P$67,$K338),"")</f>
        <v/>
      </c>
      <c r="Y338" s="93" t="str">
        <f>IF($B338="Yes",COUNTIF(Reference!Q$52:Q$67,$K338),"")</f>
        <v/>
      </c>
      <c r="Z338" s="93" t="str">
        <f>IF($B338="Yes",COUNTIF(Reference!R$52:R$67,$K338),"")</f>
        <v/>
      </c>
      <c r="AA338" s="93" t="str">
        <f>IF($B338="Yes",COUNTIF(Reference!S$52:S$67,$K338),"")</f>
        <v/>
      </c>
      <c r="AB338" s="93" t="str">
        <f>IF($B338="Yes",COUNTIF(Reference!T$52:T$67,$K338),"")</f>
        <v/>
      </c>
      <c r="AC338" s="93" t="str">
        <f t="shared" si="17"/>
        <v/>
      </c>
    </row>
    <row r="339" spans="1:29" x14ac:dyDescent="0.25">
      <c r="A339" s="95">
        <v>429</v>
      </c>
      <c r="B339" s="95" t="str">
        <f t="shared" si="15"/>
        <v>No</v>
      </c>
      <c r="H339" s="95" t="str">
        <f t="shared" si="16"/>
        <v/>
      </c>
      <c r="I339" s="111"/>
      <c r="J339" s="112"/>
      <c r="K339" s="112"/>
      <c r="L339" s="112"/>
      <c r="M339" s="112"/>
      <c r="N339" s="112"/>
      <c r="O339" s="112"/>
      <c r="P339" s="112"/>
      <c r="Q339" s="112"/>
      <c r="R339" s="112"/>
      <c r="S339" s="111"/>
      <c r="T339" s="93"/>
      <c r="U339" s="93"/>
      <c r="V339" s="93"/>
      <c r="W339" s="93"/>
      <c r="X339" s="93" t="str">
        <f>IF($B339="Yes",COUNTIF(Reference!P$52:P$67,$K339),"")</f>
        <v/>
      </c>
      <c r="Y339" s="93" t="str">
        <f>IF($B339="Yes",COUNTIF(Reference!Q$52:Q$67,$K339),"")</f>
        <v/>
      </c>
      <c r="Z339" s="93" t="str">
        <f>IF($B339="Yes",COUNTIF(Reference!R$52:R$67,$K339),"")</f>
        <v/>
      </c>
      <c r="AA339" s="93" t="str">
        <f>IF($B339="Yes",COUNTIF(Reference!S$52:S$67,$K339),"")</f>
        <v/>
      </c>
      <c r="AB339" s="93" t="str">
        <f>IF($B339="Yes",COUNTIF(Reference!T$52:T$67,$K339),"")</f>
        <v/>
      </c>
      <c r="AC339" s="93" t="str">
        <f t="shared" si="17"/>
        <v/>
      </c>
    </row>
    <row r="340" spans="1:29" x14ac:dyDescent="0.25">
      <c r="A340" s="95">
        <v>430</v>
      </c>
      <c r="B340" s="95" t="str">
        <f t="shared" si="15"/>
        <v>No</v>
      </c>
      <c r="H340" s="95" t="str">
        <f t="shared" si="16"/>
        <v/>
      </c>
      <c r="I340" s="111"/>
      <c r="J340" s="112"/>
      <c r="K340" s="112"/>
      <c r="L340" s="112"/>
      <c r="M340" s="112"/>
      <c r="N340" s="112"/>
      <c r="O340" s="112"/>
      <c r="P340" s="112"/>
      <c r="Q340" s="112"/>
      <c r="R340" s="112"/>
      <c r="S340" s="111"/>
      <c r="T340" s="93"/>
      <c r="U340" s="93"/>
      <c r="V340" s="93"/>
      <c r="W340" s="93"/>
      <c r="X340" s="93" t="str">
        <f>IF($B340="Yes",COUNTIF(Reference!P$52:P$67,$K340),"")</f>
        <v/>
      </c>
      <c r="Y340" s="93" t="str">
        <f>IF($B340="Yes",COUNTIF(Reference!Q$52:Q$67,$K340),"")</f>
        <v/>
      </c>
      <c r="Z340" s="93" t="str">
        <f>IF($B340="Yes",COUNTIF(Reference!R$52:R$67,$K340),"")</f>
        <v/>
      </c>
      <c r="AA340" s="93" t="str">
        <f>IF($B340="Yes",COUNTIF(Reference!S$52:S$67,$K340),"")</f>
        <v/>
      </c>
      <c r="AB340" s="93" t="str">
        <f>IF($B340="Yes",COUNTIF(Reference!T$52:T$67,$K340),"")</f>
        <v/>
      </c>
      <c r="AC340" s="93" t="str">
        <f t="shared" si="17"/>
        <v/>
      </c>
    </row>
    <row r="341" spans="1:29" x14ac:dyDescent="0.25">
      <c r="A341" s="95">
        <v>431</v>
      </c>
      <c r="B341" s="95" t="str">
        <f t="shared" si="15"/>
        <v>No</v>
      </c>
      <c r="H341" s="95" t="str">
        <f t="shared" si="16"/>
        <v/>
      </c>
      <c r="I341" s="111"/>
      <c r="J341" s="112"/>
      <c r="K341" s="112"/>
      <c r="L341" s="112"/>
      <c r="M341" s="112"/>
      <c r="N341" s="112"/>
      <c r="O341" s="112"/>
      <c r="P341" s="112"/>
      <c r="Q341" s="112"/>
      <c r="R341" s="112"/>
      <c r="S341" s="111"/>
      <c r="T341" s="93"/>
      <c r="U341" s="93"/>
      <c r="V341" s="93"/>
      <c r="W341" s="93"/>
      <c r="X341" s="93" t="str">
        <f>IF($B341="Yes",COUNTIF(Reference!P$52:P$67,$K341),"")</f>
        <v/>
      </c>
      <c r="Y341" s="93" t="str">
        <f>IF($B341="Yes",COUNTIF(Reference!Q$52:Q$67,$K341),"")</f>
        <v/>
      </c>
      <c r="Z341" s="93" t="str">
        <f>IF($B341="Yes",COUNTIF(Reference!R$52:R$67,$K341),"")</f>
        <v/>
      </c>
      <c r="AA341" s="93" t="str">
        <f>IF($B341="Yes",COUNTIF(Reference!S$52:S$67,$K341),"")</f>
        <v/>
      </c>
      <c r="AB341" s="93" t="str">
        <f>IF($B341="Yes",COUNTIF(Reference!T$52:T$67,$K341),"")</f>
        <v/>
      </c>
      <c r="AC341" s="93" t="str">
        <f t="shared" si="17"/>
        <v/>
      </c>
    </row>
    <row r="342" spans="1:29" x14ac:dyDescent="0.25">
      <c r="A342" s="95">
        <v>432</v>
      </c>
      <c r="B342" s="95" t="str">
        <f t="shared" si="15"/>
        <v>No</v>
      </c>
      <c r="H342" s="95" t="str">
        <f t="shared" si="16"/>
        <v/>
      </c>
      <c r="I342" s="111"/>
      <c r="J342" s="112"/>
      <c r="K342" s="112"/>
      <c r="L342" s="112"/>
      <c r="M342" s="112"/>
      <c r="N342" s="112"/>
      <c r="O342" s="112"/>
      <c r="P342" s="112"/>
      <c r="Q342" s="112"/>
      <c r="R342" s="112"/>
      <c r="S342" s="111"/>
      <c r="T342" s="93"/>
      <c r="U342" s="93"/>
      <c r="V342" s="93"/>
      <c r="W342" s="93"/>
      <c r="X342" s="93" t="str">
        <f>IF($B342="Yes",COUNTIF(Reference!P$52:P$67,$K342),"")</f>
        <v/>
      </c>
      <c r="Y342" s="93" t="str">
        <f>IF($B342="Yes",COUNTIF(Reference!Q$52:Q$67,$K342),"")</f>
        <v/>
      </c>
      <c r="Z342" s="93" t="str">
        <f>IF($B342="Yes",COUNTIF(Reference!R$52:R$67,$K342),"")</f>
        <v/>
      </c>
      <c r="AA342" s="93" t="str">
        <f>IF($B342="Yes",COUNTIF(Reference!S$52:S$67,$K342),"")</f>
        <v/>
      </c>
      <c r="AB342" s="93" t="str">
        <f>IF($B342="Yes",COUNTIF(Reference!T$52:T$67,$K342),"")</f>
        <v/>
      </c>
      <c r="AC342" s="93" t="str">
        <f t="shared" si="17"/>
        <v/>
      </c>
    </row>
    <row r="343" spans="1:29" x14ac:dyDescent="0.25">
      <c r="A343" s="95">
        <v>433</v>
      </c>
      <c r="B343" s="95" t="str">
        <f t="shared" si="15"/>
        <v>No</v>
      </c>
      <c r="H343" s="95" t="str">
        <f t="shared" si="16"/>
        <v/>
      </c>
      <c r="I343" s="111"/>
      <c r="J343" s="112"/>
      <c r="K343" s="112"/>
      <c r="L343" s="112"/>
      <c r="M343" s="112"/>
      <c r="N343" s="112"/>
      <c r="O343" s="112"/>
      <c r="P343" s="112"/>
      <c r="Q343" s="112"/>
      <c r="R343" s="112"/>
      <c r="S343" s="111"/>
      <c r="T343" s="93"/>
      <c r="U343" s="93"/>
      <c r="V343" s="93"/>
      <c r="W343" s="93"/>
      <c r="X343" s="93" t="str">
        <f>IF($B343="Yes",COUNTIF(Reference!P$52:P$67,$K343),"")</f>
        <v/>
      </c>
      <c r="Y343" s="93" t="str">
        <f>IF($B343="Yes",COUNTIF(Reference!Q$52:Q$67,$K343),"")</f>
        <v/>
      </c>
      <c r="Z343" s="93" t="str">
        <f>IF($B343="Yes",COUNTIF(Reference!R$52:R$67,$K343),"")</f>
        <v/>
      </c>
      <c r="AA343" s="93" t="str">
        <f>IF($B343="Yes",COUNTIF(Reference!S$52:S$67,$K343),"")</f>
        <v/>
      </c>
      <c r="AB343" s="93" t="str">
        <f>IF($B343="Yes",COUNTIF(Reference!T$52:T$67,$K343),"")</f>
        <v/>
      </c>
      <c r="AC343" s="93" t="str">
        <f t="shared" si="17"/>
        <v/>
      </c>
    </row>
    <row r="344" spans="1:29" x14ac:dyDescent="0.25">
      <c r="A344" s="95">
        <v>434</v>
      </c>
      <c r="B344" s="95" t="str">
        <f t="shared" si="15"/>
        <v>No</v>
      </c>
      <c r="H344" s="95" t="str">
        <f t="shared" si="16"/>
        <v/>
      </c>
      <c r="I344" s="111"/>
      <c r="J344" s="112"/>
      <c r="K344" s="112"/>
      <c r="L344" s="112"/>
      <c r="M344" s="112"/>
      <c r="N344" s="112"/>
      <c r="O344" s="112"/>
      <c r="P344" s="112"/>
      <c r="Q344" s="112"/>
      <c r="R344" s="112"/>
      <c r="S344" s="111"/>
      <c r="T344" s="93"/>
      <c r="U344" s="93"/>
      <c r="V344" s="93"/>
      <c r="W344" s="93"/>
      <c r="X344" s="93" t="str">
        <f>IF($B344="Yes",COUNTIF(Reference!P$52:P$67,$K344),"")</f>
        <v/>
      </c>
      <c r="Y344" s="93" t="str">
        <f>IF($B344="Yes",COUNTIF(Reference!Q$52:Q$67,$K344),"")</f>
        <v/>
      </c>
      <c r="Z344" s="93" t="str">
        <f>IF($B344="Yes",COUNTIF(Reference!R$52:R$67,$K344),"")</f>
        <v/>
      </c>
      <c r="AA344" s="93" t="str">
        <f>IF($B344="Yes",COUNTIF(Reference!S$52:S$67,$K344),"")</f>
        <v/>
      </c>
      <c r="AB344" s="93" t="str">
        <f>IF($B344="Yes",COUNTIF(Reference!T$52:T$67,$K344),"")</f>
        <v/>
      </c>
      <c r="AC344" s="93" t="str">
        <f t="shared" si="17"/>
        <v/>
      </c>
    </row>
    <row r="345" spans="1:29" x14ac:dyDescent="0.25">
      <c r="A345" s="95">
        <v>435</v>
      </c>
      <c r="B345" s="95" t="str">
        <f t="shared" si="15"/>
        <v>No</v>
      </c>
      <c r="H345" s="95" t="str">
        <f t="shared" si="16"/>
        <v/>
      </c>
      <c r="I345" s="111"/>
      <c r="J345" s="112"/>
      <c r="K345" s="112"/>
      <c r="L345" s="112"/>
      <c r="M345" s="112"/>
      <c r="N345" s="112"/>
      <c r="O345" s="112"/>
      <c r="P345" s="112"/>
      <c r="Q345" s="112"/>
      <c r="R345" s="112"/>
      <c r="S345" s="111"/>
      <c r="T345" s="93"/>
      <c r="U345" s="93"/>
      <c r="V345" s="93"/>
      <c r="W345" s="93"/>
      <c r="X345" s="93" t="str">
        <f>IF($B345="Yes",COUNTIF(Reference!P$52:P$67,$K345),"")</f>
        <v/>
      </c>
      <c r="Y345" s="93" t="str">
        <f>IF($B345="Yes",COUNTIF(Reference!Q$52:Q$67,$K345),"")</f>
        <v/>
      </c>
      <c r="Z345" s="93" t="str">
        <f>IF($B345="Yes",COUNTIF(Reference!R$52:R$67,$K345),"")</f>
        <v/>
      </c>
      <c r="AA345" s="93" t="str">
        <f>IF($B345="Yes",COUNTIF(Reference!S$52:S$67,$K345),"")</f>
        <v/>
      </c>
      <c r="AB345" s="93" t="str">
        <f>IF($B345="Yes",COUNTIF(Reference!T$52:T$67,$K345),"")</f>
        <v/>
      </c>
      <c r="AC345" s="93" t="str">
        <f t="shared" si="17"/>
        <v/>
      </c>
    </row>
    <row r="346" spans="1:29" x14ac:dyDescent="0.25">
      <c r="A346" s="95">
        <v>436</v>
      </c>
      <c r="B346" s="95" t="str">
        <f t="shared" si="15"/>
        <v>No</v>
      </c>
      <c r="H346" s="95" t="str">
        <f t="shared" si="16"/>
        <v/>
      </c>
      <c r="I346" s="111"/>
      <c r="J346" s="112"/>
      <c r="K346" s="112"/>
      <c r="L346" s="112"/>
      <c r="M346" s="112"/>
      <c r="N346" s="112"/>
      <c r="O346" s="112"/>
      <c r="P346" s="112"/>
      <c r="Q346" s="112"/>
      <c r="R346" s="112"/>
      <c r="S346" s="111"/>
      <c r="T346" s="93"/>
      <c r="U346" s="93"/>
      <c r="V346" s="93"/>
      <c r="W346" s="93"/>
      <c r="X346" s="93" t="str">
        <f>IF($B346="Yes",COUNTIF(Reference!P$52:P$67,$K346),"")</f>
        <v/>
      </c>
      <c r="Y346" s="93" t="str">
        <f>IF($B346="Yes",COUNTIF(Reference!Q$52:Q$67,$K346),"")</f>
        <v/>
      </c>
      <c r="Z346" s="93" t="str">
        <f>IF($B346="Yes",COUNTIF(Reference!R$52:R$67,$K346),"")</f>
        <v/>
      </c>
      <c r="AA346" s="93" t="str">
        <f>IF($B346="Yes",COUNTIF(Reference!S$52:S$67,$K346),"")</f>
        <v/>
      </c>
      <c r="AB346" s="93" t="str">
        <f>IF($B346="Yes",COUNTIF(Reference!T$52:T$67,$K346),"")</f>
        <v/>
      </c>
      <c r="AC346" s="93" t="str">
        <f t="shared" si="17"/>
        <v/>
      </c>
    </row>
    <row r="347" spans="1:29" x14ac:dyDescent="0.25">
      <c r="A347" s="95">
        <v>437</v>
      </c>
      <c r="B347" s="95" t="str">
        <f t="shared" si="15"/>
        <v>No</v>
      </c>
      <c r="H347" s="95" t="str">
        <f t="shared" si="16"/>
        <v/>
      </c>
      <c r="I347" s="111"/>
      <c r="J347" s="112"/>
      <c r="K347" s="112"/>
      <c r="L347" s="112"/>
      <c r="M347" s="112"/>
      <c r="N347" s="112"/>
      <c r="O347" s="112"/>
      <c r="P347" s="112"/>
      <c r="Q347" s="112"/>
      <c r="R347" s="112"/>
      <c r="S347" s="111"/>
      <c r="T347" s="93"/>
      <c r="U347" s="93"/>
      <c r="V347" s="93"/>
      <c r="W347" s="93"/>
      <c r="X347" s="93" t="str">
        <f>IF($B347="Yes",COUNTIF(Reference!P$52:P$67,$K347),"")</f>
        <v/>
      </c>
      <c r="Y347" s="93" t="str">
        <f>IF($B347="Yes",COUNTIF(Reference!Q$52:Q$67,$K347),"")</f>
        <v/>
      </c>
      <c r="Z347" s="93" t="str">
        <f>IF($B347="Yes",COUNTIF(Reference!R$52:R$67,$K347),"")</f>
        <v/>
      </c>
      <c r="AA347" s="93" t="str">
        <f>IF($B347="Yes",COUNTIF(Reference!S$52:S$67,$K347),"")</f>
        <v/>
      </c>
      <c r="AB347" s="93" t="str">
        <f>IF($B347="Yes",COUNTIF(Reference!T$52:T$67,$K347),"")</f>
        <v/>
      </c>
      <c r="AC347" s="93" t="str">
        <f t="shared" si="17"/>
        <v/>
      </c>
    </row>
    <row r="348" spans="1:29" x14ac:dyDescent="0.25">
      <c r="A348" s="95">
        <v>438</v>
      </c>
      <c r="B348" s="95" t="str">
        <f t="shared" si="15"/>
        <v>No</v>
      </c>
      <c r="H348" s="95" t="str">
        <f t="shared" si="16"/>
        <v/>
      </c>
      <c r="I348" s="111"/>
      <c r="J348" s="112"/>
      <c r="K348" s="112"/>
      <c r="L348" s="112"/>
      <c r="M348" s="112"/>
      <c r="N348" s="112"/>
      <c r="O348" s="112"/>
      <c r="P348" s="112"/>
      <c r="Q348" s="112"/>
      <c r="R348" s="112"/>
      <c r="S348" s="111"/>
      <c r="T348" s="93"/>
      <c r="U348" s="93"/>
      <c r="V348" s="93"/>
      <c r="W348" s="93"/>
      <c r="X348" s="93" t="str">
        <f>IF($B348="Yes",COUNTIF(Reference!P$52:P$67,$K348),"")</f>
        <v/>
      </c>
      <c r="Y348" s="93" t="str">
        <f>IF($B348="Yes",COUNTIF(Reference!Q$52:Q$67,$K348),"")</f>
        <v/>
      </c>
      <c r="Z348" s="93" t="str">
        <f>IF($B348="Yes",COUNTIF(Reference!R$52:R$67,$K348),"")</f>
        <v/>
      </c>
      <c r="AA348" s="93" t="str">
        <f>IF($B348="Yes",COUNTIF(Reference!S$52:S$67,$K348),"")</f>
        <v/>
      </c>
      <c r="AB348" s="93" t="str">
        <f>IF($B348="Yes",COUNTIF(Reference!T$52:T$67,$K348),"")</f>
        <v/>
      </c>
      <c r="AC348" s="93" t="str">
        <f t="shared" si="17"/>
        <v/>
      </c>
    </row>
    <row r="349" spans="1:29" x14ac:dyDescent="0.25">
      <c r="A349" s="95">
        <v>439</v>
      </c>
      <c r="B349" s="95" t="str">
        <f t="shared" si="15"/>
        <v>No</v>
      </c>
      <c r="H349" s="95" t="str">
        <f t="shared" si="16"/>
        <v/>
      </c>
      <c r="I349" s="111"/>
      <c r="J349" s="112"/>
      <c r="K349" s="112"/>
      <c r="L349" s="112"/>
      <c r="M349" s="112"/>
      <c r="N349" s="112"/>
      <c r="O349" s="112"/>
      <c r="P349" s="112"/>
      <c r="Q349" s="112"/>
      <c r="R349" s="112"/>
      <c r="S349" s="111"/>
      <c r="T349" s="93"/>
      <c r="U349" s="93"/>
      <c r="V349" s="93"/>
      <c r="W349" s="93"/>
      <c r="X349" s="93" t="str">
        <f>IF($B349="Yes",COUNTIF(Reference!P$52:P$67,$K349),"")</f>
        <v/>
      </c>
      <c r="Y349" s="93" t="str">
        <f>IF($B349="Yes",COUNTIF(Reference!Q$52:Q$67,$K349),"")</f>
        <v/>
      </c>
      <c r="Z349" s="93" t="str">
        <f>IF($B349="Yes",COUNTIF(Reference!R$52:R$67,$K349),"")</f>
        <v/>
      </c>
      <c r="AA349" s="93" t="str">
        <f>IF($B349="Yes",COUNTIF(Reference!S$52:S$67,$K349),"")</f>
        <v/>
      </c>
      <c r="AB349" s="93" t="str">
        <f>IF($B349="Yes",COUNTIF(Reference!T$52:T$67,$K349),"")</f>
        <v/>
      </c>
      <c r="AC349" s="93" t="str">
        <f t="shared" si="17"/>
        <v/>
      </c>
    </row>
    <row r="350" spans="1:29" x14ac:dyDescent="0.25">
      <c r="A350" s="95">
        <v>440</v>
      </c>
      <c r="B350" s="95" t="str">
        <f t="shared" si="15"/>
        <v>No</v>
      </c>
      <c r="H350" s="95" t="str">
        <f t="shared" si="16"/>
        <v/>
      </c>
      <c r="I350" s="111"/>
      <c r="J350" s="112"/>
      <c r="K350" s="112"/>
      <c r="L350" s="112"/>
      <c r="M350" s="112"/>
      <c r="N350" s="112"/>
      <c r="O350" s="112"/>
      <c r="P350" s="112"/>
      <c r="Q350" s="112"/>
      <c r="R350" s="112"/>
      <c r="S350" s="111"/>
      <c r="T350" s="93"/>
      <c r="U350" s="93"/>
      <c r="V350" s="93"/>
      <c r="W350" s="93"/>
      <c r="X350" s="93" t="str">
        <f>IF($B350="Yes",COUNTIF(Reference!P$52:P$67,$K350),"")</f>
        <v/>
      </c>
      <c r="Y350" s="93" t="str">
        <f>IF($B350="Yes",COUNTIF(Reference!Q$52:Q$67,$K350),"")</f>
        <v/>
      </c>
      <c r="Z350" s="93" t="str">
        <f>IF($B350="Yes",COUNTIF(Reference!R$52:R$67,$K350),"")</f>
        <v/>
      </c>
      <c r="AA350" s="93" t="str">
        <f>IF($B350="Yes",COUNTIF(Reference!S$52:S$67,$K350),"")</f>
        <v/>
      </c>
      <c r="AB350" s="93" t="str">
        <f>IF($B350="Yes",COUNTIF(Reference!T$52:T$67,$K350),"")</f>
        <v/>
      </c>
      <c r="AC350" s="93" t="str">
        <f t="shared" si="17"/>
        <v/>
      </c>
    </row>
    <row r="351" spans="1:29" x14ac:dyDescent="0.25">
      <c r="A351" s="95">
        <v>441</v>
      </c>
      <c r="B351" s="95" t="str">
        <f t="shared" si="15"/>
        <v>No</v>
      </c>
      <c r="H351" s="95" t="str">
        <f t="shared" si="16"/>
        <v/>
      </c>
      <c r="I351" s="111"/>
      <c r="J351" s="112"/>
      <c r="K351" s="112"/>
      <c r="L351" s="112"/>
      <c r="M351" s="112"/>
      <c r="N351" s="112"/>
      <c r="O351" s="112"/>
      <c r="P351" s="112"/>
      <c r="Q351" s="112"/>
      <c r="R351" s="112"/>
      <c r="S351" s="111"/>
      <c r="T351" s="93"/>
      <c r="U351" s="93"/>
      <c r="V351" s="93"/>
      <c r="W351" s="93"/>
      <c r="X351" s="93" t="str">
        <f>IF($B351="Yes",COUNTIF(Reference!P$52:P$67,$K351),"")</f>
        <v/>
      </c>
      <c r="Y351" s="93" t="str">
        <f>IF($B351="Yes",COUNTIF(Reference!Q$52:Q$67,$K351),"")</f>
        <v/>
      </c>
      <c r="Z351" s="93" t="str">
        <f>IF($B351="Yes",COUNTIF(Reference!R$52:R$67,$K351),"")</f>
        <v/>
      </c>
      <c r="AA351" s="93" t="str">
        <f>IF($B351="Yes",COUNTIF(Reference!S$52:S$67,$K351),"")</f>
        <v/>
      </c>
      <c r="AB351" s="93" t="str">
        <f>IF($B351="Yes",COUNTIF(Reference!T$52:T$67,$K351),"")</f>
        <v/>
      </c>
      <c r="AC351" s="93" t="str">
        <f t="shared" si="17"/>
        <v/>
      </c>
    </row>
    <row r="352" spans="1:29" x14ac:dyDescent="0.25">
      <c r="A352" s="95">
        <v>442</v>
      </c>
      <c r="B352" s="95" t="str">
        <f t="shared" si="15"/>
        <v>No</v>
      </c>
      <c r="H352" s="95" t="str">
        <f t="shared" si="16"/>
        <v/>
      </c>
      <c r="I352" s="111"/>
      <c r="J352" s="112"/>
      <c r="K352" s="112"/>
      <c r="L352" s="112"/>
      <c r="M352" s="112"/>
      <c r="N352" s="112"/>
      <c r="O352" s="112"/>
      <c r="P352" s="112"/>
      <c r="Q352" s="112"/>
      <c r="R352" s="112"/>
      <c r="S352" s="111"/>
      <c r="T352" s="93"/>
      <c r="U352" s="93"/>
      <c r="V352" s="93"/>
      <c r="W352" s="93"/>
      <c r="X352" s="93" t="str">
        <f>IF($B352="Yes",COUNTIF(Reference!P$52:P$67,$K352),"")</f>
        <v/>
      </c>
      <c r="Y352" s="93" t="str">
        <f>IF($B352="Yes",COUNTIF(Reference!Q$52:Q$67,$K352),"")</f>
        <v/>
      </c>
      <c r="Z352" s="93" t="str">
        <f>IF($B352="Yes",COUNTIF(Reference!R$52:R$67,$K352),"")</f>
        <v/>
      </c>
      <c r="AA352" s="93" t="str">
        <f>IF($B352="Yes",COUNTIF(Reference!S$52:S$67,$K352),"")</f>
        <v/>
      </c>
      <c r="AB352" s="93" t="str">
        <f>IF($B352="Yes",COUNTIF(Reference!T$52:T$67,$K352),"")</f>
        <v/>
      </c>
      <c r="AC352" s="93" t="str">
        <f t="shared" si="17"/>
        <v/>
      </c>
    </row>
    <row r="353" spans="1:29" x14ac:dyDescent="0.25">
      <c r="A353" s="95">
        <v>443</v>
      </c>
      <c r="B353" s="95" t="str">
        <f t="shared" si="15"/>
        <v>No</v>
      </c>
      <c r="H353" s="95" t="str">
        <f t="shared" si="16"/>
        <v/>
      </c>
      <c r="I353" s="111"/>
      <c r="J353" s="112"/>
      <c r="K353" s="112"/>
      <c r="L353" s="112"/>
      <c r="M353" s="112"/>
      <c r="N353" s="112"/>
      <c r="O353" s="112"/>
      <c r="P353" s="112"/>
      <c r="Q353" s="112"/>
      <c r="R353" s="112"/>
      <c r="S353" s="111"/>
      <c r="T353" s="93"/>
      <c r="U353" s="93"/>
      <c r="V353" s="93"/>
      <c r="W353" s="93"/>
      <c r="X353" s="93" t="str">
        <f>IF($B353="Yes",COUNTIF(Reference!P$52:P$67,$K353),"")</f>
        <v/>
      </c>
      <c r="Y353" s="93" t="str">
        <f>IF($B353="Yes",COUNTIF(Reference!Q$52:Q$67,$K353),"")</f>
        <v/>
      </c>
      <c r="Z353" s="93" t="str">
        <f>IF($B353="Yes",COUNTIF(Reference!R$52:R$67,$K353),"")</f>
        <v/>
      </c>
      <c r="AA353" s="93" t="str">
        <f>IF($B353="Yes",COUNTIF(Reference!S$52:S$67,$K353),"")</f>
        <v/>
      </c>
      <c r="AB353" s="93" t="str">
        <f>IF($B353="Yes",COUNTIF(Reference!T$52:T$67,$K353),"")</f>
        <v/>
      </c>
      <c r="AC353" s="93" t="str">
        <f t="shared" si="17"/>
        <v/>
      </c>
    </row>
    <row r="354" spans="1:29" x14ac:dyDescent="0.25">
      <c r="A354" s="95">
        <v>444</v>
      </c>
      <c r="B354" s="95" t="str">
        <f t="shared" si="15"/>
        <v>No</v>
      </c>
      <c r="H354" s="95" t="str">
        <f t="shared" si="16"/>
        <v/>
      </c>
      <c r="I354" s="111"/>
      <c r="J354" s="112"/>
      <c r="K354" s="112"/>
      <c r="L354" s="112"/>
      <c r="M354" s="112"/>
      <c r="N354" s="112"/>
      <c r="O354" s="112"/>
      <c r="P354" s="112"/>
      <c r="Q354" s="112"/>
      <c r="R354" s="112"/>
      <c r="S354" s="111"/>
      <c r="T354" s="93"/>
      <c r="U354" s="93"/>
      <c r="V354" s="93"/>
      <c r="W354" s="93"/>
      <c r="X354" s="93" t="str">
        <f>IF($B354="Yes",COUNTIF(Reference!P$52:P$67,$K354),"")</f>
        <v/>
      </c>
      <c r="Y354" s="93" t="str">
        <f>IF($B354="Yes",COUNTIF(Reference!Q$52:Q$67,$K354),"")</f>
        <v/>
      </c>
      <c r="Z354" s="93" t="str">
        <f>IF($B354="Yes",COUNTIF(Reference!R$52:R$67,$K354),"")</f>
        <v/>
      </c>
      <c r="AA354" s="93" t="str">
        <f>IF($B354="Yes",COUNTIF(Reference!S$52:S$67,$K354),"")</f>
        <v/>
      </c>
      <c r="AB354" s="93" t="str">
        <f>IF($B354="Yes",COUNTIF(Reference!T$52:T$67,$K354),"")</f>
        <v/>
      </c>
      <c r="AC354" s="93" t="str">
        <f t="shared" si="17"/>
        <v/>
      </c>
    </row>
    <row r="355" spans="1:29" x14ac:dyDescent="0.25">
      <c r="A355" s="95">
        <v>445</v>
      </c>
      <c r="B355" s="95" t="str">
        <f t="shared" si="15"/>
        <v>No</v>
      </c>
      <c r="H355" s="95" t="str">
        <f t="shared" si="16"/>
        <v/>
      </c>
      <c r="I355" s="111"/>
      <c r="J355" s="112"/>
      <c r="K355" s="112"/>
      <c r="L355" s="112"/>
      <c r="M355" s="112"/>
      <c r="N355" s="112"/>
      <c r="O355" s="112"/>
      <c r="P355" s="112"/>
      <c r="Q355" s="112"/>
      <c r="R355" s="112"/>
      <c r="S355" s="111"/>
      <c r="T355" s="93"/>
      <c r="U355" s="93"/>
      <c r="V355" s="93"/>
      <c r="W355" s="93"/>
      <c r="X355" s="93" t="str">
        <f>IF($B355="Yes",COUNTIF(Reference!P$52:P$67,$K355),"")</f>
        <v/>
      </c>
      <c r="Y355" s="93" t="str">
        <f>IF($B355="Yes",COUNTIF(Reference!Q$52:Q$67,$K355),"")</f>
        <v/>
      </c>
      <c r="Z355" s="93" t="str">
        <f>IF($B355="Yes",COUNTIF(Reference!R$52:R$67,$K355),"")</f>
        <v/>
      </c>
      <c r="AA355" s="93" t="str">
        <f>IF($B355="Yes",COUNTIF(Reference!S$52:S$67,$K355),"")</f>
        <v/>
      </c>
      <c r="AB355" s="93" t="str">
        <f>IF($B355="Yes",COUNTIF(Reference!T$52:T$67,$K355),"")</f>
        <v/>
      </c>
      <c r="AC355" s="93" t="str">
        <f t="shared" si="17"/>
        <v/>
      </c>
    </row>
    <row r="356" spans="1:29" x14ac:dyDescent="0.25">
      <c r="A356" s="95">
        <v>446</v>
      </c>
      <c r="B356" s="95" t="str">
        <f t="shared" si="15"/>
        <v>No</v>
      </c>
      <c r="H356" s="95" t="str">
        <f t="shared" si="16"/>
        <v/>
      </c>
      <c r="I356" s="111"/>
      <c r="J356" s="112"/>
      <c r="K356" s="112"/>
      <c r="L356" s="112"/>
      <c r="M356" s="112"/>
      <c r="N356" s="112"/>
      <c r="O356" s="112"/>
      <c r="P356" s="112"/>
      <c r="Q356" s="112"/>
      <c r="R356" s="112"/>
      <c r="S356" s="111"/>
      <c r="T356" s="93"/>
      <c r="U356" s="93"/>
      <c r="V356" s="93"/>
      <c r="W356" s="93"/>
      <c r="X356" s="93" t="str">
        <f>IF($B356="Yes",COUNTIF(Reference!P$52:P$67,$K356),"")</f>
        <v/>
      </c>
      <c r="Y356" s="93" t="str">
        <f>IF($B356="Yes",COUNTIF(Reference!Q$52:Q$67,$K356),"")</f>
        <v/>
      </c>
      <c r="Z356" s="93" t="str">
        <f>IF($B356="Yes",COUNTIF(Reference!R$52:R$67,$K356),"")</f>
        <v/>
      </c>
      <c r="AA356" s="93" t="str">
        <f>IF($B356="Yes",COUNTIF(Reference!S$52:S$67,$K356),"")</f>
        <v/>
      </c>
      <c r="AB356" s="93" t="str">
        <f>IF($B356="Yes",COUNTIF(Reference!T$52:T$67,$K356),"")</f>
        <v/>
      </c>
      <c r="AC356" s="93" t="str">
        <f t="shared" si="17"/>
        <v/>
      </c>
    </row>
    <row r="357" spans="1:29" x14ac:dyDescent="0.25">
      <c r="A357" s="95">
        <v>447</v>
      </c>
      <c r="B357" s="95" t="str">
        <f t="shared" si="15"/>
        <v>No</v>
      </c>
      <c r="H357" s="95" t="str">
        <f t="shared" si="16"/>
        <v/>
      </c>
      <c r="I357" s="111"/>
      <c r="J357" s="112"/>
      <c r="K357" s="112"/>
      <c r="L357" s="112"/>
      <c r="M357" s="112"/>
      <c r="N357" s="112"/>
      <c r="O357" s="112"/>
      <c r="P357" s="112"/>
      <c r="Q357" s="112"/>
      <c r="R357" s="112"/>
      <c r="S357" s="111"/>
      <c r="T357" s="93"/>
      <c r="U357" s="93"/>
      <c r="V357" s="93"/>
      <c r="W357" s="93"/>
      <c r="X357" s="93" t="str">
        <f>IF($B357="Yes",COUNTIF(Reference!P$52:P$67,$K357),"")</f>
        <v/>
      </c>
      <c r="Y357" s="93" t="str">
        <f>IF($B357="Yes",COUNTIF(Reference!Q$52:Q$67,$K357),"")</f>
        <v/>
      </c>
      <c r="Z357" s="93" t="str">
        <f>IF($B357="Yes",COUNTIF(Reference!R$52:R$67,$K357),"")</f>
        <v/>
      </c>
      <c r="AA357" s="93" t="str">
        <f>IF($B357="Yes",COUNTIF(Reference!S$52:S$67,$K357),"")</f>
        <v/>
      </c>
      <c r="AB357" s="93" t="str">
        <f>IF($B357="Yes",COUNTIF(Reference!T$52:T$67,$K357),"")</f>
        <v/>
      </c>
      <c r="AC357" s="93" t="str">
        <f t="shared" si="17"/>
        <v/>
      </c>
    </row>
    <row r="358" spans="1:29" x14ac:dyDescent="0.25">
      <c r="A358" s="95">
        <v>448</v>
      </c>
      <c r="B358" s="95" t="str">
        <f t="shared" si="15"/>
        <v>No</v>
      </c>
      <c r="H358" s="95" t="str">
        <f t="shared" si="16"/>
        <v/>
      </c>
      <c r="I358" s="111"/>
      <c r="J358" s="112"/>
      <c r="K358" s="112"/>
      <c r="L358" s="112"/>
      <c r="M358" s="112"/>
      <c r="N358" s="112"/>
      <c r="O358" s="112"/>
      <c r="P358" s="112"/>
      <c r="Q358" s="112"/>
      <c r="R358" s="112"/>
      <c r="S358" s="111"/>
      <c r="T358" s="93"/>
      <c r="U358" s="93"/>
      <c r="V358" s="93"/>
      <c r="W358" s="93"/>
      <c r="X358" s="93" t="str">
        <f>IF($B358="Yes",COUNTIF(Reference!P$52:P$67,$K358),"")</f>
        <v/>
      </c>
      <c r="Y358" s="93" t="str">
        <f>IF($B358="Yes",COUNTIF(Reference!Q$52:Q$67,$K358),"")</f>
        <v/>
      </c>
      <c r="Z358" s="93" t="str">
        <f>IF($B358="Yes",COUNTIF(Reference!R$52:R$67,$K358),"")</f>
        <v/>
      </c>
      <c r="AA358" s="93" t="str">
        <f>IF($B358="Yes",COUNTIF(Reference!S$52:S$67,$K358),"")</f>
        <v/>
      </c>
      <c r="AB358" s="93" t="str">
        <f>IF($B358="Yes",COUNTIF(Reference!T$52:T$67,$K358),"")</f>
        <v/>
      </c>
      <c r="AC358" s="93" t="str">
        <f t="shared" si="17"/>
        <v/>
      </c>
    </row>
    <row r="359" spans="1:29" x14ac:dyDescent="0.25">
      <c r="A359" s="95">
        <v>449</v>
      </c>
      <c r="B359" s="95" t="str">
        <f t="shared" si="15"/>
        <v>No</v>
      </c>
      <c r="H359" s="95" t="str">
        <f t="shared" si="16"/>
        <v/>
      </c>
      <c r="I359" s="111"/>
      <c r="J359" s="112"/>
      <c r="K359" s="112"/>
      <c r="L359" s="112"/>
      <c r="M359" s="112"/>
      <c r="N359" s="112"/>
      <c r="O359" s="112"/>
      <c r="P359" s="112"/>
      <c r="Q359" s="112"/>
      <c r="R359" s="112"/>
      <c r="S359" s="111"/>
      <c r="T359" s="93"/>
      <c r="U359" s="93"/>
      <c r="V359" s="93"/>
      <c r="W359" s="93"/>
      <c r="X359" s="93" t="str">
        <f>IF($B359="Yes",COUNTIF(Reference!P$52:P$67,$K359),"")</f>
        <v/>
      </c>
      <c r="Y359" s="93" t="str">
        <f>IF($B359="Yes",COUNTIF(Reference!Q$52:Q$67,$K359),"")</f>
        <v/>
      </c>
      <c r="Z359" s="93" t="str">
        <f>IF($B359="Yes",COUNTIF(Reference!R$52:R$67,$K359),"")</f>
        <v/>
      </c>
      <c r="AA359" s="93" t="str">
        <f>IF($B359="Yes",COUNTIF(Reference!S$52:S$67,$K359),"")</f>
        <v/>
      </c>
      <c r="AB359" s="93" t="str">
        <f>IF($B359="Yes",COUNTIF(Reference!T$52:T$67,$K359),"")</f>
        <v/>
      </c>
      <c r="AC359" s="93" t="str">
        <f t="shared" si="17"/>
        <v/>
      </c>
    </row>
    <row r="360" spans="1:29" x14ac:dyDescent="0.25">
      <c r="A360" s="95">
        <v>450</v>
      </c>
      <c r="B360" s="95" t="str">
        <f t="shared" si="15"/>
        <v>No</v>
      </c>
      <c r="H360" s="95" t="str">
        <f t="shared" si="16"/>
        <v/>
      </c>
      <c r="I360" s="111"/>
      <c r="J360" s="112"/>
      <c r="K360" s="112"/>
      <c r="L360" s="112"/>
      <c r="M360" s="112"/>
      <c r="N360" s="112"/>
      <c r="O360" s="112"/>
      <c r="P360" s="112"/>
      <c r="Q360" s="112"/>
      <c r="R360" s="112"/>
      <c r="S360" s="111"/>
      <c r="T360" s="93"/>
      <c r="U360" s="93"/>
      <c r="V360" s="93"/>
      <c r="W360" s="93"/>
      <c r="X360" s="93" t="str">
        <f>IF($B360="Yes",COUNTIF(Reference!P$52:P$67,$K360),"")</f>
        <v/>
      </c>
      <c r="Y360" s="93" t="str">
        <f>IF($B360="Yes",COUNTIF(Reference!Q$52:Q$67,$K360),"")</f>
        <v/>
      </c>
      <c r="Z360" s="93" t="str">
        <f>IF($B360="Yes",COUNTIF(Reference!R$52:R$67,$K360),"")</f>
        <v/>
      </c>
      <c r="AA360" s="93" t="str">
        <f>IF($B360="Yes",COUNTIF(Reference!S$52:S$67,$K360),"")</f>
        <v/>
      </c>
      <c r="AB360" s="93" t="str">
        <f>IF($B360="Yes",COUNTIF(Reference!T$52:T$67,$K360),"")</f>
        <v/>
      </c>
      <c r="AC360" s="93" t="str">
        <f t="shared" si="17"/>
        <v/>
      </c>
    </row>
    <row r="361" spans="1:29" x14ac:dyDescent="0.25">
      <c r="A361" s="95">
        <v>451</v>
      </c>
      <c r="B361" s="95" t="str">
        <f t="shared" si="15"/>
        <v>No</v>
      </c>
      <c r="H361" s="95" t="str">
        <f t="shared" si="16"/>
        <v/>
      </c>
      <c r="I361" s="111"/>
      <c r="J361" s="112"/>
      <c r="K361" s="112"/>
      <c r="L361" s="112"/>
      <c r="M361" s="112"/>
      <c r="N361" s="112"/>
      <c r="O361" s="112"/>
      <c r="P361" s="112"/>
      <c r="Q361" s="112"/>
      <c r="R361" s="112"/>
      <c r="S361" s="111"/>
      <c r="T361" s="93"/>
      <c r="U361" s="93"/>
      <c r="V361" s="93"/>
      <c r="W361" s="93"/>
      <c r="X361" s="93" t="str">
        <f>IF($B361="Yes",COUNTIF(Reference!P$52:P$67,$K361),"")</f>
        <v/>
      </c>
      <c r="Y361" s="93" t="str">
        <f>IF($B361="Yes",COUNTIF(Reference!Q$52:Q$67,$K361),"")</f>
        <v/>
      </c>
      <c r="Z361" s="93" t="str">
        <f>IF($B361="Yes",COUNTIF(Reference!R$52:R$67,$K361),"")</f>
        <v/>
      </c>
      <c r="AA361" s="93" t="str">
        <f>IF($B361="Yes",COUNTIF(Reference!S$52:S$67,$K361),"")</f>
        <v/>
      </c>
      <c r="AB361" s="93" t="str">
        <f>IF($B361="Yes",COUNTIF(Reference!T$52:T$67,$K361),"")</f>
        <v/>
      </c>
      <c r="AC361" s="93" t="str">
        <f t="shared" si="17"/>
        <v/>
      </c>
    </row>
    <row r="362" spans="1:29" x14ac:dyDescent="0.25">
      <c r="A362" s="95">
        <v>452</v>
      </c>
      <c r="B362" s="95" t="str">
        <f t="shared" si="15"/>
        <v>No</v>
      </c>
      <c r="H362" s="95" t="str">
        <f t="shared" si="16"/>
        <v/>
      </c>
      <c r="I362" s="111"/>
      <c r="J362" s="112"/>
      <c r="K362" s="112"/>
      <c r="L362" s="112"/>
      <c r="M362" s="112"/>
      <c r="N362" s="112"/>
      <c r="O362" s="112"/>
      <c r="P362" s="112"/>
      <c r="Q362" s="112"/>
      <c r="R362" s="112"/>
      <c r="S362" s="111"/>
      <c r="T362" s="93"/>
      <c r="U362" s="93"/>
      <c r="V362" s="93"/>
      <c r="W362" s="93"/>
      <c r="X362" s="93" t="str">
        <f>IF($B362="Yes",COUNTIF(Reference!P$52:P$67,$K362),"")</f>
        <v/>
      </c>
      <c r="Y362" s="93" t="str">
        <f>IF($B362="Yes",COUNTIF(Reference!Q$52:Q$67,$K362),"")</f>
        <v/>
      </c>
      <c r="Z362" s="93" t="str">
        <f>IF($B362="Yes",COUNTIF(Reference!R$52:R$67,$K362),"")</f>
        <v/>
      </c>
      <c r="AA362" s="93" t="str">
        <f>IF($B362="Yes",COUNTIF(Reference!S$52:S$67,$K362),"")</f>
        <v/>
      </c>
      <c r="AB362" s="93" t="str">
        <f>IF($B362="Yes",COUNTIF(Reference!T$52:T$67,$K362),"")</f>
        <v/>
      </c>
      <c r="AC362" s="93" t="str">
        <f t="shared" si="17"/>
        <v/>
      </c>
    </row>
    <row r="363" spans="1:29" x14ac:dyDescent="0.25">
      <c r="A363" s="95">
        <v>453</v>
      </c>
      <c r="B363" s="95" t="str">
        <f t="shared" si="15"/>
        <v>No</v>
      </c>
      <c r="H363" s="95" t="str">
        <f t="shared" si="16"/>
        <v/>
      </c>
      <c r="I363" s="111"/>
      <c r="J363" s="112"/>
      <c r="K363" s="112"/>
      <c r="L363" s="112"/>
      <c r="M363" s="112"/>
      <c r="N363" s="112"/>
      <c r="O363" s="112"/>
      <c r="P363" s="112"/>
      <c r="Q363" s="112"/>
      <c r="R363" s="112"/>
      <c r="S363" s="111"/>
      <c r="T363" s="93"/>
      <c r="U363" s="93"/>
      <c r="V363" s="93"/>
      <c r="W363" s="93"/>
      <c r="X363" s="93" t="str">
        <f>IF($B363="Yes",COUNTIF(Reference!P$52:P$67,$K363),"")</f>
        <v/>
      </c>
      <c r="Y363" s="93" t="str">
        <f>IF($B363="Yes",COUNTIF(Reference!Q$52:Q$67,$K363),"")</f>
        <v/>
      </c>
      <c r="Z363" s="93" t="str">
        <f>IF($B363="Yes",COUNTIF(Reference!R$52:R$67,$K363),"")</f>
        <v/>
      </c>
      <c r="AA363" s="93" t="str">
        <f>IF($B363="Yes",COUNTIF(Reference!S$52:S$67,$K363),"")</f>
        <v/>
      </c>
      <c r="AB363" s="93" t="str">
        <f>IF($B363="Yes",COUNTIF(Reference!T$52:T$67,$K363),"")</f>
        <v/>
      </c>
      <c r="AC363" s="93" t="str">
        <f t="shared" si="17"/>
        <v/>
      </c>
    </row>
    <row r="364" spans="1:29" x14ac:dyDescent="0.25">
      <c r="A364" s="95">
        <v>454</v>
      </c>
      <c r="B364" s="95" t="str">
        <f t="shared" si="15"/>
        <v>No</v>
      </c>
      <c r="H364" s="95" t="str">
        <f t="shared" si="16"/>
        <v/>
      </c>
      <c r="I364" s="111"/>
      <c r="J364" s="112"/>
      <c r="K364" s="112"/>
      <c r="L364" s="112"/>
      <c r="M364" s="112"/>
      <c r="N364" s="112"/>
      <c r="O364" s="112"/>
      <c r="P364" s="112"/>
      <c r="Q364" s="112"/>
      <c r="R364" s="112"/>
      <c r="S364" s="111"/>
      <c r="T364" s="93"/>
      <c r="U364" s="93"/>
      <c r="V364" s="93"/>
      <c r="W364" s="93"/>
      <c r="X364" s="93" t="str">
        <f>IF($B364="Yes",COUNTIF(Reference!P$52:P$67,$K364),"")</f>
        <v/>
      </c>
      <c r="Y364" s="93" t="str">
        <f>IF($B364="Yes",COUNTIF(Reference!Q$52:Q$67,$K364),"")</f>
        <v/>
      </c>
      <c r="Z364" s="93" t="str">
        <f>IF($B364="Yes",COUNTIF(Reference!R$52:R$67,$K364),"")</f>
        <v/>
      </c>
      <c r="AA364" s="93" t="str">
        <f>IF($B364="Yes",COUNTIF(Reference!S$52:S$67,$K364),"")</f>
        <v/>
      </c>
      <c r="AB364" s="93" t="str">
        <f>IF($B364="Yes",COUNTIF(Reference!T$52:T$67,$K364),"")</f>
        <v/>
      </c>
      <c r="AC364" s="93" t="str">
        <f t="shared" si="17"/>
        <v/>
      </c>
    </row>
    <row r="365" spans="1:29" x14ac:dyDescent="0.25">
      <c r="A365" s="95">
        <v>455</v>
      </c>
      <c r="B365" s="95" t="str">
        <f t="shared" si="15"/>
        <v>No</v>
      </c>
      <c r="H365" s="95" t="str">
        <f t="shared" si="16"/>
        <v/>
      </c>
      <c r="I365" s="111"/>
      <c r="J365" s="112"/>
      <c r="K365" s="112"/>
      <c r="L365" s="112"/>
      <c r="M365" s="112"/>
      <c r="N365" s="112"/>
      <c r="O365" s="112"/>
      <c r="P365" s="112"/>
      <c r="Q365" s="112"/>
      <c r="R365" s="112"/>
      <c r="S365" s="111"/>
      <c r="T365" s="93"/>
      <c r="U365" s="93"/>
      <c r="V365" s="93"/>
      <c r="W365" s="93"/>
      <c r="X365" s="93" t="str">
        <f>IF($B365="Yes",COUNTIF(Reference!P$52:P$67,$K365),"")</f>
        <v/>
      </c>
      <c r="Y365" s="93" t="str">
        <f>IF($B365="Yes",COUNTIF(Reference!Q$52:Q$67,$K365),"")</f>
        <v/>
      </c>
      <c r="Z365" s="93" t="str">
        <f>IF($B365="Yes",COUNTIF(Reference!R$52:R$67,$K365),"")</f>
        <v/>
      </c>
      <c r="AA365" s="93" t="str">
        <f>IF($B365="Yes",COUNTIF(Reference!S$52:S$67,$K365),"")</f>
        <v/>
      </c>
      <c r="AB365" s="93" t="str">
        <f>IF($B365="Yes",COUNTIF(Reference!T$52:T$67,$K365),"")</f>
        <v/>
      </c>
      <c r="AC365" s="93" t="str">
        <f t="shared" si="17"/>
        <v/>
      </c>
    </row>
    <row r="366" spans="1:29" x14ac:dyDescent="0.25">
      <c r="A366" s="95">
        <v>456</v>
      </c>
      <c r="B366" s="95" t="str">
        <f t="shared" si="15"/>
        <v>No</v>
      </c>
      <c r="H366" s="95" t="str">
        <f t="shared" si="16"/>
        <v/>
      </c>
      <c r="I366" s="111"/>
      <c r="J366" s="112"/>
      <c r="K366" s="112"/>
      <c r="L366" s="112"/>
      <c r="M366" s="112"/>
      <c r="N366" s="112"/>
      <c r="O366" s="112"/>
      <c r="P366" s="112"/>
      <c r="Q366" s="112"/>
      <c r="R366" s="112"/>
      <c r="S366" s="111"/>
      <c r="T366" s="93"/>
      <c r="U366" s="93"/>
      <c r="V366" s="93"/>
      <c r="W366" s="93"/>
      <c r="X366" s="93" t="str">
        <f>IF($B366="Yes",COUNTIF(Reference!P$52:P$67,$K366),"")</f>
        <v/>
      </c>
      <c r="Y366" s="93" t="str">
        <f>IF($B366="Yes",COUNTIF(Reference!Q$52:Q$67,$K366),"")</f>
        <v/>
      </c>
      <c r="Z366" s="93" t="str">
        <f>IF($B366="Yes",COUNTIF(Reference!R$52:R$67,$K366),"")</f>
        <v/>
      </c>
      <c r="AA366" s="93" t="str">
        <f>IF($B366="Yes",COUNTIF(Reference!S$52:S$67,$K366),"")</f>
        <v/>
      </c>
      <c r="AB366" s="93" t="str">
        <f>IF($B366="Yes",COUNTIF(Reference!T$52:T$67,$K366),"")</f>
        <v/>
      </c>
      <c r="AC366" s="93" t="str">
        <f t="shared" si="17"/>
        <v/>
      </c>
    </row>
    <row r="367" spans="1:29" x14ac:dyDescent="0.25">
      <c r="A367" s="95">
        <v>457</v>
      </c>
      <c r="B367" s="95" t="str">
        <f t="shared" si="15"/>
        <v>No</v>
      </c>
      <c r="H367" s="95" t="str">
        <f t="shared" si="16"/>
        <v/>
      </c>
      <c r="I367" s="111"/>
      <c r="J367" s="112"/>
      <c r="K367" s="112"/>
      <c r="L367" s="112"/>
      <c r="M367" s="112"/>
      <c r="N367" s="112"/>
      <c r="O367" s="112"/>
      <c r="P367" s="112"/>
      <c r="Q367" s="112"/>
      <c r="R367" s="112"/>
      <c r="S367" s="111"/>
      <c r="T367" s="93"/>
      <c r="U367" s="93"/>
      <c r="V367" s="93"/>
      <c r="W367" s="93"/>
      <c r="X367" s="93" t="str">
        <f>IF($B367="Yes",COUNTIF(Reference!P$52:P$67,$K367),"")</f>
        <v/>
      </c>
      <c r="Y367" s="93" t="str">
        <f>IF($B367="Yes",COUNTIF(Reference!Q$52:Q$67,$K367),"")</f>
        <v/>
      </c>
      <c r="Z367" s="93" t="str">
        <f>IF($B367="Yes",COUNTIF(Reference!R$52:R$67,$K367),"")</f>
        <v/>
      </c>
      <c r="AA367" s="93" t="str">
        <f>IF($B367="Yes",COUNTIF(Reference!S$52:S$67,$K367),"")</f>
        <v/>
      </c>
      <c r="AB367" s="93" t="str">
        <f>IF($B367="Yes",COUNTIF(Reference!T$52:T$67,$K367),"")</f>
        <v/>
      </c>
      <c r="AC367" s="93" t="str">
        <f t="shared" si="17"/>
        <v/>
      </c>
    </row>
    <row r="368" spans="1:29" x14ac:dyDescent="0.25">
      <c r="A368" s="95">
        <v>458</v>
      </c>
      <c r="B368" s="95" t="str">
        <f t="shared" si="15"/>
        <v>No</v>
      </c>
      <c r="H368" s="95" t="str">
        <f t="shared" si="16"/>
        <v/>
      </c>
      <c r="I368" s="111"/>
      <c r="J368" s="112"/>
      <c r="K368" s="112"/>
      <c r="L368" s="112"/>
      <c r="M368" s="112"/>
      <c r="N368" s="112"/>
      <c r="O368" s="112"/>
      <c r="P368" s="112"/>
      <c r="Q368" s="112"/>
      <c r="R368" s="112"/>
      <c r="S368" s="111"/>
      <c r="T368" s="93"/>
      <c r="U368" s="93"/>
      <c r="V368" s="93"/>
      <c r="W368" s="93"/>
      <c r="X368" s="93" t="str">
        <f>IF($B368="Yes",COUNTIF(Reference!P$52:P$67,$K368),"")</f>
        <v/>
      </c>
      <c r="Y368" s="93" t="str">
        <f>IF($B368="Yes",COUNTIF(Reference!Q$52:Q$67,$K368),"")</f>
        <v/>
      </c>
      <c r="Z368" s="93" t="str">
        <f>IF($B368="Yes",COUNTIF(Reference!R$52:R$67,$K368),"")</f>
        <v/>
      </c>
      <c r="AA368" s="93" t="str">
        <f>IF($B368="Yes",COUNTIF(Reference!S$52:S$67,$K368),"")</f>
        <v/>
      </c>
      <c r="AB368" s="93" t="str">
        <f>IF($B368="Yes",COUNTIF(Reference!T$52:T$67,$K368),"")</f>
        <v/>
      </c>
      <c r="AC368" s="93" t="str">
        <f t="shared" si="17"/>
        <v/>
      </c>
    </row>
    <row r="369" spans="1:29" x14ac:dyDescent="0.25">
      <c r="A369" s="95">
        <v>459</v>
      </c>
      <c r="B369" s="95" t="str">
        <f t="shared" si="15"/>
        <v>No</v>
      </c>
      <c r="H369" s="95" t="str">
        <f t="shared" si="16"/>
        <v/>
      </c>
      <c r="I369" s="111"/>
      <c r="J369" s="112"/>
      <c r="K369" s="112"/>
      <c r="L369" s="112"/>
      <c r="M369" s="112"/>
      <c r="N369" s="112"/>
      <c r="O369" s="112"/>
      <c r="P369" s="112"/>
      <c r="Q369" s="112"/>
      <c r="R369" s="112"/>
      <c r="S369" s="111"/>
      <c r="T369" s="93"/>
      <c r="U369" s="93"/>
      <c r="V369" s="93"/>
      <c r="W369" s="93"/>
      <c r="X369" s="93" t="str">
        <f>IF($B369="Yes",COUNTIF(Reference!P$52:P$67,$K369),"")</f>
        <v/>
      </c>
      <c r="Y369" s="93" t="str">
        <f>IF($B369="Yes",COUNTIF(Reference!Q$52:Q$67,$K369),"")</f>
        <v/>
      </c>
      <c r="Z369" s="93" t="str">
        <f>IF($B369="Yes",COUNTIF(Reference!R$52:R$67,$K369),"")</f>
        <v/>
      </c>
      <c r="AA369" s="93" t="str">
        <f>IF($B369="Yes",COUNTIF(Reference!S$52:S$67,$K369),"")</f>
        <v/>
      </c>
      <c r="AB369" s="93" t="str">
        <f>IF($B369="Yes",COUNTIF(Reference!T$52:T$67,$K369),"")</f>
        <v/>
      </c>
      <c r="AC369" s="93" t="str">
        <f t="shared" si="17"/>
        <v/>
      </c>
    </row>
    <row r="370" spans="1:29" x14ac:dyDescent="0.25">
      <c r="A370" s="95">
        <v>460</v>
      </c>
      <c r="B370" s="95" t="str">
        <f t="shared" si="15"/>
        <v>No</v>
      </c>
      <c r="H370" s="95" t="str">
        <f t="shared" si="16"/>
        <v/>
      </c>
      <c r="I370" s="111"/>
      <c r="J370" s="112"/>
      <c r="K370" s="112"/>
      <c r="L370" s="112"/>
      <c r="M370" s="112"/>
      <c r="N370" s="112"/>
      <c r="O370" s="112"/>
      <c r="P370" s="112"/>
      <c r="Q370" s="112"/>
      <c r="R370" s="112"/>
      <c r="S370" s="111"/>
      <c r="T370" s="93"/>
      <c r="U370" s="93"/>
      <c r="V370" s="93"/>
      <c r="W370" s="93"/>
      <c r="X370" s="93" t="str">
        <f>IF($B370="Yes",COUNTIF(Reference!P$52:P$67,$K370),"")</f>
        <v/>
      </c>
      <c r="Y370" s="93" t="str">
        <f>IF($B370="Yes",COUNTIF(Reference!Q$52:Q$67,$K370),"")</f>
        <v/>
      </c>
      <c r="Z370" s="93" t="str">
        <f>IF($B370="Yes",COUNTIF(Reference!R$52:R$67,$K370),"")</f>
        <v/>
      </c>
      <c r="AA370" s="93" t="str">
        <f>IF($B370="Yes",COUNTIF(Reference!S$52:S$67,$K370),"")</f>
        <v/>
      </c>
      <c r="AB370" s="93" t="str">
        <f>IF($B370="Yes",COUNTIF(Reference!T$52:T$67,$K370),"")</f>
        <v/>
      </c>
      <c r="AC370" s="93" t="str">
        <f t="shared" si="17"/>
        <v/>
      </c>
    </row>
    <row r="371" spans="1:29" x14ac:dyDescent="0.25">
      <c r="A371" s="95">
        <v>461</v>
      </c>
      <c r="B371" s="95" t="str">
        <f t="shared" si="15"/>
        <v>No</v>
      </c>
      <c r="H371" s="95" t="str">
        <f t="shared" si="16"/>
        <v/>
      </c>
      <c r="I371" s="111"/>
      <c r="J371" s="112"/>
      <c r="K371" s="112"/>
      <c r="L371" s="112"/>
      <c r="M371" s="112"/>
      <c r="N371" s="112"/>
      <c r="O371" s="112"/>
      <c r="P371" s="112"/>
      <c r="Q371" s="112"/>
      <c r="R371" s="112"/>
      <c r="S371" s="111"/>
      <c r="T371" s="93"/>
      <c r="U371" s="93"/>
      <c r="V371" s="93"/>
      <c r="W371" s="93"/>
      <c r="X371" s="93" t="str">
        <f>IF($B371="Yes",COUNTIF(Reference!P$52:P$67,$K371),"")</f>
        <v/>
      </c>
      <c r="Y371" s="93" t="str">
        <f>IF($B371="Yes",COUNTIF(Reference!Q$52:Q$67,$K371),"")</f>
        <v/>
      </c>
      <c r="Z371" s="93" t="str">
        <f>IF($B371="Yes",COUNTIF(Reference!R$52:R$67,$K371),"")</f>
        <v/>
      </c>
      <c r="AA371" s="93" t="str">
        <f>IF($B371="Yes",COUNTIF(Reference!S$52:S$67,$K371),"")</f>
        <v/>
      </c>
      <c r="AB371" s="93" t="str">
        <f>IF($B371="Yes",COUNTIF(Reference!T$52:T$67,$K371),"")</f>
        <v/>
      </c>
      <c r="AC371" s="93" t="str">
        <f t="shared" si="17"/>
        <v/>
      </c>
    </row>
    <row r="372" spans="1:29" x14ac:dyDescent="0.25">
      <c r="A372" s="95">
        <v>462</v>
      </c>
      <c r="B372" s="95" t="str">
        <f t="shared" si="15"/>
        <v>No</v>
      </c>
      <c r="H372" s="95" t="str">
        <f t="shared" si="16"/>
        <v/>
      </c>
      <c r="I372" s="111"/>
      <c r="J372" s="112"/>
      <c r="K372" s="112"/>
      <c r="L372" s="112"/>
      <c r="M372" s="112"/>
      <c r="N372" s="112"/>
      <c r="O372" s="112"/>
      <c r="P372" s="112"/>
      <c r="Q372" s="112"/>
      <c r="R372" s="112"/>
      <c r="S372" s="111"/>
      <c r="T372" s="93"/>
      <c r="U372" s="93"/>
      <c r="V372" s="93"/>
      <c r="W372" s="93"/>
      <c r="X372" s="93" t="str">
        <f>IF($B372="Yes",COUNTIF(Reference!P$52:P$67,$K372),"")</f>
        <v/>
      </c>
      <c r="Y372" s="93" t="str">
        <f>IF($B372="Yes",COUNTIF(Reference!Q$52:Q$67,$K372),"")</f>
        <v/>
      </c>
      <c r="Z372" s="93" t="str">
        <f>IF($B372="Yes",COUNTIF(Reference!R$52:R$67,$K372),"")</f>
        <v/>
      </c>
      <c r="AA372" s="93" t="str">
        <f>IF($B372="Yes",COUNTIF(Reference!S$52:S$67,$K372),"")</f>
        <v/>
      </c>
      <c r="AB372" s="93" t="str">
        <f>IF($B372="Yes",COUNTIF(Reference!T$52:T$67,$K372),"")</f>
        <v/>
      </c>
      <c r="AC372" s="93" t="str">
        <f t="shared" si="17"/>
        <v/>
      </c>
    </row>
    <row r="373" spans="1:29" x14ac:dyDescent="0.25">
      <c r="A373" s="95">
        <v>463</v>
      </c>
      <c r="B373" s="95" t="str">
        <f t="shared" si="15"/>
        <v>No</v>
      </c>
      <c r="H373" s="95" t="str">
        <f t="shared" si="16"/>
        <v/>
      </c>
      <c r="I373" s="111"/>
      <c r="J373" s="112"/>
      <c r="K373" s="112"/>
      <c r="L373" s="112"/>
      <c r="M373" s="112"/>
      <c r="N373" s="112"/>
      <c r="O373" s="112"/>
      <c r="P373" s="112"/>
      <c r="Q373" s="112"/>
      <c r="R373" s="112"/>
      <c r="S373" s="111"/>
      <c r="T373" s="93"/>
      <c r="U373" s="93"/>
      <c r="V373" s="93"/>
      <c r="W373" s="93"/>
      <c r="X373" s="93" t="str">
        <f>IF($B373="Yes",COUNTIF(Reference!P$52:P$67,$K373),"")</f>
        <v/>
      </c>
      <c r="Y373" s="93" t="str">
        <f>IF($B373="Yes",COUNTIF(Reference!Q$52:Q$67,$K373),"")</f>
        <v/>
      </c>
      <c r="Z373" s="93" t="str">
        <f>IF($B373="Yes",COUNTIF(Reference!R$52:R$67,$K373),"")</f>
        <v/>
      </c>
      <c r="AA373" s="93" t="str">
        <f>IF($B373="Yes",COUNTIF(Reference!S$52:S$67,$K373),"")</f>
        <v/>
      </c>
      <c r="AB373" s="93" t="str">
        <f>IF($B373="Yes",COUNTIF(Reference!T$52:T$67,$K373),"")</f>
        <v/>
      </c>
      <c r="AC373" s="93" t="str">
        <f t="shared" si="17"/>
        <v/>
      </c>
    </row>
    <row r="374" spans="1:29" x14ac:dyDescent="0.25">
      <c r="A374" s="95">
        <v>464</v>
      </c>
      <c r="B374" s="95" t="str">
        <f t="shared" si="15"/>
        <v>No</v>
      </c>
      <c r="H374" s="95" t="str">
        <f t="shared" si="16"/>
        <v/>
      </c>
      <c r="I374" s="111"/>
      <c r="J374" s="112"/>
      <c r="K374" s="112"/>
      <c r="L374" s="112"/>
      <c r="M374" s="112"/>
      <c r="N374" s="112"/>
      <c r="O374" s="112"/>
      <c r="P374" s="112"/>
      <c r="Q374" s="112"/>
      <c r="R374" s="112"/>
      <c r="S374" s="111"/>
      <c r="T374" s="93"/>
      <c r="U374" s="93"/>
      <c r="V374" s="93"/>
      <c r="W374" s="93"/>
      <c r="X374" s="93" t="str">
        <f>IF($B374="Yes",COUNTIF(Reference!P$52:P$67,$K374),"")</f>
        <v/>
      </c>
      <c r="Y374" s="93" t="str">
        <f>IF($B374="Yes",COUNTIF(Reference!Q$52:Q$67,$K374),"")</f>
        <v/>
      </c>
      <c r="Z374" s="93" t="str">
        <f>IF($B374="Yes",COUNTIF(Reference!R$52:R$67,$K374),"")</f>
        <v/>
      </c>
      <c r="AA374" s="93" t="str">
        <f>IF($B374="Yes",COUNTIF(Reference!S$52:S$67,$K374),"")</f>
        <v/>
      </c>
      <c r="AB374" s="93" t="str">
        <f>IF($B374="Yes",COUNTIF(Reference!T$52:T$67,$K374),"")</f>
        <v/>
      </c>
      <c r="AC374" s="93" t="str">
        <f t="shared" si="17"/>
        <v/>
      </c>
    </row>
    <row r="375" spans="1:29" x14ac:dyDescent="0.25">
      <c r="A375" s="95">
        <v>465</v>
      </c>
      <c r="B375" s="95" t="str">
        <f t="shared" si="15"/>
        <v>No</v>
      </c>
      <c r="H375" s="95" t="str">
        <f t="shared" si="16"/>
        <v/>
      </c>
      <c r="I375" s="111"/>
      <c r="J375" s="112"/>
      <c r="K375" s="112"/>
      <c r="L375" s="112"/>
      <c r="M375" s="112"/>
      <c r="N375" s="112"/>
      <c r="O375" s="112"/>
      <c r="P375" s="112"/>
      <c r="Q375" s="112"/>
      <c r="R375" s="112"/>
      <c r="S375" s="111"/>
      <c r="T375" s="93"/>
      <c r="U375" s="93"/>
      <c r="V375" s="93"/>
      <c r="W375" s="93"/>
      <c r="X375" s="93" t="str">
        <f>IF($B375="Yes",COUNTIF(Reference!P$52:P$67,$K375),"")</f>
        <v/>
      </c>
      <c r="Y375" s="93" t="str">
        <f>IF($B375="Yes",COUNTIF(Reference!Q$52:Q$67,$K375),"")</f>
        <v/>
      </c>
      <c r="Z375" s="93" t="str">
        <f>IF($B375="Yes",COUNTIF(Reference!R$52:R$67,$K375),"")</f>
        <v/>
      </c>
      <c r="AA375" s="93" t="str">
        <f>IF($B375="Yes",COUNTIF(Reference!S$52:S$67,$K375),"")</f>
        <v/>
      </c>
      <c r="AB375" s="93" t="str">
        <f>IF($B375="Yes",COUNTIF(Reference!T$52:T$67,$K375),"")</f>
        <v/>
      </c>
      <c r="AC375" s="93" t="str">
        <f t="shared" si="17"/>
        <v/>
      </c>
    </row>
    <row r="376" spans="1:29" x14ac:dyDescent="0.25">
      <c r="A376" s="95">
        <v>466</v>
      </c>
      <c r="B376" s="95" t="str">
        <f t="shared" si="15"/>
        <v>No</v>
      </c>
      <c r="H376" s="95" t="str">
        <f t="shared" si="16"/>
        <v/>
      </c>
      <c r="I376" s="111"/>
      <c r="J376" s="112"/>
      <c r="K376" s="112"/>
      <c r="L376" s="112"/>
      <c r="M376" s="112"/>
      <c r="N376" s="112"/>
      <c r="O376" s="112"/>
      <c r="P376" s="112"/>
      <c r="Q376" s="112"/>
      <c r="R376" s="112"/>
      <c r="S376" s="111"/>
      <c r="T376" s="93"/>
      <c r="U376" s="93"/>
      <c r="V376" s="93"/>
      <c r="W376" s="93"/>
      <c r="X376" s="93" t="str">
        <f>IF($B376="Yes",COUNTIF(Reference!P$52:P$67,$K376),"")</f>
        <v/>
      </c>
      <c r="Y376" s="93" t="str">
        <f>IF($B376="Yes",COUNTIF(Reference!Q$52:Q$67,$K376),"")</f>
        <v/>
      </c>
      <c r="Z376" s="93" t="str">
        <f>IF($B376="Yes",COUNTIF(Reference!R$52:R$67,$K376),"")</f>
        <v/>
      </c>
      <c r="AA376" s="93" t="str">
        <f>IF($B376="Yes",COUNTIF(Reference!S$52:S$67,$K376),"")</f>
        <v/>
      </c>
      <c r="AB376" s="93" t="str">
        <f>IF($B376="Yes",COUNTIF(Reference!T$52:T$67,$K376),"")</f>
        <v/>
      </c>
      <c r="AC376" s="93" t="str">
        <f t="shared" si="17"/>
        <v/>
      </c>
    </row>
    <row r="377" spans="1:29" x14ac:dyDescent="0.25">
      <c r="A377" s="95">
        <v>467</v>
      </c>
      <c r="B377" s="95" t="str">
        <f t="shared" si="15"/>
        <v>No</v>
      </c>
      <c r="H377" s="95" t="str">
        <f t="shared" si="16"/>
        <v/>
      </c>
      <c r="I377" s="111"/>
      <c r="J377" s="112"/>
      <c r="K377" s="112"/>
      <c r="L377" s="112"/>
      <c r="M377" s="112"/>
      <c r="N377" s="112"/>
      <c r="O377" s="112"/>
      <c r="P377" s="112"/>
      <c r="Q377" s="112"/>
      <c r="R377" s="112"/>
      <c r="S377" s="111"/>
      <c r="T377" s="93"/>
      <c r="U377" s="93"/>
      <c r="V377" s="93"/>
      <c r="W377" s="93"/>
      <c r="X377" s="93" t="str">
        <f>IF($B377="Yes",COUNTIF(Reference!P$52:P$67,$K377),"")</f>
        <v/>
      </c>
      <c r="Y377" s="93" t="str">
        <f>IF($B377="Yes",COUNTIF(Reference!Q$52:Q$67,$K377),"")</f>
        <v/>
      </c>
      <c r="Z377" s="93" t="str">
        <f>IF($B377="Yes",COUNTIF(Reference!R$52:R$67,$K377),"")</f>
        <v/>
      </c>
      <c r="AA377" s="93" t="str">
        <f>IF($B377="Yes",COUNTIF(Reference!S$52:S$67,$K377),"")</f>
        <v/>
      </c>
      <c r="AB377" s="93" t="str">
        <f>IF($B377="Yes",COUNTIF(Reference!T$52:T$67,$K377),"")</f>
        <v/>
      </c>
      <c r="AC377" s="93" t="str">
        <f t="shared" si="17"/>
        <v/>
      </c>
    </row>
    <row r="378" spans="1:29" x14ac:dyDescent="0.25">
      <c r="A378" s="95">
        <v>468</v>
      </c>
      <c r="B378" s="95" t="str">
        <f t="shared" si="15"/>
        <v>No</v>
      </c>
      <c r="H378" s="95" t="str">
        <f t="shared" si="16"/>
        <v/>
      </c>
      <c r="I378" s="111"/>
      <c r="J378" s="112"/>
      <c r="K378" s="112"/>
      <c r="L378" s="112"/>
      <c r="M378" s="112"/>
      <c r="N378" s="112"/>
      <c r="O378" s="112"/>
      <c r="P378" s="112"/>
      <c r="Q378" s="112"/>
      <c r="R378" s="112"/>
      <c r="S378" s="111"/>
      <c r="T378" s="93"/>
      <c r="U378" s="93"/>
      <c r="V378" s="93"/>
      <c r="W378" s="93"/>
      <c r="X378" s="93" t="str">
        <f>IF($B378="Yes",COUNTIF(Reference!P$52:P$67,$K378),"")</f>
        <v/>
      </c>
      <c r="Y378" s="93" t="str">
        <f>IF($B378="Yes",COUNTIF(Reference!Q$52:Q$67,$K378),"")</f>
        <v/>
      </c>
      <c r="Z378" s="93" t="str">
        <f>IF($B378="Yes",COUNTIF(Reference!R$52:R$67,$K378),"")</f>
        <v/>
      </c>
      <c r="AA378" s="93" t="str">
        <f>IF($B378="Yes",COUNTIF(Reference!S$52:S$67,$K378),"")</f>
        <v/>
      </c>
      <c r="AB378" s="93" t="str">
        <f>IF($B378="Yes",COUNTIF(Reference!T$52:T$67,$K378),"")</f>
        <v/>
      </c>
      <c r="AC378" s="93" t="str">
        <f t="shared" si="17"/>
        <v/>
      </c>
    </row>
    <row r="379" spans="1:29" x14ac:dyDescent="0.25">
      <c r="A379" s="95">
        <v>469</v>
      </c>
      <c r="B379" s="95" t="str">
        <f t="shared" si="15"/>
        <v>No</v>
      </c>
      <c r="H379" s="95" t="str">
        <f t="shared" si="16"/>
        <v/>
      </c>
      <c r="I379" s="111"/>
      <c r="J379" s="112"/>
      <c r="K379" s="112"/>
      <c r="L379" s="112"/>
      <c r="M379" s="112"/>
      <c r="N379" s="112"/>
      <c r="O379" s="112"/>
      <c r="P379" s="112"/>
      <c r="Q379" s="112"/>
      <c r="R379" s="112"/>
      <c r="S379" s="111"/>
      <c r="T379" s="93"/>
      <c r="U379" s="93"/>
      <c r="V379" s="93"/>
      <c r="W379" s="93"/>
      <c r="X379" s="93" t="str">
        <f>IF($B379="Yes",COUNTIF(Reference!P$52:P$67,$K379),"")</f>
        <v/>
      </c>
      <c r="Y379" s="93" t="str">
        <f>IF($B379="Yes",COUNTIF(Reference!Q$52:Q$67,$K379),"")</f>
        <v/>
      </c>
      <c r="Z379" s="93" t="str">
        <f>IF($B379="Yes",COUNTIF(Reference!R$52:R$67,$K379),"")</f>
        <v/>
      </c>
      <c r="AA379" s="93" t="str">
        <f>IF($B379="Yes",COUNTIF(Reference!S$52:S$67,$K379),"")</f>
        <v/>
      </c>
      <c r="AB379" s="93" t="str">
        <f>IF($B379="Yes",COUNTIF(Reference!T$52:T$67,$K379),"")</f>
        <v/>
      </c>
      <c r="AC379" s="93" t="str">
        <f t="shared" si="17"/>
        <v/>
      </c>
    </row>
    <row r="380" spans="1:29" x14ac:dyDescent="0.25">
      <c r="A380" s="95">
        <v>470</v>
      </c>
      <c r="B380" s="95" t="str">
        <f t="shared" si="15"/>
        <v>No</v>
      </c>
      <c r="H380" s="95" t="str">
        <f t="shared" si="16"/>
        <v/>
      </c>
      <c r="I380" s="111"/>
      <c r="J380" s="112"/>
      <c r="K380" s="112"/>
      <c r="L380" s="112"/>
      <c r="M380" s="112"/>
      <c r="N380" s="112"/>
      <c r="O380" s="112"/>
      <c r="P380" s="112"/>
      <c r="Q380" s="112"/>
      <c r="R380" s="112"/>
      <c r="S380" s="111"/>
      <c r="T380" s="93"/>
      <c r="U380" s="93"/>
      <c r="V380" s="93"/>
      <c r="W380" s="93"/>
      <c r="X380" s="93" t="str">
        <f>IF($B380="Yes",COUNTIF(Reference!P$52:P$67,$K380),"")</f>
        <v/>
      </c>
      <c r="Y380" s="93" t="str">
        <f>IF($B380="Yes",COUNTIF(Reference!Q$52:Q$67,$K380),"")</f>
        <v/>
      </c>
      <c r="Z380" s="93" t="str">
        <f>IF($B380="Yes",COUNTIF(Reference!R$52:R$67,$K380),"")</f>
        <v/>
      </c>
      <c r="AA380" s="93" t="str">
        <f>IF($B380="Yes",COUNTIF(Reference!S$52:S$67,$K380),"")</f>
        <v/>
      </c>
      <c r="AB380" s="93" t="str">
        <f>IF($B380="Yes",COUNTIF(Reference!T$52:T$67,$K380),"")</f>
        <v/>
      </c>
      <c r="AC380" s="93" t="str">
        <f t="shared" si="17"/>
        <v/>
      </c>
    </row>
    <row r="381" spans="1:29" x14ac:dyDescent="0.25">
      <c r="A381" s="95">
        <v>471</v>
      </c>
      <c r="B381" s="95" t="str">
        <f t="shared" si="15"/>
        <v>No</v>
      </c>
      <c r="H381" s="95" t="str">
        <f t="shared" si="16"/>
        <v/>
      </c>
      <c r="I381" s="111"/>
      <c r="J381" s="112"/>
      <c r="K381" s="112"/>
      <c r="L381" s="112"/>
      <c r="M381" s="112"/>
      <c r="N381" s="112"/>
      <c r="O381" s="112"/>
      <c r="P381" s="112"/>
      <c r="Q381" s="112"/>
      <c r="R381" s="112"/>
      <c r="S381" s="111"/>
      <c r="T381" s="93"/>
      <c r="U381" s="93"/>
      <c r="V381" s="93"/>
      <c r="W381" s="93"/>
      <c r="X381" s="93" t="str">
        <f>IF($B381="Yes",COUNTIF(Reference!P$52:P$67,$K381),"")</f>
        <v/>
      </c>
      <c r="Y381" s="93" t="str">
        <f>IF($B381="Yes",COUNTIF(Reference!Q$52:Q$67,$K381),"")</f>
        <v/>
      </c>
      <c r="Z381" s="93" t="str">
        <f>IF($B381="Yes",COUNTIF(Reference!R$52:R$67,$K381),"")</f>
        <v/>
      </c>
      <c r="AA381" s="93" t="str">
        <f>IF($B381="Yes",COUNTIF(Reference!S$52:S$67,$K381),"")</f>
        <v/>
      </c>
      <c r="AB381" s="93" t="str">
        <f>IF($B381="Yes",COUNTIF(Reference!T$52:T$67,$K381),"")</f>
        <v/>
      </c>
      <c r="AC381" s="93" t="str">
        <f t="shared" si="17"/>
        <v/>
      </c>
    </row>
    <row r="382" spans="1:29" x14ac:dyDescent="0.25">
      <c r="A382" s="95">
        <v>472</v>
      </c>
      <c r="B382" s="95" t="str">
        <f t="shared" si="15"/>
        <v>No</v>
      </c>
      <c r="H382" s="95" t="str">
        <f t="shared" si="16"/>
        <v/>
      </c>
      <c r="I382" s="111"/>
      <c r="J382" s="112"/>
      <c r="K382" s="112"/>
      <c r="L382" s="112"/>
      <c r="M382" s="112"/>
      <c r="N382" s="112"/>
      <c r="O382" s="112"/>
      <c r="P382" s="112"/>
      <c r="Q382" s="112"/>
      <c r="R382" s="112"/>
      <c r="S382" s="111"/>
      <c r="T382" s="93"/>
      <c r="U382" s="93"/>
      <c r="V382" s="93"/>
      <c r="W382" s="93"/>
      <c r="X382" s="93" t="str">
        <f>IF($B382="Yes",COUNTIF(Reference!P$52:P$67,$K382),"")</f>
        <v/>
      </c>
      <c r="Y382" s="93" t="str">
        <f>IF($B382="Yes",COUNTIF(Reference!Q$52:Q$67,$K382),"")</f>
        <v/>
      </c>
      <c r="Z382" s="93" t="str">
        <f>IF($B382="Yes",COUNTIF(Reference!R$52:R$67,$K382),"")</f>
        <v/>
      </c>
      <c r="AA382" s="93" t="str">
        <f>IF($B382="Yes",COUNTIF(Reference!S$52:S$67,$K382),"")</f>
        <v/>
      </c>
      <c r="AB382" s="93" t="str">
        <f>IF($B382="Yes",COUNTIF(Reference!T$52:T$67,$K382),"")</f>
        <v/>
      </c>
      <c r="AC382" s="93" t="str">
        <f t="shared" si="17"/>
        <v/>
      </c>
    </row>
    <row r="383" spans="1:29" x14ac:dyDescent="0.25">
      <c r="A383" s="95">
        <v>473</v>
      </c>
      <c r="B383" s="95" t="str">
        <f t="shared" si="15"/>
        <v>No</v>
      </c>
      <c r="H383" s="95" t="str">
        <f t="shared" si="16"/>
        <v/>
      </c>
      <c r="I383" s="111"/>
      <c r="J383" s="112"/>
      <c r="K383" s="112"/>
      <c r="L383" s="112"/>
      <c r="M383" s="112"/>
      <c r="N383" s="112"/>
      <c r="O383" s="112"/>
      <c r="P383" s="112"/>
      <c r="Q383" s="112"/>
      <c r="R383" s="112"/>
      <c r="S383" s="111"/>
      <c r="T383" s="93"/>
      <c r="U383" s="93"/>
      <c r="V383" s="93"/>
      <c r="W383" s="93"/>
      <c r="X383" s="93" t="str">
        <f>IF($B383="Yes",COUNTIF(Reference!P$52:P$67,$K383),"")</f>
        <v/>
      </c>
      <c r="Y383" s="93" t="str">
        <f>IF($B383="Yes",COUNTIF(Reference!Q$52:Q$67,$K383),"")</f>
        <v/>
      </c>
      <c r="Z383" s="93" t="str">
        <f>IF($B383="Yes",COUNTIF(Reference!R$52:R$67,$K383),"")</f>
        <v/>
      </c>
      <c r="AA383" s="93" t="str">
        <f>IF($B383="Yes",COUNTIF(Reference!S$52:S$67,$K383),"")</f>
        <v/>
      </c>
      <c r="AB383" s="93" t="str">
        <f>IF($B383="Yes",COUNTIF(Reference!T$52:T$67,$K383),"")</f>
        <v/>
      </c>
      <c r="AC383" s="93" t="str">
        <f t="shared" si="17"/>
        <v/>
      </c>
    </row>
    <row r="384" spans="1:29" x14ac:dyDescent="0.25">
      <c r="A384" s="95">
        <v>474</v>
      </c>
      <c r="B384" s="95" t="str">
        <f t="shared" si="15"/>
        <v>No</v>
      </c>
      <c r="H384" s="95" t="str">
        <f t="shared" si="16"/>
        <v/>
      </c>
      <c r="I384" s="111"/>
      <c r="J384" s="112"/>
      <c r="K384" s="112"/>
      <c r="L384" s="112"/>
      <c r="M384" s="112"/>
      <c r="N384" s="112"/>
      <c r="O384" s="112"/>
      <c r="P384" s="112"/>
      <c r="Q384" s="112"/>
      <c r="R384" s="112"/>
      <c r="S384" s="111"/>
      <c r="T384" s="93"/>
      <c r="U384" s="93"/>
      <c r="V384" s="93"/>
      <c r="W384" s="93"/>
      <c r="X384" s="93" t="str">
        <f>IF($B384="Yes",COUNTIF(Reference!P$52:P$67,$K384),"")</f>
        <v/>
      </c>
      <c r="Y384" s="93" t="str">
        <f>IF($B384="Yes",COUNTIF(Reference!Q$52:Q$67,$K384),"")</f>
        <v/>
      </c>
      <c r="Z384" s="93" t="str">
        <f>IF($B384="Yes",COUNTIF(Reference!R$52:R$67,$K384),"")</f>
        <v/>
      </c>
      <c r="AA384" s="93" t="str">
        <f>IF($B384="Yes",COUNTIF(Reference!S$52:S$67,$K384),"")</f>
        <v/>
      </c>
      <c r="AB384" s="93" t="str">
        <f>IF($B384="Yes",COUNTIF(Reference!T$52:T$67,$K384),"")</f>
        <v/>
      </c>
      <c r="AC384" s="93" t="str">
        <f t="shared" si="17"/>
        <v/>
      </c>
    </row>
    <row r="385" spans="1:29" x14ac:dyDescent="0.25">
      <c r="A385" s="95">
        <v>475</v>
      </c>
      <c r="B385" s="95" t="str">
        <f t="shared" si="15"/>
        <v>No</v>
      </c>
      <c r="H385" s="95" t="str">
        <f t="shared" si="16"/>
        <v/>
      </c>
      <c r="I385" s="111"/>
      <c r="J385" s="112"/>
      <c r="K385" s="112"/>
      <c r="L385" s="112"/>
      <c r="M385" s="112"/>
      <c r="N385" s="112"/>
      <c r="O385" s="112"/>
      <c r="P385" s="112"/>
      <c r="Q385" s="112"/>
      <c r="R385" s="112"/>
      <c r="S385" s="111"/>
      <c r="T385" s="93"/>
      <c r="U385" s="93"/>
      <c r="V385" s="93"/>
      <c r="W385" s="93"/>
      <c r="X385" s="93" t="str">
        <f>IF($B385="Yes",COUNTIF(Reference!P$52:P$67,$K385),"")</f>
        <v/>
      </c>
      <c r="Y385" s="93" t="str">
        <f>IF($B385="Yes",COUNTIF(Reference!Q$52:Q$67,$K385),"")</f>
        <v/>
      </c>
      <c r="Z385" s="93" t="str">
        <f>IF($B385="Yes",COUNTIF(Reference!R$52:R$67,$K385),"")</f>
        <v/>
      </c>
      <c r="AA385" s="93" t="str">
        <f>IF($B385="Yes",COUNTIF(Reference!S$52:S$67,$K385),"")</f>
        <v/>
      </c>
      <c r="AB385" s="93" t="str">
        <f>IF($B385="Yes",COUNTIF(Reference!T$52:T$67,$K385),"")</f>
        <v/>
      </c>
      <c r="AC385" s="93" t="str">
        <f t="shared" si="17"/>
        <v/>
      </c>
    </row>
    <row r="386" spans="1:29" x14ac:dyDescent="0.25">
      <c r="A386" s="95">
        <v>476</v>
      </c>
      <c r="B386" s="95" t="str">
        <f t="shared" si="15"/>
        <v>No</v>
      </c>
      <c r="H386" s="95" t="str">
        <f t="shared" si="16"/>
        <v/>
      </c>
      <c r="I386" s="111"/>
      <c r="J386" s="112"/>
      <c r="K386" s="112"/>
      <c r="L386" s="112"/>
      <c r="M386" s="112"/>
      <c r="N386" s="112"/>
      <c r="O386" s="112"/>
      <c r="P386" s="112"/>
      <c r="Q386" s="112"/>
      <c r="R386" s="112"/>
      <c r="S386" s="111"/>
      <c r="T386" s="93"/>
      <c r="U386" s="93"/>
      <c r="V386" s="93"/>
      <c r="W386" s="93"/>
      <c r="X386" s="93" t="str">
        <f>IF($B386="Yes",COUNTIF(Reference!P$52:P$67,$K386),"")</f>
        <v/>
      </c>
      <c r="Y386" s="93" t="str">
        <f>IF($B386="Yes",COUNTIF(Reference!Q$52:Q$67,$K386),"")</f>
        <v/>
      </c>
      <c r="Z386" s="93" t="str">
        <f>IF($B386="Yes",COUNTIF(Reference!R$52:R$67,$K386),"")</f>
        <v/>
      </c>
      <c r="AA386" s="93" t="str">
        <f>IF($B386="Yes",COUNTIF(Reference!S$52:S$67,$K386),"")</f>
        <v/>
      </c>
      <c r="AB386" s="93" t="str">
        <f>IF($B386="Yes",COUNTIF(Reference!T$52:T$67,$K386),"")</f>
        <v/>
      </c>
      <c r="AC386" s="93" t="str">
        <f t="shared" si="17"/>
        <v/>
      </c>
    </row>
    <row r="387" spans="1:29" x14ac:dyDescent="0.25">
      <c r="A387" s="95">
        <v>477</v>
      </c>
      <c r="B387" s="95" t="str">
        <f t="shared" si="15"/>
        <v>No</v>
      </c>
      <c r="H387" s="95" t="str">
        <f t="shared" si="16"/>
        <v/>
      </c>
      <c r="I387" s="111"/>
      <c r="J387" s="112"/>
      <c r="K387" s="112"/>
      <c r="L387" s="112"/>
      <c r="M387" s="112"/>
      <c r="N387" s="112"/>
      <c r="O387" s="112"/>
      <c r="P387" s="112"/>
      <c r="Q387" s="112"/>
      <c r="R387" s="112"/>
      <c r="S387" s="111"/>
      <c r="T387" s="93"/>
      <c r="U387" s="93"/>
      <c r="V387" s="93"/>
      <c r="W387" s="93"/>
      <c r="X387" s="93" t="str">
        <f>IF($B387="Yes",COUNTIF(Reference!P$52:P$67,$K387),"")</f>
        <v/>
      </c>
      <c r="Y387" s="93" t="str">
        <f>IF($B387="Yes",COUNTIF(Reference!Q$52:Q$67,$K387),"")</f>
        <v/>
      </c>
      <c r="Z387" s="93" t="str">
        <f>IF($B387="Yes",COUNTIF(Reference!R$52:R$67,$K387),"")</f>
        <v/>
      </c>
      <c r="AA387" s="93" t="str">
        <f>IF($B387="Yes",COUNTIF(Reference!S$52:S$67,$K387),"")</f>
        <v/>
      </c>
      <c r="AB387" s="93" t="str">
        <f>IF($B387="Yes",COUNTIF(Reference!T$52:T$67,$K387),"")</f>
        <v/>
      </c>
      <c r="AC387" s="93" t="str">
        <f t="shared" si="17"/>
        <v/>
      </c>
    </row>
    <row r="388" spans="1:29" x14ac:dyDescent="0.25">
      <c r="A388" s="95">
        <v>478</v>
      </c>
      <c r="B388" s="95" t="str">
        <f t="shared" si="15"/>
        <v>No</v>
      </c>
      <c r="H388" s="95" t="str">
        <f t="shared" si="16"/>
        <v/>
      </c>
      <c r="I388" s="111"/>
      <c r="J388" s="112"/>
      <c r="K388" s="112"/>
      <c r="L388" s="112"/>
      <c r="M388" s="112"/>
      <c r="N388" s="112"/>
      <c r="O388" s="112"/>
      <c r="P388" s="112"/>
      <c r="Q388" s="112"/>
      <c r="R388" s="112"/>
      <c r="S388" s="111"/>
      <c r="T388" s="93"/>
      <c r="U388" s="93"/>
      <c r="V388" s="93"/>
      <c r="W388" s="93"/>
      <c r="X388" s="93" t="str">
        <f>IF($B388="Yes",COUNTIF(Reference!P$52:P$67,$K388),"")</f>
        <v/>
      </c>
      <c r="Y388" s="93" t="str">
        <f>IF($B388="Yes",COUNTIF(Reference!Q$52:Q$67,$K388),"")</f>
        <v/>
      </c>
      <c r="Z388" s="93" t="str">
        <f>IF($B388="Yes",COUNTIF(Reference!R$52:R$67,$K388),"")</f>
        <v/>
      </c>
      <c r="AA388" s="93" t="str">
        <f>IF($B388="Yes",COUNTIF(Reference!S$52:S$67,$K388),"")</f>
        <v/>
      </c>
      <c r="AB388" s="93" t="str">
        <f>IF($B388="Yes",COUNTIF(Reference!T$52:T$67,$K388),"")</f>
        <v/>
      </c>
      <c r="AC388" s="93" t="str">
        <f t="shared" si="17"/>
        <v/>
      </c>
    </row>
    <row r="389" spans="1:29" x14ac:dyDescent="0.25">
      <c r="A389" s="95">
        <v>479</v>
      </c>
      <c r="B389" s="95" t="str">
        <f t="shared" si="15"/>
        <v>No</v>
      </c>
      <c r="H389" s="95" t="str">
        <f t="shared" si="16"/>
        <v/>
      </c>
      <c r="I389" s="111"/>
      <c r="J389" s="112"/>
      <c r="K389" s="112"/>
      <c r="L389" s="112"/>
      <c r="M389" s="112"/>
      <c r="N389" s="112"/>
      <c r="O389" s="112"/>
      <c r="P389" s="112"/>
      <c r="Q389" s="112"/>
      <c r="R389" s="112"/>
      <c r="S389" s="111"/>
      <c r="T389" s="93"/>
      <c r="U389" s="93"/>
      <c r="V389" s="93"/>
      <c r="W389" s="93"/>
      <c r="X389" s="93" t="str">
        <f>IF($B389="Yes",COUNTIF(Reference!P$52:P$67,$K389),"")</f>
        <v/>
      </c>
      <c r="Y389" s="93" t="str">
        <f>IF($B389="Yes",COUNTIF(Reference!Q$52:Q$67,$K389),"")</f>
        <v/>
      </c>
      <c r="Z389" s="93" t="str">
        <f>IF($B389="Yes",COUNTIF(Reference!R$52:R$67,$K389),"")</f>
        <v/>
      </c>
      <c r="AA389" s="93" t="str">
        <f>IF($B389="Yes",COUNTIF(Reference!S$52:S$67,$K389),"")</f>
        <v/>
      </c>
      <c r="AB389" s="93" t="str">
        <f>IF($B389="Yes",COUNTIF(Reference!T$52:T$67,$K389),"")</f>
        <v/>
      </c>
      <c r="AC389" s="93" t="str">
        <f t="shared" si="17"/>
        <v/>
      </c>
    </row>
    <row r="390" spans="1:29" x14ac:dyDescent="0.25">
      <c r="A390" s="95">
        <v>480</v>
      </c>
      <c r="B390" s="95" t="str">
        <f t="shared" si="15"/>
        <v>No</v>
      </c>
      <c r="H390" s="95" t="str">
        <f t="shared" si="16"/>
        <v/>
      </c>
      <c r="I390" s="111"/>
      <c r="J390" s="112"/>
      <c r="K390" s="112"/>
      <c r="L390" s="112"/>
      <c r="M390" s="112"/>
      <c r="N390" s="112"/>
      <c r="O390" s="112"/>
      <c r="P390" s="112"/>
      <c r="Q390" s="112"/>
      <c r="R390" s="112"/>
      <c r="S390" s="111"/>
      <c r="T390" s="93"/>
      <c r="U390" s="93"/>
      <c r="V390" s="93"/>
      <c r="W390" s="93"/>
      <c r="X390" s="93" t="str">
        <f>IF($B390="Yes",COUNTIF(Reference!P$52:P$67,$K390),"")</f>
        <v/>
      </c>
      <c r="Y390" s="93" t="str">
        <f>IF($B390="Yes",COUNTIF(Reference!Q$52:Q$67,$K390),"")</f>
        <v/>
      </c>
      <c r="Z390" s="93" t="str">
        <f>IF($B390="Yes",COUNTIF(Reference!R$52:R$67,$K390),"")</f>
        <v/>
      </c>
      <c r="AA390" s="93" t="str">
        <f>IF($B390="Yes",COUNTIF(Reference!S$52:S$67,$K390),"")</f>
        <v/>
      </c>
      <c r="AB390" s="93" t="str">
        <f>IF($B390="Yes",COUNTIF(Reference!T$52:T$67,$K390),"")</f>
        <v/>
      </c>
      <c r="AC390" s="93" t="str">
        <f t="shared" si="17"/>
        <v/>
      </c>
    </row>
    <row r="391" spans="1:29" x14ac:dyDescent="0.25">
      <c r="A391" s="95">
        <v>481</v>
      </c>
      <c r="B391" s="95" t="str">
        <f t="shared" si="15"/>
        <v>No</v>
      </c>
      <c r="H391" s="95" t="str">
        <f t="shared" si="16"/>
        <v/>
      </c>
      <c r="I391" s="111"/>
      <c r="J391" s="112"/>
      <c r="K391" s="112"/>
      <c r="L391" s="112"/>
      <c r="M391" s="112"/>
      <c r="N391" s="112"/>
      <c r="O391" s="112"/>
      <c r="P391" s="112"/>
      <c r="Q391" s="112"/>
      <c r="R391" s="112"/>
      <c r="S391" s="111"/>
      <c r="T391" s="93"/>
      <c r="U391" s="93"/>
      <c r="V391" s="93"/>
      <c r="W391" s="93"/>
      <c r="X391" s="93" t="str">
        <f>IF($B391="Yes",COUNTIF(Reference!P$52:P$67,$K391),"")</f>
        <v/>
      </c>
      <c r="Y391" s="93" t="str">
        <f>IF($B391="Yes",COUNTIF(Reference!Q$52:Q$67,$K391),"")</f>
        <v/>
      </c>
      <c r="Z391" s="93" t="str">
        <f>IF($B391="Yes",COUNTIF(Reference!R$52:R$67,$K391),"")</f>
        <v/>
      </c>
      <c r="AA391" s="93" t="str">
        <f>IF($B391="Yes",COUNTIF(Reference!S$52:S$67,$K391),"")</f>
        <v/>
      </c>
      <c r="AB391" s="93" t="str">
        <f>IF($B391="Yes",COUNTIF(Reference!T$52:T$67,$K391),"")</f>
        <v/>
      </c>
      <c r="AC391" s="93" t="str">
        <f t="shared" si="17"/>
        <v/>
      </c>
    </row>
    <row r="392" spans="1:29" x14ac:dyDescent="0.25">
      <c r="A392" s="95">
        <v>482</v>
      </c>
      <c r="B392" s="95" t="str">
        <f t="shared" si="15"/>
        <v>No</v>
      </c>
      <c r="H392" s="95" t="str">
        <f t="shared" si="16"/>
        <v/>
      </c>
      <c r="I392" s="111"/>
      <c r="J392" s="112"/>
      <c r="K392" s="112"/>
      <c r="L392" s="112"/>
      <c r="M392" s="112"/>
      <c r="N392" s="112"/>
      <c r="O392" s="112"/>
      <c r="P392" s="112"/>
      <c r="Q392" s="112"/>
      <c r="R392" s="112"/>
      <c r="S392" s="111"/>
      <c r="T392" s="93"/>
      <c r="U392" s="93"/>
      <c r="V392" s="93"/>
      <c r="W392" s="93"/>
      <c r="X392" s="93" t="str">
        <f>IF($B392="Yes",COUNTIF(Reference!P$52:P$67,$K392),"")</f>
        <v/>
      </c>
      <c r="Y392" s="93" t="str">
        <f>IF($B392="Yes",COUNTIF(Reference!Q$52:Q$67,$K392),"")</f>
        <v/>
      </c>
      <c r="Z392" s="93" t="str">
        <f>IF($B392="Yes",COUNTIF(Reference!R$52:R$67,$K392),"")</f>
        <v/>
      </c>
      <c r="AA392" s="93" t="str">
        <f>IF($B392="Yes",COUNTIF(Reference!S$52:S$67,$K392),"")</f>
        <v/>
      </c>
      <c r="AB392" s="93" t="str">
        <f>IF($B392="Yes",COUNTIF(Reference!T$52:T$67,$K392),"")</f>
        <v/>
      </c>
      <c r="AC392" s="93" t="str">
        <f t="shared" si="17"/>
        <v/>
      </c>
    </row>
    <row r="393" spans="1:29" x14ac:dyDescent="0.25">
      <c r="A393" s="95">
        <v>483</v>
      </c>
      <c r="B393" s="95" t="str">
        <f t="shared" si="15"/>
        <v>No</v>
      </c>
      <c r="H393" s="95" t="str">
        <f t="shared" si="16"/>
        <v/>
      </c>
      <c r="I393" s="111"/>
      <c r="J393" s="112"/>
      <c r="K393" s="112"/>
      <c r="L393" s="112"/>
      <c r="M393" s="112"/>
      <c r="N393" s="112"/>
      <c r="O393" s="112"/>
      <c r="P393" s="112"/>
      <c r="Q393" s="112"/>
      <c r="R393" s="112"/>
      <c r="S393" s="111"/>
      <c r="T393" s="93"/>
      <c r="U393" s="93"/>
      <c r="V393" s="93"/>
      <c r="W393" s="93"/>
      <c r="X393" s="93" t="str">
        <f>IF($B393="Yes",COUNTIF(Reference!P$52:P$67,$K393),"")</f>
        <v/>
      </c>
      <c r="Y393" s="93" t="str">
        <f>IF($B393="Yes",COUNTIF(Reference!Q$52:Q$67,$K393),"")</f>
        <v/>
      </c>
      <c r="Z393" s="93" t="str">
        <f>IF($B393="Yes",COUNTIF(Reference!R$52:R$67,$K393),"")</f>
        <v/>
      </c>
      <c r="AA393" s="93" t="str">
        <f>IF($B393="Yes",COUNTIF(Reference!S$52:S$67,$K393),"")</f>
        <v/>
      </c>
      <c r="AB393" s="93" t="str">
        <f>IF($B393="Yes",COUNTIF(Reference!T$52:T$67,$K393),"")</f>
        <v/>
      </c>
      <c r="AC393" s="93" t="str">
        <f t="shared" si="17"/>
        <v/>
      </c>
    </row>
    <row r="394" spans="1:29" x14ac:dyDescent="0.25">
      <c r="A394" s="95">
        <v>484</v>
      </c>
      <c r="B394" s="95" t="str">
        <f t="shared" si="15"/>
        <v>No</v>
      </c>
      <c r="H394" s="95" t="str">
        <f t="shared" si="16"/>
        <v/>
      </c>
      <c r="I394" s="111"/>
      <c r="J394" s="112"/>
      <c r="K394" s="112"/>
      <c r="L394" s="112"/>
      <c r="M394" s="112"/>
      <c r="N394" s="112"/>
      <c r="O394" s="112"/>
      <c r="P394" s="112"/>
      <c r="Q394" s="112"/>
      <c r="R394" s="112"/>
      <c r="S394" s="111"/>
      <c r="T394" s="93"/>
      <c r="U394" s="93"/>
      <c r="V394" s="93"/>
      <c r="W394" s="93"/>
      <c r="X394" s="93" t="str">
        <f>IF($B394="Yes",COUNTIF(Reference!P$52:P$67,$K394),"")</f>
        <v/>
      </c>
      <c r="Y394" s="93" t="str">
        <f>IF($B394="Yes",COUNTIF(Reference!Q$52:Q$67,$K394),"")</f>
        <v/>
      </c>
      <c r="Z394" s="93" t="str">
        <f>IF($B394="Yes",COUNTIF(Reference!R$52:R$67,$K394),"")</f>
        <v/>
      </c>
      <c r="AA394" s="93" t="str">
        <f>IF($B394="Yes",COUNTIF(Reference!S$52:S$67,$K394),"")</f>
        <v/>
      </c>
      <c r="AB394" s="93" t="str">
        <f>IF($B394="Yes",COUNTIF(Reference!T$52:T$67,$K394),"")</f>
        <v/>
      </c>
      <c r="AC394" s="93" t="str">
        <f t="shared" si="17"/>
        <v/>
      </c>
    </row>
    <row r="395" spans="1:29" x14ac:dyDescent="0.25">
      <c r="A395" s="95">
        <v>485</v>
      </c>
      <c r="B395" s="95" t="str">
        <f t="shared" ref="B395:B458" si="18">IF(COUNTBLANK(J395:M395)=0,"Yes","No")</f>
        <v>No</v>
      </c>
      <c r="H395" s="95" t="str">
        <f t="shared" ref="H395:H458" si="19">IF(J395="","",$A$1&amp;"-"&amp;A395)</f>
        <v/>
      </c>
      <c r="I395" s="111"/>
      <c r="J395" s="112"/>
      <c r="K395" s="112"/>
      <c r="L395" s="112"/>
      <c r="M395" s="112"/>
      <c r="N395" s="112"/>
      <c r="O395" s="112"/>
      <c r="P395" s="112"/>
      <c r="Q395" s="112"/>
      <c r="R395" s="112"/>
      <c r="S395" s="111"/>
      <c r="T395" s="93"/>
      <c r="U395" s="93"/>
      <c r="V395" s="93"/>
      <c r="W395" s="93"/>
      <c r="X395" s="93" t="str">
        <f>IF($B395="Yes",COUNTIF(Reference!P$52:P$67,$K395),"")</f>
        <v/>
      </c>
      <c r="Y395" s="93" t="str">
        <f>IF($B395="Yes",COUNTIF(Reference!Q$52:Q$67,$K395),"")</f>
        <v/>
      </c>
      <c r="Z395" s="93" t="str">
        <f>IF($B395="Yes",COUNTIF(Reference!R$52:R$67,$K395),"")</f>
        <v/>
      </c>
      <c r="AA395" s="93" t="str">
        <f>IF($B395="Yes",COUNTIF(Reference!S$52:S$67,$K395),"")</f>
        <v/>
      </c>
      <c r="AB395" s="93" t="str">
        <f>IF($B395="Yes",COUNTIF(Reference!T$52:T$67,$K395),"")</f>
        <v/>
      </c>
      <c r="AC395" s="93" t="str">
        <f t="shared" ref="AC395:AC458" si="20">IF($B395="Yes",COUNTIF(K395,"N"),"")</f>
        <v/>
      </c>
    </row>
    <row r="396" spans="1:29" x14ac:dyDescent="0.25">
      <c r="A396" s="95">
        <v>486</v>
      </c>
      <c r="B396" s="95" t="str">
        <f t="shared" si="18"/>
        <v>No</v>
      </c>
      <c r="H396" s="95" t="str">
        <f t="shared" si="19"/>
        <v/>
      </c>
      <c r="I396" s="111"/>
      <c r="J396" s="112"/>
      <c r="K396" s="112"/>
      <c r="L396" s="112"/>
      <c r="M396" s="112"/>
      <c r="N396" s="112"/>
      <c r="O396" s="112"/>
      <c r="P396" s="112"/>
      <c r="Q396" s="112"/>
      <c r="R396" s="112"/>
      <c r="S396" s="111"/>
      <c r="T396" s="93"/>
      <c r="U396" s="93"/>
      <c r="V396" s="93"/>
      <c r="W396" s="93"/>
      <c r="X396" s="93" t="str">
        <f>IF($B396="Yes",COUNTIF(Reference!P$52:P$67,$K396),"")</f>
        <v/>
      </c>
      <c r="Y396" s="93" t="str">
        <f>IF($B396="Yes",COUNTIF(Reference!Q$52:Q$67,$K396),"")</f>
        <v/>
      </c>
      <c r="Z396" s="93" t="str">
        <f>IF($B396="Yes",COUNTIF(Reference!R$52:R$67,$K396),"")</f>
        <v/>
      </c>
      <c r="AA396" s="93" t="str">
        <f>IF($B396="Yes",COUNTIF(Reference!S$52:S$67,$K396),"")</f>
        <v/>
      </c>
      <c r="AB396" s="93" t="str">
        <f>IF($B396="Yes",COUNTIF(Reference!T$52:T$67,$K396),"")</f>
        <v/>
      </c>
      <c r="AC396" s="93" t="str">
        <f t="shared" si="20"/>
        <v/>
      </c>
    </row>
    <row r="397" spans="1:29" x14ac:dyDescent="0.25">
      <c r="A397" s="95">
        <v>487</v>
      </c>
      <c r="B397" s="95" t="str">
        <f t="shared" si="18"/>
        <v>No</v>
      </c>
      <c r="H397" s="95" t="str">
        <f t="shared" si="19"/>
        <v/>
      </c>
      <c r="I397" s="111"/>
      <c r="J397" s="112"/>
      <c r="K397" s="112"/>
      <c r="L397" s="112"/>
      <c r="M397" s="112"/>
      <c r="N397" s="112"/>
      <c r="O397" s="112"/>
      <c r="P397" s="112"/>
      <c r="Q397" s="112"/>
      <c r="R397" s="112"/>
      <c r="S397" s="111"/>
      <c r="T397" s="93"/>
      <c r="U397" s="93"/>
      <c r="V397" s="93"/>
      <c r="W397" s="93"/>
      <c r="X397" s="93" t="str">
        <f>IF($B397="Yes",COUNTIF(Reference!P$52:P$67,$K397),"")</f>
        <v/>
      </c>
      <c r="Y397" s="93" t="str">
        <f>IF($B397="Yes",COUNTIF(Reference!Q$52:Q$67,$K397),"")</f>
        <v/>
      </c>
      <c r="Z397" s="93" t="str">
        <f>IF($B397="Yes",COUNTIF(Reference!R$52:R$67,$K397),"")</f>
        <v/>
      </c>
      <c r="AA397" s="93" t="str">
        <f>IF($B397="Yes",COUNTIF(Reference!S$52:S$67,$K397),"")</f>
        <v/>
      </c>
      <c r="AB397" s="93" t="str">
        <f>IF($B397="Yes",COUNTIF(Reference!T$52:T$67,$K397),"")</f>
        <v/>
      </c>
      <c r="AC397" s="93" t="str">
        <f t="shared" si="20"/>
        <v/>
      </c>
    </row>
    <row r="398" spans="1:29" x14ac:dyDescent="0.25">
      <c r="A398" s="95">
        <v>488</v>
      </c>
      <c r="B398" s="95" t="str">
        <f t="shared" si="18"/>
        <v>No</v>
      </c>
      <c r="H398" s="95" t="str">
        <f t="shared" si="19"/>
        <v/>
      </c>
      <c r="I398" s="111"/>
      <c r="J398" s="112"/>
      <c r="K398" s="112"/>
      <c r="L398" s="112"/>
      <c r="M398" s="112"/>
      <c r="N398" s="112"/>
      <c r="O398" s="112"/>
      <c r="P398" s="112"/>
      <c r="Q398" s="112"/>
      <c r="R398" s="112"/>
      <c r="S398" s="111"/>
      <c r="T398" s="93"/>
      <c r="U398" s="93"/>
      <c r="V398" s="93"/>
      <c r="W398" s="93"/>
      <c r="X398" s="93" t="str">
        <f>IF($B398="Yes",COUNTIF(Reference!P$52:P$67,$K398),"")</f>
        <v/>
      </c>
      <c r="Y398" s="93" t="str">
        <f>IF($B398="Yes",COUNTIF(Reference!Q$52:Q$67,$K398),"")</f>
        <v/>
      </c>
      <c r="Z398" s="93" t="str">
        <f>IF($B398="Yes",COUNTIF(Reference!R$52:R$67,$K398),"")</f>
        <v/>
      </c>
      <c r="AA398" s="93" t="str">
        <f>IF($B398="Yes",COUNTIF(Reference!S$52:S$67,$K398),"")</f>
        <v/>
      </c>
      <c r="AB398" s="93" t="str">
        <f>IF($B398="Yes",COUNTIF(Reference!T$52:T$67,$K398),"")</f>
        <v/>
      </c>
      <c r="AC398" s="93" t="str">
        <f t="shared" si="20"/>
        <v/>
      </c>
    </row>
    <row r="399" spans="1:29" x14ac:dyDescent="0.25">
      <c r="A399" s="95">
        <v>489</v>
      </c>
      <c r="B399" s="95" t="str">
        <f t="shared" si="18"/>
        <v>No</v>
      </c>
      <c r="H399" s="95" t="str">
        <f t="shared" si="19"/>
        <v/>
      </c>
      <c r="I399" s="111"/>
      <c r="J399" s="112"/>
      <c r="K399" s="112"/>
      <c r="L399" s="112"/>
      <c r="M399" s="112"/>
      <c r="N399" s="112"/>
      <c r="O399" s="112"/>
      <c r="P399" s="112"/>
      <c r="Q399" s="112"/>
      <c r="R399" s="112"/>
      <c r="S399" s="111"/>
      <c r="T399" s="93"/>
      <c r="U399" s="93"/>
      <c r="V399" s="93"/>
      <c r="W399" s="93"/>
      <c r="X399" s="93" t="str">
        <f>IF($B399="Yes",COUNTIF(Reference!P$52:P$67,$K399),"")</f>
        <v/>
      </c>
      <c r="Y399" s="93" t="str">
        <f>IF($B399="Yes",COUNTIF(Reference!Q$52:Q$67,$K399),"")</f>
        <v/>
      </c>
      <c r="Z399" s="93" t="str">
        <f>IF($B399="Yes",COUNTIF(Reference!R$52:R$67,$K399),"")</f>
        <v/>
      </c>
      <c r="AA399" s="93" t="str">
        <f>IF($B399="Yes",COUNTIF(Reference!S$52:S$67,$K399),"")</f>
        <v/>
      </c>
      <c r="AB399" s="93" t="str">
        <f>IF($B399="Yes",COUNTIF(Reference!T$52:T$67,$K399),"")</f>
        <v/>
      </c>
      <c r="AC399" s="93" t="str">
        <f t="shared" si="20"/>
        <v/>
      </c>
    </row>
    <row r="400" spans="1:29" x14ac:dyDescent="0.25">
      <c r="A400" s="95">
        <v>490</v>
      </c>
      <c r="B400" s="95" t="str">
        <f t="shared" si="18"/>
        <v>No</v>
      </c>
      <c r="H400" s="95" t="str">
        <f t="shared" si="19"/>
        <v/>
      </c>
      <c r="I400" s="111"/>
      <c r="J400" s="112"/>
      <c r="K400" s="112"/>
      <c r="L400" s="112"/>
      <c r="M400" s="112"/>
      <c r="N400" s="112"/>
      <c r="O400" s="112"/>
      <c r="P400" s="112"/>
      <c r="Q400" s="112"/>
      <c r="R400" s="112"/>
      <c r="S400" s="111"/>
      <c r="T400" s="93"/>
      <c r="U400" s="93"/>
      <c r="V400" s="93"/>
      <c r="W400" s="93"/>
      <c r="X400" s="93" t="str">
        <f>IF($B400="Yes",COUNTIF(Reference!P$52:P$67,$K400),"")</f>
        <v/>
      </c>
      <c r="Y400" s="93" t="str">
        <f>IF($B400="Yes",COUNTIF(Reference!Q$52:Q$67,$K400),"")</f>
        <v/>
      </c>
      <c r="Z400" s="93" t="str">
        <f>IF($B400="Yes",COUNTIF(Reference!R$52:R$67,$K400),"")</f>
        <v/>
      </c>
      <c r="AA400" s="93" t="str">
        <f>IF($B400="Yes",COUNTIF(Reference!S$52:S$67,$K400),"")</f>
        <v/>
      </c>
      <c r="AB400" s="93" t="str">
        <f>IF($B400="Yes",COUNTIF(Reference!T$52:T$67,$K400),"")</f>
        <v/>
      </c>
      <c r="AC400" s="93" t="str">
        <f t="shared" si="20"/>
        <v/>
      </c>
    </row>
    <row r="401" spans="1:29" x14ac:dyDescent="0.25">
      <c r="A401" s="95">
        <v>491</v>
      </c>
      <c r="B401" s="95" t="str">
        <f t="shared" si="18"/>
        <v>No</v>
      </c>
      <c r="H401" s="95" t="str">
        <f t="shared" si="19"/>
        <v/>
      </c>
      <c r="I401" s="111"/>
      <c r="J401" s="112"/>
      <c r="K401" s="112"/>
      <c r="L401" s="112"/>
      <c r="M401" s="112"/>
      <c r="N401" s="112"/>
      <c r="O401" s="112"/>
      <c r="P401" s="112"/>
      <c r="Q401" s="112"/>
      <c r="R401" s="112"/>
      <c r="S401" s="111"/>
      <c r="T401" s="93"/>
      <c r="U401" s="93"/>
      <c r="V401" s="93"/>
      <c r="W401" s="93"/>
      <c r="X401" s="93" t="str">
        <f>IF($B401="Yes",COUNTIF(Reference!P$52:P$67,$K401),"")</f>
        <v/>
      </c>
      <c r="Y401" s="93" t="str">
        <f>IF($B401="Yes",COUNTIF(Reference!Q$52:Q$67,$K401),"")</f>
        <v/>
      </c>
      <c r="Z401" s="93" t="str">
        <f>IF($B401="Yes",COUNTIF(Reference!R$52:R$67,$K401),"")</f>
        <v/>
      </c>
      <c r="AA401" s="93" t="str">
        <f>IF($B401="Yes",COUNTIF(Reference!S$52:S$67,$K401),"")</f>
        <v/>
      </c>
      <c r="AB401" s="93" t="str">
        <f>IF($B401="Yes",COUNTIF(Reference!T$52:T$67,$K401),"")</f>
        <v/>
      </c>
      <c r="AC401" s="93" t="str">
        <f t="shared" si="20"/>
        <v/>
      </c>
    </row>
    <row r="402" spans="1:29" x14ac:dyDescent="0.25">
      <c r="A402" s="95">
        <v>492</v>
      </c>
      <c r="B402" s="95" t="str">
        <f t="shared" si="18"/>
        <v>No</v>
      </c>
      <c r="H402" s="95" t="str">
        <f t="shared" si="19"/>
        <v/>
      </c>
      <c r="I402" s="111"/>
      <c r="J402" s="112"/>
      <c r="K402" s="112"/>
      <c r="L402" s="112"/>
      <c r="M402" s="112"/>
      <c r="N402" s="112"/>
      <c r="O402" s="112"/>
      <c r="P402" s="112"/>
      <c r="Q402" s="112"/>
      <c r="R402" s="112"/>
      <c r="S402" s="111"/>
      <c r="T402" s="93"/>
      <c r="U402" s="93"/>
      <c r="V402" s="93"/>
      <c r="W402" s="93"/>
      <c r="X402" s="93" t="str">
        <f>IF($B402="Yes",COUNTIF(Reference!P$52:P$67,$K402),"")</f>
        <v/>
      </c>
      <c r="Y402" s="93" t="str">
        <f>IF($B402="Yes",COUNTIF(Reference!Q$52:Q$67,$K402),"")</f>
        <v/>
      </c>
      <c r="Z402" s="93" t="str">
        <f>IF($B402="Yes",COUNTIF(Reference!R$52:R$67,$K402),"")</f>
        <v/>
      </c>
      <c r="AA402" s="93" t="str">
        <f>IF($B402="Yes",COUNTIF(Reference!S$52:S$67,$K402),"")</f>
        <v/>
      </c>
      <c r="AB402" s="93" t="str">
        <f>IF($B402="Yes",COUNTIF(Reference!T$52:T$67,$K402),"")</f>
        <v/>
      </c>
      <c r="AC402" s="93" t="str">
        <f t="shared" si="20"/>
        <v/>
      </c>
    </row>
    <row r="403" spans="1:29" x14ac:dyDescent="0.25">
      <c r="A403" s="95">
        <v>493</v>
      </c>
      <c r="B403" s="95" t="str">
        <f t="shared" si="18"/>
        <v>No</v>
      </c>
      <c r="H403" s="95" t="str">
        <f t="shared" si="19"/>
        <v/>
      </c>
      <c r="I403" s="111"/>
      <c r="J403" s="112"/>
      <c r="K403" s="112"/>
      <c r="L403" s="112"/>
      <c r="M403" s="112"/>
      <c r="N403" s="112"/>
      <c r="O403" s="112"/>
      <c r="P403" s="112"/>
      <c r="Q403" s="112"/>
      <c r="R403" s="112"/>
      <c r="S403" s="111"/>
      <c r="T403" s="93"/>
      <c r="U403" s="93"/>
      <c r="V403" s="93"/>
      <c r="W403" s="93"/>
      <c r="X403" s="93" t="str">
        <f>IF($B403="Yes",COUNTIF(Reference!P$52:P$67,$K403),"")</f>
        <v/>
      </c>
      <c r="Y403" s="93" t="str">
        <f>IF($B403="Yes",COUNTIF(Reference!Q$52:Q$67,$K403),"")</f>
        <v/>
      </c>
      <c r="Z403" s="93" t="str">
        <f>IF($B403="Yes",COUNTIF(Reference!R$52:R$67,$K403),"")</f>
        <v/>
      </c>
      <c r="AA403" s="93" t="str">
        <f>IF($B403="Yes",COUNTIF(Reference!S$52:S$67,$K403),"")</f>
        <v/>
      </c>
      <c r="AB403" s="93" t="str">
        <f>IF($B403="Yes",COUNTIF(Reference!T$52:T$67,$K403),"")</f>
        <v/>
      </c>
      <c r="AC403" s="93" t="str">
        <f t="shared" si="20"/>
        <v/>
      </c>
    </row>
    <row r="404" spans="1:29" x14ac:dyDescent="0.25">
      <c r="A404" s="95">
        <v>494</v>
      </c>
      <c r="B404" s="95" t="str">
        <f t="shared" si="18"/>
        <v>No</v>
      </c>
      <c r="H404" s="95" t="str">
        <f t="shared" si="19"/>
        <v/>
      </c>
      <c r="I404" s="111"/>
      <c r="J404" s="112"/>
      <c r="K404" s="112"/>
      <c r="L404" s="112"/>
      <c r="M404" s="112"/>
      <c r="N404" s="112"/>
      <c r="O404" s="112"/>
      <c r="P404" s="112"/>
      <c r="Q404" s="112"/>
      <c r="R404" s="112"/>
      <c r="S404" s="111"/>
      <c r="T404" s="93"/>
      <c r="U404" s="93"/>
      <c r="V404" s="93"/>
      <c r="W404" s="93"/>
      <c r="X404" s="93" t="str">
        <f>IF($B404="Yes",COUNTIF(Reference!P$52:P$67,$K404),"")</f>
        <v/>
      </c>
      <c r="Y404" s="93" t="str">
        <f>IF($B404="Yes",COUNTIF(Reference!Q$52:Q$67,$K404),"")</f>
        <v/>
      </c>
      <c r="Z404" s="93" t="str">
        <f>IF($B404="Yes",COUNTIF(Reference!R$52:R$67,$K404),"")</f>
        <v/>
      </c>
      <c r="AA404" s="93" t="str">
        <f>IF($B404="Yes",COUNTIF(Reference!S$52:S$67,$K404),"")</f>
        <v/>
      </c>
      <c r="AB404" s="93" t="str">
        <f>IF($B404="Yes",COUNTIF(Reference!T$52:T$67,$K404),"")</f>
        <v/>
      </c>
      <c r="AC404" s="93" t="str">
        <f t="shared" si="20"/>
        <v/>
      </c>
    </row>
    <row r="405" spans="1:29" x14ac:dyDescent="0.25">
      <c r="A405" s="95">
        <v>495</v>
      </c>
      <c r="B405" s="95" t="str">
        <f t="shared" si="18"/>
        <v>No</v>
      </c>
      <c r="H405" s="95" t="str">
        <f t="shared" si="19"/>
        <v/>
      </c>
      <c r="I405" s="111"/>
      <c r="J405" s="112"/>
      <c r="K405" s="112"/>
      <c r="L405" s="112"/>
      <c r="M405" s="112"/>
      <c r="N405" s="112"/>
      <c r="O405" s="112"/>
      <c r="P405" s="112"/>
      <c r="Q405" s="112"/>
      <c r="R405" s="112"/>
      <c r="S405" s="111"/>
      <c r="T405" s="93"/>
      <c r="U405" s="93"/>
      <c r="V405" s="93"/>
      <c r="W405" s="93"/>
      <c r="X405" s="93" t="str">
        <f>IF($B405="Yes",COUNTIF(Reference!P$52:P$67,$K405),"")</f>
        <v/>
      </c>
      <c r="Y405" s="93" t="str">
        <f>IF($B405="Yes",COUNTIF(Reference!Q$52:Q$67,$K405),"")</f>
        <v/>
      </c>
      <c r="Z405" s="93" t="str">
        <f>IF($B405="Yes",COUNTIF(Reference!R$52:R$67,$K405),"")</f>
        <v/>
      </c>
      <c r="AA405" s="93" t="str">
        <f>IF($B405="Yes",COUNTIF(Reference!S$52:S$67,$K405),"")</f>
        <v/>
      </c>
      <c r="AB405" s="93" t="str">
        <f>IF($B405="Yes",COUNTIF(Reference!T$52:T$67,$K405),"")</f>
        <v/>
      </c>
      <c r="AC405" s="93" t="str">
        <f t="shared" si="20"/>
        <v/>
      </c>
    </row>
    <row r="406" spans="1:29" x14ac:dyDescent="0.25">
      <c r="A406" s="95">
        <v>496</v>
      </c>
      <c r="B406" s="95" t="str">
        <f t="shared" si="18"/>
        <v>No</v>
      </c>
      <c r="H406" s="95" t="str">
        <f t="shared" si="19"/>
        <v/>
      </c>
      <c r="I406" s="111"/>
      <c r="J406" s="112"/>
      <c r="K406" s="112"/>
      <c r="L406" s="112"/>
      <c r="M406" s="112"/>
      <c r="N406" s="112"/>
      <c r="O406" s="112"/>
      <c r="P406" s="112"/>
      <c r="Q406" s="112"/>
      <c r="R406" s="112"/>
      <c r="S406" s="111"/>
      <c r="T406" s="93"/>
      <c r="U406" s="93"/>
      <c r="V406" s="93"/>
      <c r="W406" s="93"/>
      <c r="X406" s="93" t="str">
        <f>IF($B406="Yes",COUNTIF(Reference!P$52:P$67,$K406),"")</f>
        <v/>
      </c>
      <c r="Y406" s="93" t="str">
        <f>IF($B406="Yes",COUNTIF(Reference!Q$52:Q$67,$K406),"")</f>
        <v/>
      </c>
      <c r="Z406" s="93" t="str">
        <f>IF($B406="Yes",COUNTIF(Reference!R$52:R$67,$K406),"")</f>
        <v/>
      </c>
      <c r="AA406" s="93" t="str">
        <f>IF($B406="Yes",COUNTIF(Reference!S$52:S$67,$K406),"")</f>
        <v/>
      </c>
      <c r="AB406" s="93" t="str">
        <f>IF($B406="Yes",COUNTIF(Reference!T$52:T$67,$K406),"")</f>
        <v/>
      </c>
      <c r="AC406" s="93" t="str">
        <f t="shared" si="20"/>
        <v/>
      </c>
    </row>
    <row r="407" spans="1:29" x14ac:dyDescent="0.25">
      <c r="A407" s="95">
        <v>497</v>
      </c>
      <c r="B407" s="95" t="str">
        <f t="shared" si="18"/>
        <v>No</v>
      </c>
      <c r="H407" s="95" t="str">
        <f t="shared" si="19"/>
        <v/>
      </c>
      <c r="I407" s="111"/>
      <c r="J407" s="112"/>
      <c r="K407" s="112"/>
      <c r="L407" s="112"/>
      <c r="M407" s="112"/>
      <c r="N407" s="112"/>
      <c r="O407" s="112"/>
      <c r="P407" s="112"/>
      <c r="Q407" s="112"/>
      <c r="R407" s="112"/>
      <c r="S407" s="111"/>
      <c r="T407" s="93"/>
      <c r="U407" s="93"/>
      <c r="V407" s="93"/>
      <c r="W407" s="93"/>
      <c r="X407" s="93" t="str">
        <f>IF($B407="Yes",COUNTIF(Reference!P$52:P$67,$K407),"")</f>
        <v/>
      </c>
      <c r="Y407" s="93" t="str">
        <f>IF($B407="Yes",COUNTIF(Reference!Q$52:Q$67,$K407),"")</f>
        <v/>
      </c>
      <c r="Z407" s="93" t="str">
        <f>IF($B407="Yes",COUNTIF(Reference!R$52:R$67,$K407),"")</f>
        <v/>
      </c>
      <c r="AA407" s="93" t="str">
        <f>IF($B407="Yes",COUNTIF(Reference!S$52:S$67,$K407),"")</f>
        <v/>
      </c>
      <c r="AB407" s="93" t="str">
        <f>IF($B407="Yes",COUNTIF(Reference!T$52:T$67,$K407),"")</f>
        <v/>
      </c>
      <c r="AC407" s="93" t="str">
        <f t="shared" si="20"/>
        <v/>
      </c>
    </row>
    <row r="408" spans="1:29" x14ac:dyDescent="0.25">
      <c r="A408" s="95">
        <v>498</v>
      </c>
      <c r="B408" s="95" t="str">
        <f t="shared" si="18"/>
        <v>No</v>
      </c>
      <c r="H408" s="95" t="str">
        <f t="shared" si="19"/>
        <v/>
      </c>
      <c r="I408" s="111"/>
      <c r="J408" s="112"/>
      <c r="K408" s="112"/>
      <c r="L408" s="112"/>
      <c r="M408" s="112"/>
      <c r="N408" s="112"/>
      <c r="O408" s="112"/>
      <c r="P408" s="112"/>
      <c r="Q408" s="112"/>
      <c r="R408" s="112"/>
      <c r="S408" s="111"/>
      <c r="T408" s="93"/>
      <c r="U408" s="93"/>
      <c r="V408" s="93"/>
      <c r="W408" s="93"/>
      <c r="X408" s="93" t="str">
        <f>IF($B408="Yes",COUNTIF(Reference!P$52:P$67,$K408),"")</f>
        <v/>
      </c>
      <c r="Y408" s="93" t="str">
        <f>IF($B408="Yes",COUNTIF(Reference!Q$52:Q$67,$K408),"")</f>
        <v/>
      </c>
      <c r="Z408" s="93" t="str">
        <f>IF($B408="Yes",COUNTIF(Reference!R$52:R$67,$K408),"")</f>
        <v/>
      </c>
      <c r="AA408" s="93" t="str">
        <f>IF($B408="Yes",COUNTIF(Reference!S$52:S$67,$K408),"")</f>
        <v/>
      </c>
      <c r="AB408" s="93" t="str">
        <f>IF($B408="Yes",COUNTIF(Reference!T$52:T$67,$K408),"")</f>
        <v/>
      </c>
      <c r="AC408" s="93" t="str">
        <f t="shared" si="20"/>
        <v/>
      </c>
    </row>
    <row r="409" spans="1:29" x14ac:dyDescent="0.25">
      <c r="A409" s="95">
        <v>499</v>
      </c>
      <c r="B409" s="95" t="str">
        <f t="shared" si="18"/>
        <v>No</v>
      </c>
      <c r="H409" s="95" t="str">
        <f t="shared" si="19"/>
        <v/>
      </c>
      <c r="I409" s="111"/>
      <c r="J409" s="112"/>
      <c r="K409" s="112"/>
      <c r="L409" s="112"/>
      <c r="M409" s="112"/>
      <c r="N409" s="112"/>
      <c r="O409" s="112"/>
      <c r="P409" s="112"/>
      <c r="Q409" s="112"/>
      <c r="R409" s="112"/>
      <c r="S409" s="111"/>
      <c r="T409" s="93"/>
      <c r="U409" s="93"/>
      <c r="V409" s="93"/>
      <c r="W409" s="93"/>
      <c r="X409" s="93" t="str">
        <f>IF($B409="Yes",COUNTIF(Reference!P$52:P$67,$K409),"")</f>
        <v/>
      </c>
      <c r="Y409" s="93" t="str">
        <f>IF($B409="Yes",COUNTIF(Reference!Q$52:Q$67,$K409),"")</f>
        <v/>
      </c>
      <c r="Z409" s="93" t="str">
        <f>IF($B409="Yes",COUNTIF(Reference!R$52:R$67,$K409),"")</f>
        <v/>
      </c>
      <c r="AA409" s="93" t="str">
        <f>IF($B409="Yes",COUNTIF(Reference!S$52:S$67,$K409),"")</f>
        <v/>
      </c>
      <c r="AB409" s="93" t="str">
        <f>IF($B409="Yes",COUNTIF(Reference!T$52:T$67,$K409),"")</f>
        <v/>
      </c>
      <c r="AC409" s="93" t="str">
        <f t="shared" si="20"/>
        <v/>
      </c>
    </row>
    <row r="410" spans="1:29" x14ac:dyDescent="0.25">
      <c r="A410" s="95">
        <v>500</v>
      </c>
      <c r="B410" s="95" t="str">
        <f t="shared" si="18"/>
        <v>No</v>
      </c>
      <c r="H410" s="95" t="str">
        <f t="shared" si="19"/>
        <v/>
      </c>
      <c r="I410" s="111"/>
      <c r="J410" s="112"/>
      <c r="K410" s="112"/>
      <c r="L410" s="112"/>
      <c r="M410" s="112"/>
      <c r="N410" s="112"/>
      <c r="O410" s="112"/>
      <c r="P410" s="112"/>
      <c r="Q410" s="112"/>
      <c r="R410" s="112"/>
      <c r="S410" s="111"/>
      <c r="T410" s="93"/>
      <c r="U410" s="93"/>
      <c r="V410" s="93"/>
      <c r="W410" s="93"/>
      <c r="X410" s="93" t="str">
        <f>IF($B410="Yes",COUNTIF(Reference!P$52:P$67,$K410),"")</f>
        <v/>
      </c>
      <c r="Y410" s="93" t="str">
        <f>IF($B410="Yes",COUNTIF(Reference!Q$52:Q$67,$K410),"")</f>
        <v/>
      </c>
      <c r="Z410" s="93" t="str">
        <f>IF($B410="Yes",COUNTIF(Reference!R$52:R$67,$K410),"")</f>
        <v/>
      </c>
      <c r="AA410" s="93" t="str">
        <f>IF($B410="Yes",COUNTIF(Reference!S$52:S$67,$K410),"")</f>
        <v/>
      </c>
      <c r="AB410" s="93" t="str">
        <f>IF($B410="Yes",COUNTIF(Reference!T$52:T$67,$K410),"")</f>
        <v/>
      </c>
      <c r="AC410" s="93" t="str">
        <f t="shared" si="20"/>
        <v/>
      </c>
    </row>
    <row r="411" spans="1:29" x14ac:dyDescent="0.25">
      <c r="A411" s="95">
        <v>501</v>
      </c>
      <c r="B411" s="95" t="str">
        <f t="shared" si="18"/>
        <v>No</v>
      </c>
      <c r="H411" s="95" t="str">
        <f t="shared" si="19"/>
        <v/>
      </c>
      <c r="I411" s="111"/>
      <c r="J411" s="112"/>
      <c r="K411" s="112"/>
      <c r="L411" s="112"/>
      <c r="M411" s="112"/>
      <c r="N411" s="112"/>
      <c r="O411" s="112"/>
      <c r="P411" s="112"/>
      <c r="Q411" s="112"/>
      <c r="R411" s="112"/>
      <c r="S411" s="111"/>
      <c r="T411" s="93"/>
      <c r="U411" s="93"/>
      <c r="V411" s="93"/>
      <c r="W411" s="93"/>
      <c r="X411" s="93" t="str">
        <f>IF($B411="Yes",COUNTIF(Reference!P$52:P$67,$K411),"")</f>
        <v/>
      </c>
      <c r="Y411" s="93" t="str">
        <f>IF($B411="Yes",COUNTIF(Reference!Q$52:Q$67,$K411),"")</f>
        <v/>
      </c>
      <c r="Z411" s="93" t="str">
        <f>IF($B411="Yes",COUNTIF(Reference!R$52:R$67,$K411),"")</f>
        <v/>
      </c>
      <c r="AA411" s="93" t="str">
        <f>IF($B411="Yes",COUNTIF(Reference!S$52:S$67,$K411),"")</f>
        <v/>
      </c>
      <c r="AB411" s="93" t="str">
        <f>IF($B411="Yes",COUNTIF(Reference!T$52:T$67,$K411),"")</f>
        <v/>
      </c>
      <c r="AC411" s="93" t="str">
        <f t="shared" si="20"/>
        <v/>
      </c>
    </row>
    <row r="412" spans="1:29" x14ac:dyDescent="0.25">
      <c r="A412" s="95">
        <v>502</v>
      </c>
      <c r="B412" s="95" t="str">
        <f t="shared" si="18"/>
        <v>No</v>
      </c>
      <c r="H412" s="95" t="str">
        <f t="shared" si="19"/>
        <v/>
      </c>
      <c r="I412" s="111"/>
      <c r="J412" s="112"/>
      <c r="K412" s="112"/>
      <c r="L412" s="112"/>
      <c r="M412" s="112"/>
      <c r="N412" s="112"/>
      <c r="O412" s="112"/>
      <c r="P412" s="112"/>
      <c r="Q412" s="112"/>
      <c r="R412" s="112"/>
      <c r="S412" s="111"/>
      <c r="T412" s="93"/>
      <c r="U412" s="93"/>
      <c r="V412" s="93"/>
      <c r="W412" s="93"/>
      <c r="X412" s="93" t="str">
        <f>IF($B412="Yes",COUNTIF(Reference!P$52:P$67,$K412),"")</f>
        <v/>
      </c>
      <c r="Y412" s="93" t="str">
        <f>IF($B412="Yes",COUNTIF(Reference!Q$52:Q$67,$K412),"")</f>
        <v/>
      </c>
      <c r="Z412" s="93" t="str">
        <f>IF($B412="Yes",COUNTIF(Reference!R$52:R$67,$K412),"")</f>
        <v/>
      </c>
      <c r="AA412" s="93" t="str">
        <f>IF($B412="Yes",COUNTIF(Reference!S$52:S$67,$K412),"")</f>
        <v/>
      </c>
      <c r="AB412" s="93" t="str">
        <f>IF($B412="Yes",COUNTIF(Reference!T$52:T$67,$K412),"")</f>
        <v/>
      </c>
      <c r="AC412" s="93" t="str">
        <f t="shared" si="20"/>
        <v/>
      </c>
    </row>
    <row r="413" spans="1:29" x14ac:dyDescent="0.25">
      <c r="A413" s="95">
        <v>503</v>
      </c>
      <c r="B413" s="95" t="str">
        <f t="shared" si="18"/>
        <v>No</v>
      </c>
      <c r="H413" s="95" t="str">
        <f t="shared" si="19"/>
        <v/>
      </c>
      <c r="I413" s="111"/>
      <c r="J413" s="112"/>
      <c r="K413" s="112"/>
      <c r="L413" s="112"/>
      <c r="M413" s="112"/>
      <c r="N413" s="112"/>
      <c r="O413" s="112"/>
      <c r="P413" s="112"/>
      <c r="Q413" s="112"/>
      <c r="R413" s="112"/>
      <c r="S413" s="111"/>
      <c r="T413" s="93"/>
      <c r="U413" s="93"/>
      <c r="V413" s="93"/>
      <c r="W413" s="93"/>
      <c r="X413" s="93" t="str">
        <f>IF($B413="Yes",COUNTIF(Reference!P$52:P$67,$K413),"")</f>
        <v/>
      </c>
      <c r="Y413" s="93" t="str">
        <f>IF($B413="Yes",COUNTIF(Reference!Q$52:Q$67,$K413),"")</f>
        <v/>
      </c>
      <c r="Z413" s="93" t="str">
        <f>IF($B413="Yes",COUNTIF(Reference!R$52:R$67,$K413),"")</f>
        <v/>
      </c>
      <c r="AA413" s="93" t="str">
        <f>IF($B413="Yes",COUNTIF(Reference!S$52:S$67,$K413),"")</f>
        <v/>
      </c>
      <c r="AB413" s="93" t="str">
        <f>IF($B413="Yes",COUNTIF(Reference!T$52:T$67,$K413),"")</f>
        <v/>
      </c>
      <c r="AC413" s="93" t="str">
        <f t="shared" si="20"/>
        <v/>
      </c>
    </row>
    <row r="414" spans="1:29" x14ac:dyDescent="0.25">
      <c r="A414" s="95">
        <v>504</v>
      </c>
      <c r="B414" s="95" t="str">
        <f t="shared" si="18"/>
        <v>No</v>
      </c>
      <c r="H414" s="95" t="str">
        <f t="shared" si="19"/>
        <v/>
      </c>
      <c r="I414" s="111"/>
      <c r="J414" s="112"/>
      <c r="K414" s="112"/>
      <c r="L414" s="112"/>
      <c r="M414" s="112"/>
      <c r="N414" s="112"/>
      <c r="O414" s="112"/>
      <c r="P414" s="112"/>
      <c r="Q414" s="112"/>
      <c r="R414" s="112"/>
      <c r="S414" s="111"/>
      <c r="T414" s="93"/>
      <c r="U414" s="93"/>
      <c r="V414" s="93"/>
      <c r="W414" s="93"/>
      <c r="X414" s="93" t="str">
        <f>IF($B414="Yes",COUNTIF(Reference!P$52:P$67,$K414),"")</f>
        <v/>
      </c>
      <c r="Y414" s="93" t="str">
        <f>IF($B414="Yes",COUNTIF(Reference!Q$52:Q$67,$K414),"")</f>
        <v/>
      </c>
      <c r="Z414" s="93" t="str">
        <f>IF($B414="Yes",COUNTIF(Reference!R$52:R$67,$K414),"")</f>
        <v/>
      </c>
      <c r="AA414" s="93" t="str">
        <f>IF($B414="Yes",COUNTIF(Reference!S$52:S$67,$K414),"")</f>
        <v/>
      </c>
      <c r="AB414" s="93" t="str">
        <f>IF($B414="Yes",COUNTIF(Reference!T$52:T$67,$K414),"")</f>
        <v/>
      </c>
      <c r="AC414" s="93" t="str">
        <f t="shared" si="20"/>
        <v/>
      </c>
    </row>
    <row r="415" spans="1:29" x14ac:dyDescent="0.25">
      <c r="A415" s="95">
        <v>505</v>
      </c>
      <c r="B415" s="95" t="str">
        <f t="shared" si="18"/>
        <v>No</v>
      </c>
      <c r="H415" s="95" t="str">
        <f t="shared" si="19"/>
        <v/>
      </c>
      <c r="I415" s="111"/>
      <c r="J415" s="112"/>
      <c r="K415" s="112"/>
      <c r="L415" s="112"/>
      <c r="M415" s="112"/>
      <c r="N415" s="112"/>
      <c r="O415" s="112"/>
      <c r="P415" s="112"/>
      <c r="Q415" s="112"/>
      <c r="R415" s="112"/>
      <c r="S415" s="111"/>
      <c r="T415" s="93"/>
      <c r="U415" s="93"/>
      <c r="V415" s="93"/>
      <c r="W415" s="93"/>
      <c r="X415" s="93" t="str">
        <f>IF($B415="Yes",COUNTIF(Reference!P$52:P$67,$K415),"")</f>
        <v/>
      </c>
      <c r="Y415" s="93" t="str">
        <f>IF($B415="Yes",COUNTIF(Reference!Q$52:Q$67,$K415),"")</f>
        <v/>
      </c>
      <c r="Z415" s="93" t="str">
        <f>IF($B415="Yes",COUNTIF(Reference!R$52:R$67,$K415),"")</f>
        <v/>
      </c>
      <c r="AA415" s="93" t="str">
        <f>IF($B415="Yes",COUNTIF(Reference!S$52:S$67,$K415),"")</f>
        <v/>
      </c>
      <c r="AB415" s="93" t="str">
        <f>IF($B415="Yes",COUNTIF(Reference!T$52:T$67,$K415),"")</f>
        <v/>
      </c>
      <c r="AC415" s="93" t="str">
        <f t="shared" si="20"/>
        <v/>
      </c>
    </row>
    <row r="416" spans="1:29" x14ac:dyDescent="0.25">
      <c r="A416" s="95">
        <v>506</v>
      </c>
      <c r="B416" s="95" t="str">
        <f t="shared" si="18"/>
        <v>No</v>
      </c>
      <c r="H416" s="95" t="str">
        <f t="shared" si="19"/>
        <v/>
      </c>
      <c r="I416" s="111"/>
      <c r="J416" s="112"/>
      <c r="K416" s="112"/>
      <c r="L416" s="112"/>
      <c r="M416" s="112"/>
      <c r="N416" s="112"/>
      <c r="O416" s="112"/>
      <c r="P416" s="112"/>
      <c r="Q416" s="112"/>
      <c r="R416" s="112"/>
      <c r="S416" s="111"/>
      <c r="T416" s="93"/>
      <c r="U416" s="93"/>
      <c r="V416" s="93"/>
      <c r="W416" s="93"/>
      <c r="X416" s="93" t="str">
        <f>IF($B416="Yes",COUNTIF(Reference!P$52:P$67,$K416),"")</f>
        <v/>
      </c>
      <c r="Y416" s="93" t="str">
        <f>IF($B416="Yes",COUNTIF(Reference!Q$52:Q$67,$K416),"")</f>
        <v/>
      </c>
      <c r="Z416" s="93" t="str">
        <f>IF($B416="Yes",COUNTIF(Reference!R$52:R$67,$K416),"")</f>
        <v/>
      </c>
      <c r="AA416" s="93" t="str">
        <f>IF($B416="Yes",COUNTIF(Reference!S$52:S$67,$K416),"")</f>
        <v/>
      </c>
      <c r="AB416" s="93" t="str">
        <f>IF($B416="Yes",COUNTIF(Reference!T$52:T$67,$K416),"")</f>
        <v/>
      </c>
      <c r="AC416" s="93" t="str">
        <f t="shared" si="20"/>
        <v/>
      </c>
    </row>
    <row r="417" spans="1:29" x14ac:dyDescent="0.25">
      <c r="A417" s="95">
        <v>507</v>
      </c>
      <c r="B417" s="95" t="str">
        <f t="shared" si="18"/>
        <v>No</v>
      </c>
      <c r="H417" s="95" t="str">
        <f t="shared" si="19"/>
        <v/>
      </c>
      <c r="I417" s="111"/>
      <c r="J417" s="112"/>
      <c r="K417" s="112"/>
      <c r="L417" s="112"/>
      <c r="M417" s="112"/>
      <c r="N417" s="112"/>
      <c r="O417" s="112"/>
      <c r="P417" s="112"/>
      <c r="Q417" s="112"/>
      <c r="R417" s="112"/>
      <c r="S417" s="111"/>
      <c r="T417" s="93"/>
      <c r="U417" s="93"/>
      <c r="V417" s="93"/>
      <c r="W417" s="93"/>
      <c r="X417" s="93" t="str">
        <f>IF($B417="Yes",COUNTIF(Reference!P$52:P$67,$K417),"")</f>
        <v/>
      </c>
      <c r="Y417" s="93" t="str">
        <f>IF($B417="Yes",COUNTIF(Reference!Q$52:Q$67,$K417),"")</f>
        <v/>
      </c>
      <c r="Z417" s="93" t="str">
        <f>IF($B417="Yes",COUNTIF(Reference!R$52:R$67,$K417),"")</f>
        <v/>
      </c>
      <c r="AA417" s="93" t="str">
        <f>IF($B417="Yes",COUNTIF(Reference!S$52:S$67,$K417),"")</f>
        <v/>
      </c>
      <c r="AB417" s="93" t="str">
        <f>IF($B417="Yes",COUNTIF(Reference!T$52:T$67,$K417),"")</f>
        <v/>
      </c>
      <c r="AC417" s="93" t="str">
        <f t="shared" si="20"/>
        <v/>
      </c>
    </row>
    <row r="418" spans="1:29" x14ac:dyDescent="0.25">
      <c r="A418" s="95">
        <v>508</v>
      </c>
      <c r="B418" s="95" t="str">
        <f t="shared" si="18"/>
        <v>No</v>
      </c>
      <c r="H418" s="95" t="str">
        <f t="shared" si="19"/>
        <v/>
      </c>
      <c r="I418" s="111"/>
      <c r="J418" s="112"/>
      <c r="K418" s="112"/>
      <c r="L418" s="112"/>
      <c r="M418" s="112"/>
      <c r="N418" s="112"/>
      <c r="O418" s="112"/>
      <c r="P418" s="112"/>
      <c r="Q418" s="112"/>
      <c r="R418" s="112"/>
      <c r="S418" s="111"/>
      <c r="T418" s="93"/>
      <c r="U418" s="93"/>
      <c r="V418" s="93"/>
      <c r="W418" s="93"/>
      <c r="X418" s="93" t="str">
        <f>IF($B418="Yes",COUNTIF(Reference!P$52:P$67,$K418),"")</f>
        <v/>
      </c>
      <c r="Y418" s="93" t="str">
        <f>IF($B418="Yes",COUNTIF(Reference!Q$52:Q$67,$K418),"")</f>
        <v/>
      </c>
      <c r="Z418" s="93" t="str">
        <f>IF($B418="Yes",COUNTIF(Reference!R$52:R$67,$K418),"")</f>
        <v/>
      </c>
      <c r="AA418" s="93" t="str">
        <f>IF($B418="Yes",COUNTIF(Reference!S$52:S$67,$K418),"")</f>
        <v/>
      </c>
      <c r="AB418" s="93" t="str">
        <f>IF($B418="Yes",COUNTIF(Reference!T$52:T$67,$K418),"")</f>
        <v/>
      </c>
      <c r="AC418" s="93" t="str">
        <f t="shared" si="20"/>
        <v/>
      </c>
    </row>
    <row r="419" spans="1:29" x14ac:dyDescent="0.25">
      <c r="A419" s="95">
        <v>509</v>
      </c>
      <c r="B419" s="95" t="str">
        <f t="shared" si="18"/>
        <v>No</v>
      </c>
      <c r="H419" s="95" t="str">
        <f t="shared" si="19"/>
        <v/>
      </c>
      <c r="I419" s="111"/>
      <c r="J419" s="112"/>
      <c r="K419" s="112"/>
      <c r="L419" s="112"/>
      <c r="M419" s="112"/>
      <c r="N419" s="112"/>
      <c r="O419" s="112"/>
      <c r="P419" s="112"/>
      <c r="Q419" s="112"/>
      <c r="R419" s="112"/>
      <c r="S419" s="111"/>
      <c r="T419" s="93"/>
      <c r="U419" s="93"/>
      <c r="V419" s="93"/>
      <c r="W419" s="93"/>
      <c r="X419" s="93" t="str">
        <f>IF($B419="Yes",COUNTIF(Reference!P$52:P$67,$K419),"")</f>
        <v/>
      </c>
      <c r="Y419" s="93" t="str">
        <f>IF($B419="Yes",COUNTIF(Reference!Q$52:Q$67,$K419),"")</f>
        <v/>
      </c>
      <c r="Z419" s="93" t="str">
        <f>IF($B419="Yes",COUNTIF(Reference!R$52:R$67,$K419),"")</f>
        <v/>
      </c>
      <c r="AA419" s="93" t="str">
        <f>IF($B419="Yes",COUNTIF(Reference!S$52:S$67,$K419),"")</f>
        <v/>
      </c>
      <c r="AB419" s="93" t="str">
        <f>IF($B419="Yes",COUNTIF(Reference!T$52:T$67,$K419),"")</f>
        <v/>
      </c>
      <c r="AC419" s="93" t="str">
        <f t="shared" si="20"/>
        <v/>
      </c>
    </row>
    <row r="420" spans="1:29" x14ac:dyDescent="0.25">
      <c r="A420" s="95">
        <v>510</v>
      </c>
      <c r="B420" s="95" t="str">
        <f t="shared" si="18"/>
        <v>No</v>
      </c>
      <c r="H420" s="95" t="str">
        <f t="shared" si="19"/>
        <v/>
      </c>
      <c r="I420" s="111"/>
      <c r="J420" s="112"/>
      <c r="K420" s="112"/>
      <c r="L420" s="112"/>
      <c r="M420" s="112"/>
      <c r="N420" s="112"/>
      <c r="O420" s="112"/>
      <c r="P420" s="112"/>
      <c r="Q420" s="112"/>
      <c r="R420" s="112"/>
      <c r="S420" s="111"/>
      <c r="T420" s="93"/>
      <c r="U420" s="93"/>
      <c r="V420" s="93"/>
      <c r="W420" s="93"/>
      <c r="X420" s="93" t="str">
        <f>IF($B420="Yes",COUNTIF(Reference!P$52:P$67,$K420),"")</f>
        <v/>
      </c>
      <c r="Y420" s="93" t="str">
        <f>IF($B420="Yes",COUNTIF(Reference!Q$52:Q$67,$K420),"")</f>
        <v/>
      </c>
      <c r="Z420" s="93" t="str">
        <f>IF($B420="Yes",COUNTIF(Reference!R$52:R$67,$K420),"")</f>
        <v/>
      </c>
      <c r="AA420" s="93" t="str">
        <f>IF($B420="Yes",COUNTIF(Reference!S$52:S$67,$K420),"")</f>
        <v/>
      </c>
      <c r="AB420" s="93" t="str">
        <f>IF($B420="Yes",COUNTIF(Reference!T$52:T$67,$K420),"")</f>
        <v/>
      </c>
      <c r="AC420" s="93" t="str">
        <f t="shared" si="20"/>
        <v/>
      </c>
    </row>
    <row r="421" spans="1:29" x14ac:dyDescent="0.25">
      <c r="A421" s="95">
        <v>511</v>
      </c>
      <c r="B421" s="95" t="str">
        <f t="shared" si="18"/>
        <v>No</v>
      </c>
      <c r="H421" s="95" t="str">
        <f t="shared" si="19"/>
        <v/>
      </c>
      <c r="I421" s="111"/>
      <c r="J421" s="112"/>
      <c r="K421" s="112"/>
      <c r="L421" s="112"/>
      <c r="M421" s="112"/>
      <c r="N421" s="112"/>
      <c r="O421" s="112"/>
      <c r="P421" s="112"/>
      <c r="Q421" s="112"/>
      <c r="R421" s="112"/>
      <c r="S421" s="111"/>
      <c r="T421" s="93"/>
      <c r="U421" s="93"/>
      <c r="V421" s="93"/>
      <c r="W421" s="93"/>
      <c r="X421" s="93" t="str">
        <f>IF($B421="Yes",COUNTIF(Reference!P$52:P$67,$K421),"")</f>
        <v/>
      </c>
      <c r="Y421" s="93" t="str">
        <f>IF($B421="Yes",COUNTIF(Reference!Q$52:Q$67,$K421),"")</f>
        <v/>
      </c>
      <c r="Z421" s="93" t="str">
        <f>IF($B421="Yes",COUNTIF(Reference!R$52:R$67,$K421),"")</f>
        <v/>
      </c>
      <c r="AA421" s="93" t="str">
        <f>IF($B421="Yes",COUNTIF(Reference!S$52:S$67,$K421),"")</f>
        <v/>
      </c>
      <c r="AB421" s="93" t="str">
        <f>IF($B421="Yes",COUNTIF(Reference!T$52:T$67,$K421),"")</f>
        <v/>
      </c>
      <c r="AC421" s="93" t="str">
        <f t="shared" si="20"/>
        <v/>
      </c>
    </row>
    <row r="422" spans="1:29" x14ac:dyDescent="0.25">
      <c r="A422" s="95">
        <v>512</v>
      </c>
      <c r="B422" s="95" t="str">
        <f t="shared" si="18"/>
        <v>No</v>
      </c>
      <c r="H422" s="95" t="str">
        <f t="shared" si="19"/>
        <v/>
      </c>
      <c r="I422" s="111"/>
      <c r="J422" s="112"/>
      <c r="K422" s="112"/>
      <c r="L422" s="112"/>
      <c r="M422" s="112"/>
      <c r="N422" s="112"/>
      <c r="O422" s="112"/>
      <c r="P422" s="112"/>
      <c r="Q422" s="112"/>
      <c r="R422" s="112"/>
      <c r="S422" s="111"/>
      <c r="T422" s="93"/>
      <c r="U422" s="93"/>
      <c r="V422" s="93"/>
      <c r="W422" s="93"/>
      <c r="X422" s="93" t="str">
        <f>IF($B422="Yes",COUNTIF(Reference!P$52:P$67,$K422),"")</f>
        <v/>
      </c>
      <c r="Y422" s="93" t="str">
        <f>IF($B422="Yes",COUNTIF(Reference!Q$52:Q$67,$K422),"")</f>
        <v/>
      </c>
      <c r="Z422" s="93" t="str">
        <f>IF($B422="Yes",COUNTIF(Reference!R$52:R$67,$K422),"")</f>
        <v/>
      </c>
      <c r="AA422" s="93" t="str">
        <f>IF($B422="Yes",COUNTIF(Reference!S$52:S$67,$K422),"")</f>
        <v/>
      </c>
      <c r="AB422" s="93" t="str">
        <f>IF($B422="Yes",COUNTIF(Reference!T$52:T$67,$K422),"")</f>
        <v/>
      </c>
      <c r="AC422" s="93" t="str">
        <f t="shared" si="20"/>
        <v/>
      </c>
    </row>
    <row r="423" spans="1:29" x14ac:dyDescent="0.25">
      <c r="A423" s="95">
        <v>513</v>
      </c>
      <c r="B423" s="95" t="str">
        <f t="shared" si="18"/>
        <v>No</v>
      </c>
      <c r="H423" s="95" t="str">
        <f t="shared" si="19"/>
        <v/>
      </c>
      <c r="I423" s="111"/>
      <c r="J423" s="112"/>
      <c r="K423" s="112"/>
      <c r="L423" s="112"/>
      <c r="M423" s="112"/>
      <c r="N423" s="112"/>
      <c r="O423" s="112"/>
      <c r="P423" s="112"/>
      <c r="Q423" s="112"/>
      <c r="R423" s="112"/>
      <c r="S423" s="111"/>
      <c r="T423" s="93"/>
      <c r="U423" s="93"/>
      <c r="V423" s="93"/>
      <c r="W423" s="93"/>
      <c r="X423" s="93" t="str">
        <f>IF($B423="Yes",COUNTIF(Reference!P$52:P$67,$K423),"")</f>
        <v/>
      </c>
      <c r="Y423" s="93" t="str">
        <f>IF($B423="Yes",COUNTIF(Reference!Q$52:Q$67,$K423),"")</f>
        <v/>
      </c>
      <c r="Z423" s="93" t="str">
        <f>IF($B423="Yes",COUNTIF(Reference!R$52:R$67,$K423),"")</f>
        <v/>
      </c>
      <c r="AA423" s="93" t="str">
        <f>IF($B423="Yes",COUNTIF(Reference!S$52:S$67,$K423),"")</f>
        <v/>
      </c>
      <c r="AB423" s="93" t="str">
        <f>IF($B423="Yes",COUNTIF(Reference!T$52:T$67,$K423),"")</f>
        <v/>
      </c>
      <c r="AC423" s="93" t="str">
        <f t="shared" si="20"/>
        <v/>
      </c>
    </row>
    <row r="424" spans="1:29" x14ac:dyDescent="0.25">
      <c r="A424" s="95">
        <v>514</v>
      </c>
      <c r="B424" s="95" t="str">
        <f t="shared" si="18"/>
        <v>No</v>
      </c>
      <c r="H424" s="95" t="str">
        <f t="shared" si="19"/>
        <v/>
      </c>
      <c r="I424" s="111"/>
      <c r="J424" s="112"/>
      <c r="K424" s="112"/>
      <c r="L424" s="112"/>
      <c r="M424" s="112"/>
      <c r="N424" s="112"/>
      <c r="O424" s="112"/>
      <c r="P424" s="112"/>
      <c r="Q424" s="112"/>
      <c r="R424" s="112"/>
      <c r="S424" s="111"/>
      <c r="T424" s="93"/>
      <c r="U424" s="93"/>
      <c r="V424" s="93"/>
      <c r="W424" s="93"/>
      <c r="X424" s="93" t="str">
        <f>IF($B424="Yes",COUNTIF(Reference!P$52:P$67,$K424),"")</f>
        <v/>
      </c>
      <c r="Y424" s="93" t="str">
        <f>IF($B424="Yes",COUNTIF(Reference!Q$52:Q$67,$K424),"")</f>
        <v/>
      </c>
      <c r="Z424" s="93" t="str">
        <f>IF($B424="Yes",COUNTIF(Reference!R$52:R$67,$K424),"")</f>
        <v/>
      </c>
      <c r="AA424" s="93" t="str">
        <f>IF($B424="Yes",COUNTIF(Reference!S$52:S$67,$K424),"")</f>
        <v/>
      </c>
      <c r="AB424" s="93" t="str">
        <f>IF($B424="Yes",COUNTIF(Reference!T$52:T$67,$K424),"")</f>
        <v/>
      </c>
      <c r="AC424" s="93" t="str">
        <f t="shared" si="20"/>
        <v/>
      </c>
    </row>
    <row r="425" spans="1:29" x14ac:dyDescent="0.25">
      <c r="A425" s="95">
        <v>515</v>
      </c>
      <c r="B425" s="95" t="str">
        <f t="shared" si="18"/>
        <v>No</v>
      </c>
      <c r="H425" s="95" t="str">
        <f t="shared" si="19"/>
        <v/>
      </c>
      <c r="I425" s="111"/>
      <c r="J425" s="112"/>
      <c r="K425" s="112"/>
      <c r="L425" s="112"/>
      <c r="M425" s="112"/>
      <c r="N425" s="112"/>
      <c r="O425" s="112"/>
      <c r="P425" s="112"/>
      <c r="Q425" s="112"/>
      <c r="R425" s="112"/>
      <c r="S425" s="111"/>
      <c r="T425" s="93"/>
      <c r="U425" s="93"/>
      <c r="V425" s="93"/>
      <c r="W425" s="93"/>
      <c r="X425" s="93" t="str">
        <f>IF($B425="Yes",COUNTIF(Reference!P$52:P$67,$K425),"")</f>
        <v/>
      </c>
      <c r="Y425" s="93" t="str">
        <f>IF($B425="Yes",COUNTIF(Reference!Q$52:Q$67,$K425),"")</f>
        <v/>
      </c>
      <c r="Z425" s="93" t="str">
        <f>IF($B425="Yes",COUNTIF(Reference!R$52:R$67,$K425),"")</f>
        <v/>
      </c>
      <c r="AA425" s="93" t="str">
        <f>IF($B425="Yes",COUNTIF(Reference!S$52:S$67,$K425),"")</f>
        <v/>
      </c>
      <c r="AB425" s="93" t="str">
        <f>IF($B425="Yes",COUNTIF(Reference!T$52:T$67,$K425),"")</f>
        <v/>
      </c>
      <c r="AC425" s="93" t="str">
        <f t="shared" si="20"/>
        <v/>
      </c>
    </row>
    <row r="426" spans="1:29" x14ac:dyDescent="0.25">
      <c r="A426" s="95">
        <v>516</v>
      </c>
      <c r="B426" s="95" t="str">
        <f t="shared" si="18"/>
        <v>No</v>
      </c>
      <c r="H426" s="95" t="str">
        <f t="shared" si="19"/>
        <v/>
      </c>
      <c r="I426" s="111"/>
      <c r="J426" s="112"/>
      <c r="K426" s="112"/>
      <c r="L426" s="112"/>
      <c r="M426" s="112"/>
      <c r="N426" s="112"/>
      <c r="O426" s="112"/>
      <c r="P426" s="112"/>
      <c r="Q426" s="112"/>
      <c r="R426" s="112"/>
      <c r="S426" s="111"/>
      <c r="T426" s="93"/>
      <c r="U426" s="93"/>
      <c r="V426" s="93"/>
      <c r="W426" s="93"/>
      <c r="X426" s="93" t="str">
        <f>IF($B426="Yes",COUNTIF(Reference!P$52:P$67,$K426),"")</f>
        <v/>
      </c>
      <c r="Y426" s="93" t="str">
        <f>IF($B426="Yes",COUNTIF(Reference!Q$52:Q$67,$K426),"")</f>
        <v/>
      </c>
      <c r="Z426" s="93" t="str">
        <f>IF($B426="Yes",COUNTIF(Reference!R$52:R$67,$K426),"")</f>
        <v/>
      </c>
      <c r="AA426" s="93" t="str">
        <f>IF($B426="Yes",COUNTIF(Reference!S$52:S$67,$K426),"")</f>
        <v/>
      </c>
      <c r="AB426" s="93" t="str">
        <f>IF($B426="Yes",COUNTIF(Reference!T$52:T$67,$K426),"")</f>
        <v/>
      </c>
      <c r="AC426" s="93" t="str">
        <f t="shared" si="20"/>
        <v/>
      </c>
    </row>
    <row r="427" spans="1:29" x14ac:dyDescent="0.25">
      <c r="A427" s="95">
        <v>517</v>
      </c>
      <c r="B427" s="95" t="str">
        <f t="shared" si="18"/>
        <v>No</v>
      </c>
      <c r="H427" s="95" t="str">
        <f t="shared" si="19"/>
        <v/>
      </c>
      <c r="I427" s="111"/>
      <c r="J427" s="112"/>
      <c r="K427" s="112"/>
      <c r="L427" s="112"/>
      <c r="M427" s="112"/>
      <c r="N427" s="112"/>
      <c r="O427" s="112"/>
      <c r="P427" s="112"/>
      <c r="Q427" s="112"/>
      <c r="R427" s="112"/>
      <c r="S427" s="111"/>
      <c r="T427" s="93"/>
      <c r="U427" s="93"/>
      <c r="V427" s="93"/>
      <c r="W427" s="93"/>
      <c r="X427" s="93" t="str">
        <f>IF($B427="Yes",COUNTIF(Reference!P$52:P$67,$K427),"")</f>
        <v/>
      </c>
      <c r="Y427" s="93" t="str">
        <f>IF($B427="Yes",COUNTIF(Reference!Q$52:Q$67,$K427),"")</f>
        <v/>
      </c>
      <c r="Z427" s="93" t="str">
        <f>IF($B427="Yes",COUNTIF(Reference!R$52:R$67,$K427),"")</f>
        <v/>
      </c>
      <c r="AA427" s="93" t="str">
        <f>IF($B427="Yes",COUNTIF(Reference!S$52:S$67,$K427),"")</f>
        <v/>
      </c>
      <c r="AB427" s="93" t="str">
        <f>IF($B427="Yes",COUNTIF(Reference!T$52:T$67,$K427),"")</f>
        <v/>
      </c>
      <c r="AC427" s="93" t="str">
        <f t="shared" si="20"/>
        <v/>
      </c>
    </row>
    <row r="428" spans="1:29" x14ac:dyDescent="0.25">
      <c r="A428" s="95">
        <v>518</v>
      </c>
      <c r="B428" s="95" t="str">
        <f t="shared" si="18"/>
        <v>No</v>
      </c>
      <c r="H428" s="95" t="str">
        <f t="shared" si="19"/>
        <v/>
      </c>
      <c r="I428" s="111"/>
      <c r="J428" s="112"/>
      <c r="K428" s="112"/>
      <c r="L428" s="112"/>
      <c r="M428" s="112"/>
      <c r="N428" s="112"/>
      <c r="O428" s="112"/>
      <c r="P428" s="112"/>
      <c r="Q428" s="112"/>
      <c r="R428" s="112"/>
      <c r="S428" s="111"/>
      <c r="T428" s="93"/>
      <c r="U428" s="93"/>
      <c r="V428" s="93"/>
      <c r="W428" s="93"/>
      <c r="X428" s="93" t="str">
        <f>IF($B428="Yes",COUNTIF(Reference!P$52:P$67,$K428),"")</f>
        <v/>
      </c>
      <c r="Y428" s="93" t="str">
        <f>IF($B428="Yes",COUNTIF(Reference!Q$52:Q$67,$K428),"")</f>
        <v/>
      </c>
      <c r="Z428" s="93" t="str">
        <f>IF($B428="Yes",COUNTIF(Reference!R$52:R$67,$K428),"")</f>
        <v/>
      </c>
      <c r="AA428" s="93" t="str">
        <f>IF($B428="Yes",COUNTIF(Reference!S$52:S$67,$K428),"")</f>
        <v/>
      </c>
      <c r="AB428" s="93" t="str">
        <f>IF($B428="Yes",COUNTIF(Reference!T$52:T$67,$K428),"")</f>
        <v/>
      </c>
      <c r="AC428" s="93" t="str">
        <f t="shared" si="20"/>
        <v/>
      </c>
    </row>
    <row r="429" spans="1:29" x14ac:dyDescent="0.25">
      <c r="A429" s="95">
        <v>519</v>
      </c>
      <c r="B429" s="95" t="str">
        <f t="shared" si="18"/>
        <v>No</v>
      </c>
      <c r="H429" s="95" t="str">
        <f t="shared" si="19"/>
        <v/>
      </c>
      <c r="I429" s="111"/>
      <c r="J429" s="112"/>
      <c r="K429" s="112"/>
      <c r="L429" s="112"/>
      <c r="M429" s="112"/>
      <c r="N429" s="112"/>
      <c r="O429" s="112"/>
      <c r="P429" s="112"/>
      <c r="Q429" s="112"/>
      <c r="R429" s="112"/>
      <c r="S429" s="111"/>
      <c r="T429" s="93"/>
      <c r="U429" s="93"/>
      <c r="V429" s="93"/>
      <c r="W429" s="93"/>
      <c r="X429" s="93" t="str">
        <f>IF($B429="Yes",COUNTIF(Reference!P$52:P$67,$K429),"")</f>
        <v/>
      </c>
      <c r="Y429" s="93" t="str">
        <f>IF($B429="Yes",COUNTIF(Reference!Q$52:Q$67,$K429),"")</f>
        <v/>
      </c>
      <c r="Z429" s="93" t="str">
        <f>IF($B429="Yes",COUNTIF(Reference!R$52:R$67,$K429),"")</f>
        <v/>
      </c>
      <c r="AA429" s="93" t="str">
        <f>IF($B429="Yes",COUNTIF(Reference!S$52:S$67,$K429),"")</f>
        <v/>
      </c>
      <c r="AB429" s="93" t="str">
        <f>IF($B429="Yes",COUNTIF(Reference!T$52:T$67,$K429),"")</f>
        <v/>
      </c>
      <c r="AC429" s="93" t="str">
        <f t="shared" si="20"/>
        <v/>
      </c>
    </row>
    <row r="430" spans="1:29" x14ac:dyDescent="0.25">
      <c r="A430" s="95">
        <v>520</v>
      </c>
      <c r="B430" s="95" t="str">
        <f t="shared" si="18"/>
        <v>No</v>
      </c>
      <c r="H430" s="95" t="str">
        <f t="shared" si="19"/>
        <v/>
      </c>
      <c r="I430" s="111"/>
      <c r="J430" s="112"/>
      <c r="K430" s="112"/>
      <c r="L430" s="112"/>
      <c r="M430" s="112"/>
      <c r="N430" s="112"/>
      <c r="O430" s="112"/>
      <c r="P430" s="112"/>
      <c r="Q430" s="112"/>
      <c r="R430" s="112"/>
      <c r="S430" s="111"/>
      <c r="T430" s="93"/>
      <c r="U430" s="93"/>
      <c r="V430" s="93"/>
      <c r="W430" s="93"/>
      <c r="X430" s="93" t="str">
        <f>IF($B430="Yes",COUNTIF(Reference!P$52:P$67,$K430),"")</f>
        <v/>
      </c>
      <c r="Y430" s="93" t="str">
        <f>IF($B430="Yes",COUNTIF(Reference!Q$52:Q$67,$K430),"")</f>
        <v/>
      </c>
      <c r="Z430" s="93" t="str">
        <f>IF($B430="Yes",COUNTIF(Reference!R$52:R$67,$K430),"")</f>
        <v/>
      </c>
      <c r="AA430" s="93" t="str">
        <f>IF($B430="Yes",COUNTIF(Reference!S$52:S$67,$K430),"")</f>
        <v/>
      </c>
      <c r="AB430" s="93" t="str">
        <f>IF($B430="Yes",COUNTIF(Reference!T$52:T$67,$K430),"")</f>
        <v/>
      </c>
      <c r="AC430" s="93" t="str">
        <f t="shared" si="20"/>
        <v/>
      </c>
    </row>
    <row r="431" spans="1:29" x14ac:dyDescent="0.25">
      <c r="A431" s="95">
        <v>521</v>
      </c>
      <c r="B431" s="95" t="str">
        <f t="shared" si="18"/>
        <v>No</v>
      </c>
      <c r="H431" s="95" t="str">
        <f t="shared" si="19"/>
        <v/>
      </c>
      <c r="I431" s="111"/>
      <c r="J431" s="112"/>
      <c r="K431" s="112"/>
      <c r="L431" s="112"/>
      <c r="M431" s="112"/>
      <c r="N431" s="112"/>
      <c r="O431" s="112"/>
      <c r="P431" s="112"/>
      <c r="Q431" s="112"/>
      <c r="R431" s="112"/>
      <c r="S431" s="111"/>
      <c r="T431" s="93"/>
      <c r="U431" s="93"/>
      <c r="V431" s="93"/>
      <c r="W431" s="93"/>
      <c r="X431" s="93" t="str">
        <f>IF($B431="Yes",COUNTIF(Reference!P$52:P$67,$K431),"")</f>
        <v/>
      </c>
      <c r="Y431" s="93" t="str">
        <f>IF($B431="Yes",COUNTIF(Reference!Q$52:Q$67,$K431),"")</f>
        <v/>
      </c>
      <c r="Z431" s="93" t="str">
        <f>IF($B431="Yes",COUNTIF(Reference!R$52:R$67,$K431),"")</f>
        <v/>
      </c>
      <c r="AA431" s="93" t="str">
        <f>IF($B431="Yes",COUNTIF(Reference!S$52:S$67,$K431),"")</f>
        <v/>
      </c>
      <c r="AB431" s="93" t="str">
        <f>IF($B431="Yes",COUNTIF(Reference!T$52:T$67,$K431),"")</f>
        <v/>
      </c>
      <c r="AC431" s="93" t="str">
        <f t="shared" si="20"/>
        <v/>
      </c>
    </row>
    <row r="432" spans="1:29" x14ac:dyDescent="0.25">
      <c r="A432" s="95">
        <v>522</v>
      </c>
      <c r="B432" s="95" t="str">
        <f t="shared" si="18"/>
        <v>No</v>
      </c>
      <c r="H432" s="95" t="str">
        <f t="shared" si="19"/>
        <v/>
      </c>
      <c r="I432" s="111"/>
      <c r="J432" s="112"/>
      <c r="K432" s="112"/>
      <c r="L432" s="112"/>
      <c r="M432" s="112"/>
      <c r="N432" s="112"/>
      <c r="O432" s="112"/>
      <c r="P432" s="112"/>
      <c r="Q432" s="112"/>
      <c r="R432" s="112"/>
      <c r="S432" s="111"/>
      <c r="T432" s="93"/>
      <c r="U432" s="93"/>
      <c r="V432" s="93"/>
      <c r="W432" s="93"/>
      <c r="X432" s="93" t="str">
        <f>IF($B432="Yes",COUNTIF(Reference!P$52:P$67,$K432),"")</f>
        <v/>
      </c>
      <c r="Y432" s="93" t="str">
        <f>IF($B432="Yes",COUNTIF(Reference!Q$52:Q$67,$K432),"")</f>
        <v/>
      </c>
      <c r="Z432" s="93" t="str">
        <f>IF($B432="Yes",COUNTIF(Reference!R$52:R$67,$K432),"")</f>
        <v/>
      </c>
      <c r="AA432" s="93" t="str">
        <f>IF($B432="Yes",COUNTIF(Reference!S$52:S$67,$K432),"")</f>
        <v/>
      </c>
      <c r="AB432" s="93" t="str">
        <f>IF($B432="Yes",COUNTIF(Reference!T$52:T$67,$K432),"")</f>
        <v/>
      </c>
      <c r="AC432" s="93" t="str">
        <f t="shared" si="20"/>
        <v/>
      </c>
    </row>
    <row r="433" spans="1:29" x14ac:dyDescent="0.25">
      <c r="A433" s="95">
        <v>523</v>
      </c>
      <c r="B433" s="95" t="str">
        <f t="shared" si="18"/>
        <v>No</v>
      </c>
      <c r="H433" s="95" t="str">
        <f t="shared" si="19"/>
        <v/>
      </c>
      <c r="I433" s="111"/>
      <c r="J433" s="112"/>
      <c r="K433" s="112"/>
      <c r="L433" s="112"/>
      <c r="M433" s="112"/>
      <c r="N433" s="112"/>
      <c r="O433" s="112"/>
      <c r="P433" s="112"/>
      <c r="Q433" s="112"/>
      <c r="R433" s="112"/>
      <c r="S433" s="111"/>
      <c r="T433" s="93"/>
      <c r="U433" s="93"/>
      <c r="V433" s="93"/>
      <c r="W433" s="93"/>
      <c r="X433" s="93" t="str">
        <f>IF($B433="Yes",COUNTIF(Reference!P$52:P$67,$K433),"")</f>
        <v/>
      </c>
      <c r="Y433" s="93" t="str">
        <f>IF($B433="Yes",COUNTIF(Reference!Q$52:Q$67,$K433),"")</f>
        <v/>
      </c>
      <c r="Z433" s="93" t="str">
        <f>IF($B433="Yes",COUNTIF(Reference!R$52:R$67,$K433),"")</f>
        <v/>
      </c>
      <c r="AA433" s="93" t="str">
        <f>IF($B433="Yes",COUNTIF(Reference!S$52:S$67,$K433),"")</f>
        <v/>
      </c>
      <c r="AB433" s="93" t="str">
        <f>IF($B433="Yes",COUNTIF(Reference!T$52:T$67,$K433),"")</f>
        <v/>
      </c>
      <c r="AC433" s="93" t="str">
        <f t="shared" si="20"/>
        <v/>
      </c>
    </row>
    <row r="434" spans="1:29" x14ac:dyDescent="0.25">
      <c r="A434" s="95">
        <v>524</v>
      </c>
      <c r="B434" s="95" t="str">
        <f t="shared" si="18"/>
        <v>No</v>
      </c>
      <c r="H434" s="95" t="str">
        <f t="shared" si="19"/>
        <v/>
      </c>
      <c r="I434" s="111"/>
      <c r="J434" s="112"/>
      <c r="K434" s="112"/>
      <c r="L434" s="112"/>
      <c r="M434" s="112"/>
      <c r="N434" s="112"/>
      <c r="O434" s="112"/>
      <c r="P434" s="112"/>
      <c r="Q434" s="112"/>
      <c r="R434" s="112"/>
      <c r="S434" s="111"/>
      <c r="T434" s="93"/>
      <c r="U434" s="93"/>
      <c r="V434" s="93"/>
      <c r="W434" s="93"/>
      <c r="X434" s="93" t="str">
        <f>IF($B434="Yes",COUNTIF(Reference!P$52:P$67,$K434),"")</f>
        <v/>
      </c>
      <c r="Y434" s="93" t="str">
        <f>IF($B434="Yes",COUNTIF(Reference!Q$52:Q$67,$K434),"")</f>
        <v/>
      </c>
      <c r="Z434" s="93" t="str">
        <f>IF($B434="Yes",COUNTIF(Reference!R$52:R$67,$K434),"")</f>
        <v/>
      </c>
      <c r="AA434" s="93" t="str">
        <f>IF($B434="Yes",COUNTIF(Reference!S$52:S$67,$K434),"")</f>
        <v/>
      </c>
      <c r="AB434" s="93" t="str">
        <f>IF($B434="Yes",COUNTIF(Reference!T$52:T$67,$K434),"")</f>
        <v/>
      </c>
      <c r="AC434" s="93" t="str">
        <f t="shared" si="20"/>
        <v/>
      </c>
    </row>
    <row r="435" spans="1:29" x14ac:dyDescent="0.25">
      <c r="A435" s="95">
        <v>525</v>
      </c>
      <c r="B435" s="95" t="str">
        <f t="shared" si="18"/>
        <v>No</v>
      </c>
      <c r="H435" s="95" t="str">
        <f t="shared" si="19"/>
        <v/>
      </c>
      <c r="I435" s="111"/>
      <c r="J435" s="112"/>
      <c r="K435" s="112"/>
      <c r="L435" s="112"/>
      <c r="M435" s="112"/>
      <c r="N435" s="112"/>
      <c r="O435" s="112"/>
      <c r="P435" s="112"/>
      <c r="Q435" s="112"/>
      <c r="R435" s="112"/>
      <c r="S435" s="111"/>
      <c r="T435" s="93"/>
      <c r="U435" s="93"/>
      <c r="V435" s="93"/>
      <c r="W435" s="93"/>
      <c r="X435" s="93" t="str">
        <f>IF($B435="Yes",COUNTIF(Reference!P$52:P$67,$K435),"")</f>
        <v/>
      </c>
      <c r="Y435" s="93" t="str">
        <f>IF($B435="Yes",COUNTIF(Reference!Q$52:Q$67,$K435),"")</f>
        <v/>
      </c>
      <c r="Z435" s="93" t="str">
        <f>IF($B435="Yes",COUNTIF(Reference!R$52:R$67,$K435),"")</f>
        <v/>
      </c>
      <c r="AA435" s="93" t="str">
        <f>IF($B435="Yes",COUNTIF(Reference!S$52:S$67,$K435),"")</f>
        <v/>
      </c>
      <c r="AB435" s="93" t="str">
        <f>IF($B435="Yes",COUNTIF(Reference!T$52:T$67,$K435),"")</f>
        <v/>
      </c>
      <c r="AC435" s="93" t="str">
        <f t="shared" si="20"/>
        <v/>
      </c>
    </row>
    <row r="436" spans="1:29" x14ac:dyDescent="0.25">
      <c r="A436" s="95">
        <v>526</v>
      </c>
      <c r="B436" s="95" t="str">
        <f t="shared" si="18"/>
        <v>No</v>
      </c>
      <c r="H436" s="95" t="str">
        <f t="shared" si="19"/>
        <v/>
      </c>
      <c r="I436" s="111"/>
      <c r="J436" s="112"/>
      <c r="K436" s="112"/>
      <c r="L436" s="112"/>
      <c r="M436" s="112"/>
      <c r="N436" s="112"/>
      <c r="O436" s="112"/>
      <c r="P436" s="112"/>
      <c r="Q436" s="112"/>
      <c r="R436" s="112"/>
      <c r="S436" s="111"/>
      <c r="T436" s="93"/>
      <c r="U436" s="93"/>
      <c r="V436" s="93"/>
      <c r="W436" s="93"/>
      <c r="X436" s="93" t="str">
        <f>IF($B436="Yes",COUNTIF(Reference!P$52:P$67,$K436),"")</f>
        <v/>
      </c>
      <c r="Y436" s="93" t="str">
        <f>IF($B436="Yes",COUNTIF(Reference!Q$52:Q$67,$K436),"")</f>
        <v/>
      </c>
      <c r="Z436" s="93" t="str">
        <f>IF($B436="Yes",COUNTIF(Reference!R$52:R$67,$K436),"")</f>
        <v/>
      </c>
      <c r="AA436" s="93" t="str">
        <f>IF($B436="Yes",COUNTIF(Reference!S$52:S$67,$K436),"")</f>
        <v/>
      </c>
      <c r="AB436" s="93" t="str">
        <f>IF($B436="Yes",COUNTIF(Reference!T$52:T$67,$K436),"")</f>
        <v/>
      </c>
      <c r="AC436" s="93" t="str">
        <f t="shared" si="20"/>
        <v/>
      </c>
    </row>
    <row r="437" spans="1:29" x14ac:dyDescent="0.25">
      <c r="A437" s="95">
        <v>527</v>
      </c>
      <c r="B437" s="95" t="str">
        <f t="shared" si="18"/>
        <v>No</v>
      </c>
      <c r="H437" s="95" t="str">
        <f t="shared" si="19"/>
        <v/>
      </c>
      <c r="I437" s="111"/>
      <c r="J437" s="112"/>
      <c r="K437" s="112"/>
      <c r="L437" s="112"/>
      <c r="M437" s="112"/>
      <c r="N437" s="112"/>
      <c r="O437" s="112"/>
      <c r="P437" s="112"/>
      <c r="Q437" s="112"/>
      <c r="R437" s="112"/>
      <c r="S437" s="111"/>
      <c r="T437" s="93"/>
      <c r="U437" s="93"/>
      <c r="V437" s="93"/>
      <c r="W437" s="93"/>
      <c r="X437" s="93" t="str">
        <f>IF($B437="Yes",COUNTIF(Reference!P$52:P$67,$K437),"")</f>
        <v/>
      </c>
      <c r="Y437" s="93" t="str">
        <f>IF($B437="Yes",COUNTIF(Reference!Q$52:Q$67,$K437),"")</f>
        <v/>
      </c>
      <c r="Z437" s="93" t="str">
        <f>IF($B437="Yes",COUNTIF(Reference!R$52:R$67,$K437),"")</f>
        <v/>
      </c>
      <c r="AA437" s="93" t="str">
        <f>IF($B437="Yes",COUNTIF(Reference!S$52:S$67,$K437),"")</f>
        <v/>
      </c>
      <c r="AB437" s="93" t="str">
        <f>IF($B437="Yes",COUNTIF(Reference!T$52:T$67,$K437),"")</f>
        <v/>
      </c>
      <c r="AC437" s="93" t="str">
        <f t="shared" si="20"/>
        <v/>
      </c>
    </row>
    <row r="438" spans="1:29" x14ac:dyDescent="0.25">
      <c r="A438" s="95">
        <v>528</v>
      </c>
      <c r="B438" s="95" t="str">
        <f t="shared" si="18"/>
        <v>No</v>
      </c>
      <c r="H438" s="95" t="str">
        <f t="shared" si="19"/>
        <v/>
      </c>
      <c r="I438" s="111"/>
      <c r="J438" s="112"/>
      <c r="K438" s="112"/>
      <c r="L438" s="112"/>
      <c r="M438" s="112"/>
      <c r="N438" s="112"/>
      <c r="O438" s="112"/>
      <c r="P438" s="112"/>
      <c r="Q438" s="112"/>
      <c r="R438" s="112"/>
      <c r="S438" s="111"/>
      <c r="T438" s="93"/>
      <c r="U438" s="93"/>
      <c r="V438" s="93"/>
      <c r="W438" s="93"/>
      <c r="X438" s="93" t="str">
        <f>IF($B438="Yes",COUNTIF(Reference!P$52:P$67,$K438),"")</f>
        <v/>
      </c>
      <c r="Y438" s="93" t="str">
        <f>IF($B438="Yes",COUNTIF(Reference!Q$52:Q$67,$K438),"")</f>
        <v/>
      </c>
      <c r="Z438" s="93" t="str">
        <f>IF($B438="Yes",COUNTIF(Reference!R$52:R$67,$K438),"")</f>
        <v/>
      </c>
      <c r="AA438" s="93" t="str">
        <f>IF($B438="Yes",COUNTIF(Reference!S$52:S$67,$K438),"")</f>
        <v/>
      </c>
      <c r="AB438" s="93" t="str">
        <f>IF($B438="Yes",COUNTIF(Reference!T$52:T$67,$K438),"")</f>
        <v/>
      </c>
      <c r="AC438" s="93" t="str">
        <f t="shared" si="20"/>
        <v/>
      </c>
    </row>
    <row r="439" spans="1:29" x14ac:dyDescent="0.25">
      <c r="A439" s="95">
        <v>529</v>
      </c>
      <c r="B439" s="95" t="str">
        <f t="shared" si="18"/>
        <v>No</v>
      </c>
      <c r="H439" s="95" t="str">
        <f t="shared" si="19"/>
        <v/>
      </c>
      <c r="I439" s="111"/>
      <c r="J439" s="112"/>
      <c r="K439" s="112"/>
      <c r="L439" s="112"/>
      <c r="M439" s="112"/>
      <c r="N439" s="112"/>
      <c r="O439" s="112"/>
      <c r="P439" s="112"/>
      <c r="Q439" s="112"/>
      <c r="R439" s="112"/>
      <c r="S439" s="111"/>
      <c r="T439" s="93"/>
      <c r="U439" s="93"/>
      <c r="V439" s="93"/>
      <c r="W439" s="93"/>
      <c r="X439" s="93" t="str">
        <f>IF($B439="Yes",COUNTIF(Reference!P$52:P$67,$K439),"")</f>
        <v/>
      </c>
      <c r="Y439" s="93" t="str">
        <f>IF($B439="Yes",COUNTIF(Reference!Q$52:Q$67,$K439),"")</f>
        <v/>
      </c>
      <c r="Z439" s="93" t="str">
        <f>IF($B439="Yes",COUNTIF(Reference!R$52:R$67,$K439),"")</f>
        <v/>
      </c>
      <c r="AA439" s="93" t="str">
        <f>IF($B439="Yes",COUNTIF(Reference!S$52:S$67,$K439),"")</f>
        <v/>
      </c>
      <c r="AB439" s="93" t="str">
        <f>IF($B439="Yes",COUNTIF(Reference!T$52:T$67,$K439),"")</f>
        <v/>
      </c>
      <c r="AC439" s="93" t="str">
        <f t="shared" si="20"/>
        <v/>
      </c>
    </row>
    <row r="440" spans="1:29" x14ac:dyDescent="0.25">
      <c r="A440" s="95">
        <v>530</v>
      </c>
      <c r="B440" s="95" t="str">
        <f t="shared" si="18"/>
        <v>No</v>
      </c>
      <c r="H440" s="95" t="str">
        <f t="shared" si="19"/>
        <v/>
      </c>
      <c r="I440" s="111"/>
      <c r="J440" s="112"/>
      <c r="K440" s="112"/>
      <c r="L440" s="112"/>
      <c r="M440" s="112"/>
      <c r="N440" s="112"/>
      <c r="O440" s="112"/>
      <c r="P440" s="112"/>
      <c r="Q440" s="112"/>
      <c r="R440" s="112"/>
      <c r="S440" s="111"/>
      <c r="T440" s="93"/>
      <c r="U440" s="93"/>
      <c r="V440" s="93"/>
      <c r="W440" s="93"/>
      <c r="X440" s="93" t="str">
        <f>IF($B440="Yes",COUNTIF(Reference!P$52:P$67,$K440),"")</f>
        <v/>
      </c>
      <c r="Y440" s="93" t="str">
        <f>IF($B440="Yes",COUNTIF(Reference!Q$52:Q$67,$K440),"")</f>
        <v/>
      </c>
      <c r="Z440" s="93" t="str">
        <f>IF($B440="Yes",COUNTIF(Reference!R$52:R$67,$K440),"")</f>
        <v/>
      </c>
      <c r="AA440" s="93" t="str">
        <f>IF($B440="Yes",COUNTIF(Reference!S$52:S$67,$K440),"")</f>
        <v/>
      </c>
      <c r="AB440" s="93" t="str">
        <f>IF($B440="Yes",COUNTIF(Reference!T$52:T$67,$K440),"")</f>
        <v/>
      </c>
      <c r="AC440" s="93" t="str">
        <f t="shared" si="20"/>
        <v/>
      </c>
    </row>
    <row r="441" spans="1:29" x14ac:dyDescent="0.25">
      <c r="A441" s="95">
        <v>531</v>
      </c>
      <c r="B441" s="95" t="str">
        <f t="shared" si="18"/>
        <v>No</v>
      </c>
      <c r="H441" s="95" t="str">
        <f t="shared" si="19"/>
        <v/>
      </c>
      <c r="I441" s="111"/>
      <c r="J441" s="112"/>
      <c r="K441" s="112"/>
      <c r="L441" s="112"/>
      <c r="M441" s="112"/>
      <c r="N441" s="112"/>
      <c r="O441" s="112"/>
      <c r="P441" s="112"/>
      <c r="Q441" s="112"/>
      <c r="R441" s="112"/>
      <c r="S441" s="111"/>
      <c r="T441" s="93"/>
      <c r="U441" s="93"/>
      <c r="V441" s="93"/>
      <c r="W441" s="93"/>
      <c r="X441" s="93" t="str">
        <f>IF($B441="Yes",COUNTIF(Reference!P$52:P$67,$K441),"")</f>
        <v/>
      </c>
      <c r="Y441" s="93" t="str">
        <f>IF($B441="Yes",COUNTIF(Reference!Q$52:Q$67,$K441),"")</f>
        <v/>
      </c>
      <c r="Z441" s="93" t="str">
        <f>IF($B441="Yes",COUNTIF(Reference!R$52:R$67,$K441),"")</f>
        <v/>
      </c>
      <c r="AA441" s="93" t="str">
        <f>IF($B441="Yes",COUNTIF(Reference!S$52:S$67,$K441),"")</f>
        <v/>
      </c>
      <c r="AB441" s="93" t="str">
        <f>IF($B441="Yes",COUNTIF(Reference!T$52:T$67,$K441),"")</f>
        <v/>
      </c>
      <c r="AC441" s="93" t="str">
        <f t="shared" si="20"/>
        <v/>
      </c>
    </row>
    <row r="442" spans="1:29" x14ac:dyDescent="0.25">
      <c r="A442" s="95">
        <v>532</v>
      </c>
      <c r="B442" s="95" t="str">
        <f t="shared" si="18"/>
        <v>No</v>
      </c>
      <c r="H442" s="95" t="str">
        <f t="shared" si="19"/>
        <v/>
      </c>
      <c r="I442" s="111"/>
      <c r="J442" s="112"/>
      <c r="K442" s="112"/>
      <c r="L442" s="112"/>
      <c r="M442" s="112"/>
      <c r="N442" s="112"/>
      <c r="O442" s="112"/>
      <c r="P442" s="112"/>
      <c r="Q442" s="112"/>
      <c r="R442" s="112"/>
      <c r="S442" s="111"/>
      <c r="T442" s="93"/>
      <c r="U442" s="93"/>
      <c r="V442" s="93"/>
      <c r="W442" s="93"/>
      <c r="X442" s="93" t="str">
        <f>IF($B442="Yes",COUNTIF(Reference!P$52:P$67,$K442),"")</f>
        <v/>
      </c>
      <c r="Y442" s="93" t="str">
        <f>IF($B442="Yes",COUNTIF(Reference!Q$52:Q$67,$K442),"")</f>
        <v/>
      </c>
      <c r="Z442" s="93" t="str">
        <f>IF($B442="Yes",COUNTIF(Reference!R$52:R$67,$K442),"")</f>
        <v/>
      </c>
      <c r="AA442" s="93" t="str">
        <f>IF($B442="Yes",COUNTIF(Reference!S$52:S$67,$K442),"")</f>
        <v/>
      </c>
      <c r="AB442" s="93" t="str">
        <f>IF($B442="Yes",COUNTIF(Reference!T$52:T$67,$K442),"")</f>
        <v/>
      </c>
      <c r="AC442" s="93" t="str">
        <f t="shared" si="20"/>
        <v/>
      </c>
    </row>
    <row r="443" spans="1:29" x14ac:dyDescent="0.25">
      <c r="A443" s="95">
        <v>533</v>
      </c>
      <c r="B443" s="95" t="str">
        <f t="shared" si="18"/>
        <v>No</v>
      </c>
      <c r="H443" s="95" t="str">
        <f t="shared" si="19"/>
        <v/>
      </c>
      <c r="I443" s="111"/>
      <c r="J443" s="112"/>
      <c r="K443" s="112"/>
      <c r="L443" s="112"/>
      <c r="M443" s="112"/>
      <c r="N443" s="112"/>
      <c r="O443" s="112"/>
      <c r="P443" s="112"/>
      <c r="Q443" s="112"/>
      <c r="R443" s="112"/>
      <c r="S443" s="111"/>
      <c r="T443" s="93"/>
      <c r="U443" s="93"/>
      <c r="V443" s="93"/>
      <c r="W443" s="93"/>
      <c r="X443" s="93" t="str">
        <f>IF($B443="Yes",COUNTIF(Reference!P$52:P$67,$K443),"")</f>
        <v/>
      </c>
      <c r="Y443" s="93" t="str">
        <f>IF($B443="Yes",COUNTIF(Reference!Q$52:Q$67,$K443),"")</f>
        <v/>
      </c>
      <c r="Z443" s="93" t="str">
        <f>IF($B443="Yes",COUNTIF(Reference!R$52:R$67,$K443),"")</f>
        <v/>
      </c>
      <c r="AA443" s="93" t="str">
        <f>IF($B443="Yes",COUNTIF(Reference!S$52:S$67,$K443),"")</f>
        <v/>
      </c>
      <c r="AB443" s="93" t="str">
        <f>IF($B443="Yes",COUNTIF(Reference!T$52:T$67,$K443),"")</f>
        <v/>
      </c>
      <c r="AC443" s="93" t="str">
        <f t="shared" si="20"/>
        <v/>
      </c>
    </row>
    <row r="444" spans="1:29" x14ac:dyDescent="0.25">
      <c r="A444" s="95">
        <v>534</v>
      </c>
      <c r="B444" s="95" t="str">
        <f t="shared" si="18"/>
        <v>No</v>
      </c>
      <c r="H444" s="95" t="str">
        <f t="shared" si="19"/>
        <v/>
      </c>
      <c r="I444" s="111"/>
      <c r="J444" s="112"/>
      <c r="K444" s="112"/>
      <c r="L444" s="112"/>
      <c r="M444" s="112"/>
      <c r="N444" s="112"/>
      <c r="O444" s="112"/>
      <c r="P444" s="112"/>
      <c r="Q444" s="112"/>
      <c r="R444" s="112"/>
      <c r="S444" s="111"/>
      <c r="T444" s="93"/>
      <c r="U444" s="93"/>
      <c r="V444" s="93"/>
      <c r="W444" s="93"/>
      <c r="X444" s="93" t="str">
        <f>IF($B444="Yes",COUNTIF(Reference!P$52:P$67,$K444),"")</f>
        <v/>
      </c>
      <c r="Y444" s="93" t="str">
        <f>IF($B444="Yes",COUNTIF(Reference!Q$52:Q$67,$K444),"")</f>
        <v/>
      </c>
      <c r="Z444" s="93" t="str">
        <f>IF($B444="Yes",COUNTIF(Reference!R$52:R$67,$K444),"")</f>
        <v/>
      </c>
      <c r="AA444" s="93" t="str">
        <f>IF($B444="Yes",COUNTIF(Reference!S$52:S$67,$K444),"")</f>
        <v/>
      </c>
      <c r="AB444" s="93" t="str">
        <f>IF($B444="Yes",COUNTIF(Reference!T$52:T$67,$K444),"")</f>
        <v/>
      </c>
      <c r="AC444" s="93" t="str">
        <f t="shared" si="20"/>
        <v/>
      </c>
    </row>
    <row r="445" spans="1:29" x14ac:dyDescent="0.25">
      <c r="A445" s="95">
        <v>535</v>
      </c>
      <c r="B445" s="95" t="str">
        <f t="shared" si="18"/>
        <v>No</v>
      </c>
      <c r="H445" s="95" t="str">
        <f t="shared" si="19"/>
        <v/>
      </c>
      <c r="I445" s="111"/>
      <c r="J445" s="112"/>
      <c r="K445" s="112"/>
      <c r="L445" s="112"/>
      <c r="M445" s="112"/>
      <c r="N445" s="112"/>
      <c r="O445" s="112"/>
      <c r="P445" s="112"/>
      <c r="Q445" s="112"/>
      <c r="R445" s="112"/>
      <c r="S445" s="111"/>
      <c r="T445" s="93"/>
      <c r="U445" s="93"/>
      <c r="V445" s="93"/>
      <c r="W445" s="93"/>
      <c r="X445" s="93" t="str">
        <f>IF($B445="Yes",COUNTIF(Reference!P$52:P$67,$K445),"")</f>
        <v/>
      </c>
      <c r="Y445" s="93" t="str">
        <f>IF($B445="Yes",COUNTIF(Reference!Q$52:Q$67,$K445),"")</f>
        <v/>
      </c>
      <c r="Z445" s="93" t="str">
        <f>IF($B445="Yes",COUNTIF(Reference!R$52:R$67,$K445),"")</f>
        <v/>
      </c>
      <c r="AA445" s="93" t="str">
        <f>IF($B445="Yes",COUNTIF(Reference!S$52:S$67,$K445),"")</f>
        <v/>
      </c>
      <c r="AB445" s="93" t="str">
        <f>IF($B445="Yes",COUNTIF(Reference!T$52:T$67,$K445),"")</f>
        <v/>
      </c>
      <c r="AC445" s="93" t="str">
        <f t="shared" si="20"/>
        <v/>
      </c>
    </row>
    <row r="446" spans="1:29" x14ac:dyDescent="0.25">
      <c r="A446" s="95">
        <v>536</v>
      </c>
      <c r="B446" s="95" t="str">
        <f t="shared" si="18"/>
        <v>No</v>
      </c>
      <c r="H446" s="95" t="str">
        <f t="shared" si="19"/>
        <v/>
      </c>
      <c r="I446" s="111"/>
      <c r="J446" s="112"/>
      <c r="K446" s="112"/>
      <c r="L446" s="112"/>
      <c r="M446" s="112"/>
      <c r="N446" s="112"/>
      <c r="O446" s="112"/>
      <c r="P446" s="112"/>
      <c r="Q446" s="112"/>
      <c r="R446" s="112"/>
      <c r="S446" s="111"/>
      <c r="T446" s="93"/>
      <c r="U446" s="93"/>
      <c r="V446" s="93"/>
      <c r="W446" s="93"/>
      <c r="X446" s="93" t="str">
        <f>IF($B446="Yes",COUNTIF(Reference!P$52:P$67,$K446),"")</f>
        <v/>
      </c>
      <c r="Y446" s="93" t="str">
        <f>IF($B446="Yes",COUNTIF(Reference!Q$52:Q$67,$K446),"")</f>
        <v/>
      </c>
      <c r="Z446" s="93" t="str">
        <f>IF($B446="Yes",COUNTIF(Reference!R$52:R$67,$K446),"")</f>
        <v/>
      </c>
      <c r="AA446" s="93" t="str">
        <f>IF($B446="Yes",COUNTIF(Reference!S$52:S$67,$K446),"")</f>
        <v/>
      </c>
      <c r="AB446" s="93" t="str">
        <f>IF($B446="Yes",COUNTIF(Reference!T$52:T$67,$K446),"")</f>
        <v/>
      </c>
      <c r="AC446" s="93" t="str">
        <f t="shared" si="20"/>
        <v/>
      </c>
    </row>
    <row r="447" spans="1:29" x14ac:dyDescent="0.25">
      <c r="A447" s="95">
        <v>537</v>
      </c>
      <c r="B447" s="95" t="str">
        <f t="shared" si="18"/>
        <v>No</v>
      </c>
      <c r="H447" s="95" t="str">
        <f t="shared" si="19"/>
        <v/>
      </c>
      <c r="I447" s="111"/>
      <c r="J447" s="112"/>
      <c r="K447" s="112"/>
      <c r="L447" s="112"/>
      <c r="M447" s="112"/>
      <c r="N447" s="112"/>
      <c r="O447" s="112"/>
      <c r="P447" s="112"/>
      <c r="Q447" s="112"/>
      <c r="R447" s="112"/>
      <c r="S447" s="111"/>
      <c r="T447" s="93"/>
      <c r="U447" s="93"/>
      <c r="V447" s="93"/>
      <c r="W447" s="93"/>
      <c r="X447" s="93" t="str">
        <f>IF($B447="Yes",COUNTIF(Reference!P$52:P$67,$K447),"")</f>
        <v/>
      </c>
      <c r="Y447" s="93" t="str">
        <f>IF($B447="Yes",COUNTIF(Reference!Q$52:Q$67,$K447),"")</f>
        <v/>
      </c>
      <c r="Z447" s="93" t="str">
        <f>IF($B447="Yes",COUNTIF(Reference!R$52:R$67,$K447),"")</f>
        <v/>
      </c>
      <c r="AA447" s="93" t="str">
        <f>IF($B447="Yes",COUNTIF(Reference!S$52:S$67,$K447),"")</f>
        <v/>
      </c>
      <c r="AB447" s="93" t="str">
        <f>IF($B447="Yes",COUNTIF(Reference!T$52:T$67,$K447),"")</f>
        <v/>
      </c>
      <c r="AC447" s="93" t="str">
        <f t="shared" si="20"/>
        <v/>
      </c>
    </row>
    <row r="448" spans="1:29" x14ac:dyDescent="0.25">
      <c r="A448" s="95">
        <v>538</v>
      </c>
      <c r="B448" s="95" t="str">
        <f t="shared" si="18"/>
        <v>No</v>
      </c>
      <c r="H448" s="95" t="str">
        <f t="shared" si="19"/>
        <v/>
      </c>
      <c r="I448" s="111"/>
      <c r="J448" s="112"/>
      <c r="K448" s="112"/>
      <c r="L448" s="112"/>
      <c r="M448" s="112"/>
      <c r="N448" s="112"/>
      <c r="O448" s="112"/>
      <c r="P448" s="112"/>
      <c r="Q448" s="112"/>
      <c r="R448" s="112"/>
      <c r="S448" s="111"/>
      <c r="T448" s="93"/>
      <c r="U448" s="93"/>
      <c r="V448" s="93"/>
      <c r="W448" s="93"/>
      <c r="X448" s="93" t="str">
        <f>IF($B448="Yes",COUNTIF(Reference!P$52:P$67,$K448),"")</f>
        <v/>
      </c>
      <c r="Y448" s="93" t="str">
        <f>IF($B448="Yes",COUNTIF(Reference!Q$52:Q$67,$K448),"")</f>
        <v/>
      </c>
      <c r="Z448" s="93" t="str">
        <f>IF($B448="Yes",COUNTIF(Reference!R$52:R$67,$K448),"")</f>
        <v/>
      </c>
      <c r="AA448" s="93" t="str">
        <f>IF($B448="Yes",COUNTIF(Reference!S$52:S$67,$K448),"")</f>
        <v/>
      </c>
      <c r="AB448" s="93" t="str">
        <f>IF($B448="Yes",COUNTIF(Reference!T$52:T$67,$K448),"")</f>
        <v/>
      </c>
      <c r="AC448" s="93" t="str">
        <f t="shared" si="20"/>
        <v/>
      </c>
    </row>
    <row r="449" spans="1:29" x14ac:dyDescent="0.25">
      <c r="A449" s="95">
        <v>539</v>
      </c>
      <c r="B449" s="95" t="str">
        <f t="shared" si="18"/>
        <v>No</v>
      </c>
      <c r="H449" s="95" t="str">
        <f t="shared" si="19"/>
        <v/>
      </c>
      <c r="I449" s="111"/>
      <c r="J449" s="112"/>
      <c r="K449" s="112"/>
      <c r="L449" s="112"/>
      <c r="M449" s="112"/>
      <c r="N449" s="112"/>
      <c r="O449" s="112"/>
      <c r="P449" s="112"/>
      <c r="Q449" s="112"/>
      <c r="R449" s="112"/>
      <c r="S449" s="111"/>
      <c r="T449" s="93"/>
      <c r="U449" s="93"/>
      <c r="V449" s="93"/>
      <c r="W449" s="93"/>
      <c r="X449" s="93" t="str">
        <f>IF($B449="Yes",COUNTIF(Reference!P$52:P$67,$K449),"")</f>
        <v/>
      </c>
      <c r="Y449" s="93" t="str">
        <f>IF($B449="Yes",COUNTIF(Reference!Q$52:Q$67,$K449),"")</f>
        <v/>
      </c>
      <c r="Z449" s="93" t="str">
        <f>IF($B449="Yes",COUNTIF(Reference!R$52:R$67,$K449),"")</f>
        <v/>
      </c>
      <c r="AA449" s="93" t="str">
        <f>IF($B449="Yes",COUNTIF(Reference!S$52:S$67,$K449),"")</f>
        <v/>
      </c>
      <c r="AB449" s="93" t="str">
        <f>IF($B449="Yes",COUNTIF(Reference!T$52:T$67,$K449),"")</f>
        <v/>
      </c>
      <c r="AC449" s="93" t="str">
        <f t="shared" si="20"/>
        <v/>
      </c>
    </row>
    <row r="450" spans="1:29" x14ac:dyDescent="0.25">
      <c r="A450" s="95">
        <v>540</v>
      </c>
      <c r="B450" s="95" t="str">
        <f t="shared" si="18"/>
        <v>No</v>
      </c>
      <c r="H450" s="95" t="str">
        <f t="shared" si="19"/>
        <v/>
      </c>
      <c r="I450" s="111"/>
      <c r="J450" s="112"/>
      <c r="K450" s="112"/>
      <c r="L450" s="112"/>
      <c r="M450" s="112"/>
      <c r="N450" s="112"/>
      <c r="O450" s="112"/>
      <c r="P450" s="112"/>
      <c r="Q450" s="112"/>
      <c r="R450" s="112"/>
      <c r="S450" s="111"/>
      <c r="T450" s="93"/>
      <c r="U450" s="93"/>
      <c r="V450" s="93"/>
      <c r="W450" s="93"/>
      <c r="X450" s="93" t="str">
        <f>IF($B450="Yes",COUNTIF(Reference!P$52:P$67,$K450),"")</f>
        <v/>
      </c>
      <c r="Y450" s="93" t="str">
        <f>IF($B450="Yes",COUNTIF(Reference!Q$52:Q$67,$K450),"")</f>
        <v/>
      </c>
      <c r="Z450" s="93" t="str">
        <f>IF($B450="Yes",COUNTIF(Reference!R$52:R$67,$K450),"")</f>
        <v/>
      </c>
      <c r="AA450" s="93" t="str">
        <f>IF($B450="Yes",COUNTIF(Reference!S$52:S$67,$K450),"")</f>
        <v/>
      </c>
      <c r="AB450" s="93" t="str">
        <f>IF($B450="Yes",COUNTIF(Reference!T$52:T$67,$K450),"")</f>
        <v/>
      </c>
      <c r="AC450" s="93" t="str">
        <f t="shared" si="20"/>
        <v/>
      </c>
    </row>
    <row r="451" spans="1:29" x14ac:dyDescent="0.25">
      <c r="A451" s="95">
        <v>541</v>
      </c>
      <c r="B451" s="95" t="str">
        <f t="shared" si="18"/>
        <v>No</v>
      </c>
      <c r="H451" s="95" t="str">
        <f t="shared" si="19"/>
        <v/>
      </c>
      <c r="I451" s="111"/>
      <c r="J451" s="112"/>
      <c r="K451" s="112"/>
      <c r="L451" s="112"/>
      <c r="M451" s="112"/>
      <c r="N451" s="112"/>
      <c r="O451" s="112"/>
      <c r="P451" s="112"/>
      <c r="Q451" s="112"/>
      <c r="R451" s="112"/>
      <c r="S451" s="111"/>
      <c r="T451" s="93"/>
      <c r="U451" s="93"/>
      <c r="V451" s="93"/>
      <c r="W451" s="93"/>
      <c r="X451" s="93" t="str">
        <f>IF($B451="Yes",COUNTIF(Reference!P$52:P$67,$K451),"")</f>
        <v/>
      </c>
      <c r="Y451" s="93" t="str">
        <f>IF($B451="Yes",COUNTIF(Reference!Q$52:Q$67,$K451),"")</f>
        <v/>
      </c>
      <c r="Z451" s="93" t="str">
        <f>IF($B451="Yes",COUNTIF(Reference!R$52:R$67,$K451),"")</f>
        <v/>
      </c>
      <c r="AA451" s="93" t="str">
        <f>IF($B451="Yes",COUNTIF(Reference!S$52:S$67,$K451),"")</f>
        <v/>
      </c>
      <c r="AB451" s="93" t="str">
        <f>IF($B451="Yes",COUNTIF(Reference!T$52:T$67,$K451),"")</f>
        <v/>
      </c>
      <c r="AC451" s="93" t="str">
        <f t="shared" si="20"/>
        <v/>
      </c>
    </row>
    <row r="452" spans="1:29" x14ac:dyDescent="0.25">
      <c r="A452" s="95">
        <v>542</v>
      </c>
      <c r="B452" s="95" t="str">
        <f t="shared" si="18"/>
        <v>No</v>
      </c>
      <c r="H452" s="95" t="str">
        <f t="shared" si="19"/>
        <v/>
      </c>
      <c r="I452" s="111"/>
      <c r="J452" s="112"/>
      <c r="K452" s="112"/>
      <c r="L452" s="112"/>
      <c r="M452" s="112"/>
      <c r="N452" s="112"/>
      <c r="O452" s="112"/>
      <c r="P452" s="112"/>
      <c r="Q452" s="112"/>
      <c r="R452" s="112"/>
      <c r="S452" s="111"/>
      <c r="T452" s="93"/>
      <c r="U452" s="93"/>
      <c r="V452" s="93"/>
      <c r="W452" s="93"/>
      <c r="X452" s="93" t="str">
        <f>IF($B452="Yes",COUNTIF(Reference!P$52:P$67,$K452),"")</f>
        <v/>
      </c>
      <c r="Y452" s="93" t="str">
        <f>IF($B452="Yes",COUNTIF(Reference!Q$52:Q$67,$K452),"")</f>
        <v/>
      </c>
      <c r="Z452" s="93" t="str">
        <f>IF($B452="Yes",COUNTIF(Reference!R$52:R$67,$K452),"")</f>
        <v/>
      </c>
      <c r="AA452" s="93" t="str">
        <f>IF($B452="Yes",COUNTIF(Reference!S$52:S$67,$K452),"")</f>
        <v/>
      </c>
      <c r="AB452" s="93" t="str">
        <f>IF($B452="Yes",COUNTIF(Reference!T$52:T$67,$K452),"")</f>
        <v/>
      </c>
      <c r="AC452" s="93" t="str">
        <f t="shared" si="20"/>
        <v/>
      </c>
    </row>
    <row r="453" spans="1:29" x14ac:dyDescent="0.25">
      <c r="A453" s="95">
        <v>543</v>
      </c>
      <c r="B453" s="95" t="str">
        <f t="shared" si="18"/>
        <v>No</v>
      </c>
      <c r="H453" s="95" t="str">
        <f t="shared" si="19"/>
        <v/>
      </c>
      <c r="I453" s="111"/>
      <c r="J453" s="112"/>
      <c r="K453" s="112"/>
      <c r="L453" s="112"/>
      <c r="M453" s="112"/>
      <c r="N453" s="112"/>
      <c r="O453" s="112"/>
      <c r="P453" s="112"/>
      <c r="Q453" s="112"/>
      <c r="R453" s="112"/>
      <c r="S453" s="111"/>
      <c r="T453" s="93"/>
      <c r="U453" s="93"/>
      <c r="V453" s="93"/>
      <c r="W453" s="93"/>
      <c r="X453" s="93" t="str">
        <f>IF($B453="Yes",COUNTIF(Reference!P$52:P$67,$K453),"")</f>
        <v/>
      </c>
      <c r="Y453" s="93" t="str">
        <f>IF($B453="Yes",COUNTIF(Reference!Q$52:Q$67,$K453),"")</f>
        <v/>
      </c>
      <c r="Z453" s="93" t="str">
        <f>IF($B453="Yes",COUNTIF(Reference!R$52:R$67,$K453),"")</f>
        <v/>
      </c>
      <c r="AA453" s="93" t="str">
        <f>IF($B453="Yes",COUNTIF(Reference!S$52:S$67,$K453),"")</f>
        <v/>
      </c>
      <c r="AB453" s="93" t="str">
        <f>IF($B453="Yes",COUNTIF(Reference!T$52:T$67,$K453),"")</f>
        <v/>
      </c>
      <c r="AC453" s="93" t="str">
        <f t="shared" si="20"/>
        <v/>
      </c>
    </row>
    <row r="454" spans="1:29" x14ac:dyDescent="0.25">
      <c r="A454" s="95">
        <v>544</v>
      </c>
      <c r="B454" s="95" t="str">
        <f t="shared" si="18"/>
        <v>No</v>
      </c>
      <c r="H454" s="95" t="str">
        <f t="shared" si="19"/>
        <v/>
      </c>
      <c r="I454" s="111"/>
      <c r="J454" s="112"/>
      <c r="K454" s="112"/>
      <c r="L454" s="112"/>
      <c r="M454" s="112"/>
      <c r="N454" s="112"/>
      <c r="O454" s="112"/>
      <c r="P454" s="112"/>
      <c r="Q454" s="112"/>
      <c r="R454" s="112"/>
      <c r="S454" s="111"/>
      <c r="T454" s="93"/>
      <c r="U454" s="93"/>
      <c r="V454" s="93"/>
      <c r="W454" s="93"/>
      <c r="X454" s="93" t="str">
        <f>IF($B454="Yes",COUNTIF(Reference!P$52:P$67,$K454),"")</f>
        <v/>
      </c>
      <c r="Y454" s="93" t="str">
        <f>IF($B454="Yes",COUNTIF(Reference!Q$52:Q$67,$K454),"")</f>
        <v/>
      </c>
      <c r="Z454" s="93" t="str">
        <f>IF($B454="Yes",COUNTIF(Reference!R$52:R$67,$K454),"")</f>
        <v/>
      </c>
      <c r="AA454" s="93" t="str">
        <f>IF($B454="Yes",COUNTIF(Reference!S$52:S$67,$K454),"")</f>
        <v/>
      </c>
      <c r="AB454" s="93" t="str">
        <f>IF($B454="Yes",COUNTIF(Reference!T$52:T$67,$K454),"")</f>
        <v/>
      </c>
      <c r="AC454" s="93" t="str">
        <f t="shared" si="20"/>
        <v/>
      </c>
    </row>
    <row r="455" spans="1:29" x14ac:dyDescent="0.25">
      <c r="A455" s="95">
        <v>545</v>
      </c>
      <c r="B455" s="95" t="str">
        <f t="shared" si="18"/>
        <v>No</v>
      </c>
      <c r="H455" s="95" t="str">
        <f t="shared" si="19"/>
        <v/>
      </c>
      <c r="I455" s="111"/>
      <c r="J455" s="112"/>
      <c r="K455" s="112"/>
      <c r="L455" s="112"/>
      <c r="M455" s="112"/>
      <c r="N455" s="112"/>
      <c r="O455" s="112"/>
      <c r="P455" s="112"/>
      <c r="Q455" s="112"/>
      <c r="R455" s="112"/>
      <c r="S455" s="111"/>
      <c r="T455" s="93"/>
      <c r="U455" s="93"/>
      <c r="V455" s="93"/>
      <c r="W455" s="93"/>
      <c r="X455" s="93" t="str">
        <f>IF($B455="Yes",COUNTIF(Reference!P$52:P$67,$K455),"")</f>
        <v/>
      </c>
      <c r="Y455" s="93" t="str">
        <f>IF($B455="Yes",COUNTIF(Reference!Q$52:Q$67,$K455),"")</f>
        <v/>
      </c>
      <c r="Z455" s="93" t="str">
        <f>IF($B455="Yes",COUNTIF(Reference!R$52:R$67,$K455),"")</f>
        <v/>
      </c>
      <c r="AA455" s="93" t="str">
        <f>IF($B455="Yes",COUNTIF(Reference!S$52:S$67,$K455),"")</f>
        <v/>
      </c>
      <c r="AB455" s="93" t="str">
        <f>IF($B455="Yes",COUNTIF(Reference!T$52:T$67,$K455),"")</f>
        <v/>
      </c>
      <c r="AC455" s="93" t="str">
        <f t="shared" si="20"/>
        <v/>
      </c>
    </row>
    <row r="456" spans="1:29" x14ac:dyDescent="0.25">
      <c r="A456" s="95">
        <v>546</v>
      </c>
      <c r="B456" s="95" t="str">
        <f t="shared" si="18"/>
        <v>No</v>
      </c>
      <c r="H456" s="95" t="str">
        <f t="shared" si="19"/>
        <v/>
      </c>
      <c r="I456" s="111"/>
      <c r="J456" s="112"/>
      <c r="K456" s="112"/>
      <c r="L456" s="112"/>
      <c r="M456" s="112"/>
      <c r="N456" s="112"/>
      <c r="O456" s="112"/>
      <c r="P456" s="112"/>
      <c r="Q456" s="112"/>
      <c r="R456" s="112"/>
      <c r="S456" s="111"/>
      <c r="T456" s="93"/>
      <c r="U456" s="93"/>
      <c r="V456" s="93"/>
      <c r="W456" s="93"/>
      <c r="X456" s="93" t="str">
        <f>IF($B456="Yes",COUNTIF(Reference!P$52:P$67,$K456),"")</f>
        <v/>
      </c>
      <c r="Y456" s="93" t="str">
        <f>IF($B456="Yes",COUNTIF(Reference!Q$52:Q$67,$K456),"")</f>
        <v/>
      </c>
      <c r="Z456" s="93" t="str">
        <f>IF($B456="Yes",COUNTIF(Reference!R$52:R$67,$K456),"")</f>
        <v/>
      </c>
      <c r="AA456" s="93" t="str">
        <f>IF($B456="Yes",COUNTIF(Reference!S$52:S$67,$K456),"")</f>
        <v/>
      </c>
      <c r="AB456" s="93" t="str">
        <f>IF($B456="Yes",COUNTIF(Reference!T$52:T$67,$K456),"")</f>
        <v/>
      </c>
      <c r="AC456" s="93" t="str">
        <f t="shared" si="20"/>
        <v/>
      </c>
    </row>
    <row r="457" spans="1:29" x14ac:dyDescent="0.25">
      <c r="A457" s="95">
        <v>547</v>
      </c>
      <c r="B457" s="95" t="str">
        <f t="shared" si="18"/>
        <v>No</v>
      </c>
      <c r="H457" s="95" t="str">
        <f t="shared" si="19"/>
        <v/>
      </c>
      <c r="I457" s="111"/>
      <c r="J457" s="112"/>
      <c r="K457" s="112"/>
      <c r="L457" s="112"/>
      <c r="M457" s="112"/>
      <c r="N457" s="112"/>
      <c r="O457" s="112"/>
      <c r="P457" s="112"/>
      <c r="Q457" s="112"/>
      <c r="R457" s="112"/>
      <c r="S457" s="111"/>
      <c r="T457" s="93"/>
      <c r="U457" s="93"/>
      <c r="V457" s="93"/>
      <c r="W457" s="93"/>
      <c r="X457" s="93" t="str">
        <f>IF($B457="Yes",COUNTIF(Reference!P$52:P$67,$K457),"")</f>
        <v/>
      </c>
      <c r="Y457" s="93" t="str">
        <f>IF($B457="Yes",COUNTIF(Reference!Q$52:Q$67,$K457),"")</f>
        <v/>
      </c>
      <c r="Z457" s="93" t="str">
        <f>IF($B457="Yes",COUNTIF(Reference!R$52:R$67,$K457),"")</f>
        <v/>
      </c>
      <c r="AA457" s="93" t="str">
        <f>IF($B457="Yes",COUNTIF(Reference!S$52:S$67,$K457),"")</f>
        <v/>
      </c>
      <c r="AB457" s="93" t="str">
        <f>IF($B457="Yes",COUNTIF(Reference!T$52:T$67,$K457),"")</f>
        <v/>
      </c>
      <c r="AC457" s="93" t="str">
        <f t="shared" si="20"/>
        <v/>
      </c>
    </row>
    <row r="458" spans="1:29" x14ac:dyDescent="0.25">
      <c r="A458" s="95">
        <v>548</v>
      </c>
      <c r="B458" s="95" t="str">
        <f t="shared" si="18"/>
        <v>No</v>
      </c>
      <c r="H458" s="95" t="str">
        <f t="shared" si="19"/>
        <v/>
      </c>
      <c r="I458" s="111"/>
      <c r="J458" s="112"/>
      <c r="K458" s="112"/>
      <c r="L458" s="112"/>
      <c r="M458" s="112"/>
      <c r="N458" s="112"/>
      <c r="O458" s="112"/>
      <c r="P458" s="112"/>
      <c r="Q458" s="112"/>
      <c r="R458" s="112"/>
      <c r="S458" s="111"/>
      <c r="T458" s="93"/>
      <c r="U458" s="93"/>
      <c r="V458" s="93"/>
      <c r="W458" s="93"/>
      <c r="X458" s="93" t="str">
        <f>IF($B458="Yes",COUNTIF(Reference!P$52:P$67,$K458),"")</f>
        <v/>
      </c>
      <c r="Y458" s="93" t="str">
        <f>IF($B458="Yes",COUNTIF(Reference!Q$52:Q$67,$K458),"")</f>
        <v/>
      </c>
      <c r="Z458" s="93" t="str">
        <f>IF($B458="Yes",COUNTIF(Reference!R$52:R$67,$K458),"")</f>
        <v/>
      </c>
      <c r="AA458" s="93" t="str">
        <f>IF($B458="Yes",COUNTIF(Reference!S$52:S$67,$K458),"")</f>
        <v/>
      </c>
      <c r="AB458" s="93" t="str">
        <f>IF($B458="Yes",COUNTIF(Reference!T$52:T$67,$K458),"")</f>
        <v/>
      </c>
      <c r="AC458" s="93" t="str">
        <f t="shared" si="20"/>
        <v/>
      </c>
    </row>
    <row r="459" spans="1:29" x14ac:dyDescent="0.25">
      <c r="A459" s="95">
        <v>549</v>
      </c>
      <c r="B459" s="95" t="str">
        <f t="shared" ref="B459:B489" si="21">IF(COUNTBLANK(J459:M459)=0,"Yes","No")</f>
        <v>No</v>
      </c>
      <c r="H459" s="95" t="str">
        <f t="shared" ref="H459:H489" si="22">IF(J459="","",$A$1&amp;"-"&amp;A459)</f>
        <v/>
      </c>
      <c r="I459" s="111"/>
      <c r="J459" s="112"/>
      <c r="K459" s="112"/>
      <c r="L459" s="112"/>
      <c r="M459" s="112"/>
      <c r="N459" s="112"/>
      <c r="O459" s="112"/>
      <c r="P459" s="112"/>
      <c r="Q459" s="112"/>
      <c r="R459" s="112"/>
      <c r="S459" s="111"/>
      <c r="T459" s="93"/>
      <c r="U459" s="93"/>
      <c r="V459" s="93"/>
      <c r="W459" s="93"/>
      <c r="X459" s="93" t="str">
        <f>IF($B459="Yes",COUNTIF(Reference!P$52:P$67,$K459),"")</f>
        <v/>
      </c>
      <c r="Y459" s="93" t="str">
        <f>IF($B459="Yes",COUNTIF(Reference!Q$52:Q$67,$K459),"")</f>
        <v/>
      </c>
      <c r="Z459" s="93" t="str">
        <f>IF($B459="Yes",COUNTIF(Reference!R$52:R$67,$K459),"")</f>
        <v/>
      </c>
      <c r="AA459" s="93" t="str">
        <f>IF($B459="Yes",COUNTIF(Reference!S$52:S$67,$K459),"")</f>
        <v/>
      </c>
      <c r="AB459" s="93" t="str">
        <f>IF($B459="Yes",COUNTIF(Reference!T$52:T$67,$K459),"")</f>
        <v/>
      </c>
      <c r="AC459" s="93" t="str">
        <f t="shared" ref="AC459:AC489" si="23">IF($B459="Yes",COUNTIF(K459,"N"),"")</f>
        <v/>
      </c>
    </row>
    <row r="460" spans="1:29" x14ac:dyDescent="0.25">
      <c r="A460" s="95">
        <v>550</v>
      </c>
      <c r="B460" s="95" t="str">
        <f t="shared" si="21"/>
        <v>No</v>
      </c>
      <c r="H460" s="95" t="str">
        <f t="shared" si="22"/>
        <v/>
      </c>
      <c r="I460" s="111"/>
      <c r="J460" s="112"/>
      <c r="K460" s="112"/>
      <c r="L460" s="112"/>
      <c r="M460" s="112"/>
      <c r="N460" s="112"/>
      <c r="O460" s="112"/>
      <c r="P460" s="112"/>
      <c r="Q460" s="112"/>
      <c r="R460" s="112"/>
      <c r="S460" s="111"/>
      <c r="T460" s="93"/>
      <c r="U460" s="93"/>
      <c r="V460" s="93"/>
      <c r="W460" s="93"/>
      <c r="X460" s="93" t="str">
        <f>IF($B460="Yes",COUNTIF(Reference!P$52:P$67,$K460),"")</f>
        <v/>
      </c>
      <c r="Y460" s="93" t="str">
        <f>IF($B460="Yes",COUNTIF(Reference!Q$52:Q$67,$K460),"")</f>
        <v/>
      </c>
      <c r="Z460" s="93" t="str">
        <f>IF($B460="Yes",COUNTIF(Reference!R$52:R$67,$K460),"")</f>
        <v/>
      </c>
      <c r="AA460" s="93" t="str">
        <f>IF($B460="Yes",COUNTIF(Reference!S$52:S$67,$K460),"")</f>
        <v/>
      </c>
      <c r="AB460" s="93" t="str">
        <f>IF($B460="Yes",COUNTIF(Reference!T$52:T$67,$K460),"")</f>
        <v/>
      </c>
      <c r="AC460" s="93" t="str">
        <f t="shared" si="23"/>
        <v/>
      </c>
    </row>
    <row r="461" spans="1:29" x14ac:dyDescent="0.25">
      <c r="A461" s="95">
        <v>551</v>
      </c>
      <c r="B461" s="95" t="str">
        <f t="shared" si="21"/>
        <v>No</v>
      </c>
      <c r="H461" s="95" t="str">
        <f t="shared" si="22"/>
        <v/>
      </c>
      <c r="I461" s="111"/>
      <c r="J461" s="112"/>
      <c r="K461" s="112"/>
      <c r="L461" s="112"/>
      <c r="M461" s="112"/>
      <c r="N461" s="112"/>
      <c r="O461" s="112"/>
      <c r="P461" s="112"/>
      <c r="Q461" s="112"/>
      <c r="R461" s="112"/>
      <c r="S461" s="111"/>
      <c r="T461" s="93"/>
      <c r="U461" s="93"/>
      <c r="V461" s="93"/>
      <c r="W461" s="93"/>
      <c r="X461" s="93" t="str">
        <f>IF($B461="Yes",COUNTIF(Reference!P$52:P$67,$K461),"")</f>
        <v/>
      </c>
      <c r="Y461" s="93" t="str">
        <f>IF($B461="Yes",COUNTIF(Reference!Q$52:Q$67,$K461),"")</f>
        <v/>
      </c>
      <c r="Z461" s="93" t="str">
        <f>IF($B461="Yes",COUNTIF(Reference!R$52:R$67,$K461),"")</f>
        <v/>
      </c>
      <c r="AA461" s="93" t="str">
        <f>IF($B461="Yes",COUNTIF(Reference!S$52:S$67,$K461),"")</f>
        <v/>
      </c>
      <c r="AB461" s="93" t="str">
        <f>IF($B461="Yes",COUNTIF(Reference!T$52:T$67,$K461),"")</f>
        <v/>
      </c>
      <c r="AC461" s="93" t="str">
        <f t="shared" si="23"/>
        <v/>
      </c>
    </row>
    <row r="462" spans="1:29" x14ac:dyDescent="0.25">
      <c r="A462" s="95">
        <v>552</v>
      </c>
      <c r="B462" s="95" t="str">
        <f t="shared" si="21"/>
        <v>No</v>
      </c>
      <c r="H462" s="95" t="str">
        <f t="shared" si="22"/>
        <v/>
      </c>
      <c r="I462" s="111"/>
      <c r="J462" s="112"/>
      <c r="K462" s="112"/>
      <c r="L462" s="112"/>
      <c r="M462" s="112"/>
      <c r="N462" s="112"/>
      <c r="O462" s="112"/>
      <c r="P462" s="112"/>
      <c r="Q462" s="112"/>
      <c r="R462" s="112"/>
      <c r="S462" s="111"/>
      <c r="T462" s="93"/>
      <c r="U462" s="93"/>
      <c r="V462" s="93"/>
      <c r="W462" s="93"/>
      <c r="X462" s="93" t="str">
        <f>IF($B462="Yes",COUNTIF(Reference!P$52:P$67,$K462),"")</f>
        <v/>
      </c>
      <c r="Y462" s="93" t="str">
        <f>IF($B462="Yes",COUNTIF(Reference!Q$52:Q$67,$K462),"")</f>
        <v/>
      </c>
      <c r="Z462" s="93" t="str">
        <f>IF($B462="Yes",COUNTIF(Reference!R$52:R$67,$K462),"")</f>
        <v/>
      </c>
      <c r="AA462" s="93" t="str">
        <f>IF($B462="Yes",COUNTIF(Reference!S$52:S$67,$K462),"")</f>
        <v/>
      </c>
      <c r="AB462" s="93" t="str">
        <f>IF($B462="Yes",COUNTIF(Reference!T$52:T$67,$K462),"")</f>
        <v/>
      </c>
      <c r="AC462" s="93" t="str">
        <f t="shared" si="23"/>
        <v/>
      </c>
    </row>
    <row r="463" spans="1:29" x14ac:dyDescent="0.25">
      <c r="A463" s="95">
        <v>553</v>
      </c>
      <c r="B463" s="95" t="str">
        <f t="shared" si="21"/>
        <v>No</v>
      </c>
      <c r="H463" s="95" t="str">
        <f t="shared" si="22"/>
        <v/>
      </c>
      <c r="I463" s="111"/>
      <c r="J463" s="112"/>
      <c r="K463" s="112"/>
      <c r="L463" s="112"/>
      <c r="M463" s="112"/>
      <c r="N463" s="112"/>
      <c r="O463" s="112"/>
      <c r="P463" s="112"/>
      <c r="Q463" s="112"/>
      <c r="R463" s="112"/>
      <c r="S463" s="111"/>
      <c r="T463" s="93"/>
      <c r="U463" s="93"/>
      <c r="V463" s="93"/>
      <c r="W463" s="93"/>
      <c r="X463" s="93" t="str">
        <f>IF($B463="Yes",COUNTIF(Reference!P$52:P$67,$K463),"")</f>
        <v/>
      </c>
      <c r="Y463" s="93" t="str">
        <f>IF($B463="Yes",COUNTIF(Reference!Q$52:Q$67,$K463),"")</f>
        <v/>
      </c>
      <c r="Z463" s="93" t="str">
        <f>IF($B463="Yes",COUNTIF(Reference!R$52:R$67,$K463),"")</f>
        <v/>
      </c>
      <c r="AA463" s="93" t="str">
        <f>IF($B463="Yes",COUNTIF(Reference!S$52:S$67,$K463),"")</f>
        <v/>
      </c>
      <c r="AB463" s="93" t="str">
        <f>IF($B463="Yes",COUNTIF(Reference!T$52:T$67,$K463),"")</f>
        <v/>
      </c>
      <c r="AC463" s="93" t="str">
        <f t="shared" si="23"/>
        <v/>
      </c>
    </row>
    <row r="464" spans="1:29" x14ac:dyDescent="0.25">
      <c r="A464" s="95">
        <v>554</v>
      </c>
      <c r="B464" s="95" t="str">
        <f t="shared" si="21"/>
        <v>No</v>
      </c>
      <c r="H464" s="95" t="str">
        <f t="shared" si="22"/>
        <v/>
      </c>
      <c r="I464" s="111"/>
      <c r="J464" s="112"/>
      <c r="K464" s="112"/>
      <c r="L464" s="112"/>
      <c r="M464" s="112"/>
      <c r="N464" s="112"/>
      <c r="O464" s="112"/>
      <c r="P464" s="112"/>
      <c r="Q464" s="112"/>
      <c r="R464" s="112"/>
      <c r="S464" s="111"/>
      <c r="T464" s="93"/>
      <c r="U464" s="93"/>
      <c r="V464" s="93"/>
      <c r="W464" s="93"/>
      <c r="X464" s="93" t="str">
        <f>IF($B464="Yes",COUNTIF(Reference!P$52:P$67,$K464),"")</f>
        <v/>
      </c>
      <c r="Y464" s="93" t="str">
        <f>IF($B464="Yes",COUNTIF(Reference!Q$52:Q$67,$K464),"")</f>
        <v/>
      </c>
      <c r="Z464" s="93" t="str">
        <f>IF($B464="Yes",COUNTIF(Reference!R$52:R$67,$K464),"")</f>
        <v/>
      </c>
      <c r="AA464" s="93" t="str">
        <f>IF($B464="Yes",COUNTIF(Reference!S$52:S$67,$K464),"")</f>
        <v/>
      </c>
      <c r="AB464" s="93" t="str">
        <f>IF($B464="Yes",COUNTIF(Reference!T$52:T$67,$K464),"")</f>
        <v/>
      </c>
      <c r="AC464" s="93" t="str">
        <f t="shared" si="23"/>
        <v/>
      </c>
    </row>
    <row r="465" spans="1:29" x14ac:dyDescent="0.25">
      <c r="A465" s="95">
        <v>555</v>
      </c>
      <c r="B465" s="95" t="str">
        <f t="shared" si="21"/>
        <v>No</v>
      </c>
      <c r="H465" s="95" t="str">
        <f t="shared" si="22"/>
        <v/>
      </c>
      <c r="I465" s="111"/>
      <c r="J465" s="112"/>
      <c r="K465" s="112"/>
      <c r="L465" s="112"/>
      <c r="M465" s="112"/>
      <c r="N465" s="112"/>
      <c r="O465" s="112"/>
      <c r="P465" s="112"/>
      <c r="Q465" s="112"/>
      <c r="R465" s="112"/>
      <c r="S465" s="111"/>
      <c r="T465" s="93"/>
      <c r="U465" s="93"/>
      <c r="V465" s="93"/>
      <c r="W465" s="93"/>
      <c r="X465" s="93" t="str">
        <f>IF($B465="Yes",COUNTIF(Reference!P$52:P$67,$K465),"")</f>
        <v/>
      </c>
      <c r="Y465" s="93" t="str">
        <f>IF($B465="Yes",COUNTIF(Reference!Q$52:Q$67,$K465),"")</f>
        <v/>
      </c>
      <c r="Z465" s="93" t="str">
        <f>IF($B465="Yes",COUNTIF(Reference!R$52:R$67,$K465),"")</f>
        <v/>
      </c>
      <c r="AA465" s="93" t="str">
        <f>IF($B465="Yes",COUNTIF(Reference!S$52:S$67,$K465),"")</f>
        <v/>
      </c>
      <c r="AB465" s="93" t="str">
        <f>IF($B465="Yes",COUNTIF(Reference!T$52:T$67,$K465),"")</f>
        <v/>
      </c>
      <c r="AC465" s="93" t="str">
        <f t="shared" si="23"/>
        <v/>
      </c>
    </row>
    <row r="466" spans="1:29" x14ac:dyDescent="0.25">
      <c r="A466" s="95">
        <v>556</v>
      </c>
      <c r="B466" s="95" t="str">
        <f t="shared" si="21"/>
        <v>No</v>
      </c>
      <c r="H466" s="95" t="str">
        <f t="shared" si="22"/>
        <v/>
      </c>
      <c r="I466" s="111"/>
      <c r="J466" s="112"/>
      <c r="K466" s="112"/>
      <c r="L466" s="112"/>
      <c r="M466" s="112"/>
      <c r="N466" s="112"/>
      <c r="O466" s="112"/>
      <c r="P466" s="112"/>
      <c r="Q466" s="112"/>
      <c r="R466" s="112"/>
      <c r="S466" s="111"/>
      <c r="T466" s="93"/>
      <c r="U466" s="93"/>
      <c r="V466" s="93"/>
      <c r="W466" s="93"/>
      <c r="X466" s="93" t="str">
        <f>IF($B466="Yes",COUNTIF(Reference!P$52:P$67,$K466),"")</f>
        <v/>
      </c>
      <c r="Y466" s="93" t="str">
        <f>IF($B466="Yes",COUNTIF(Reference!Q$52:Q$67,$K466),"")</f>
        <v/>
      </c>
      <c r="Z466" s="93" t="str">
        <f>IF($B466="Yes",COUNTIF(Reference!R$52:R$67,$K466),"")</f>
        <v/>
      </c>
      <c r="AA466" s="93" t="str">
        <f>IF($B466="Yes",COUNTIF(Reference!S$52:S$67,$K466),"")</f>
        <v/>
      </c>
      <c r="AB466" s="93" t="str">
        <f>IF($B466="Yes",COUNTIF(Reference!T$52:T$67,$K466),"")</f>
        <v/>
      </c>
      <c r="AC466" s="93" t="str">
        <f t="shared" si="23"/>
        <v/>
      </c>
    </row>
    <row r="467" spans="1:29" x14ac:dyDescent="0.25">
      <c r="A467" s="95">
        <v>557</v>
      </c>
      <c r="B467" s="95" t="str">
        <f t="shared" si="21"/>
        <v>No</v>
      </c>
      <c r="H467" s="95" t="str">
        <f t="shared" si="22"/>
        <v/>
      </c>
      <c r="I467" s="111"/>
      <c r="J467" s="112"/>
      <c r="K467" s="112"/>
      <c r="L467" s="112"/>
      <c r="M467" s="112"/>
      <c r="N467" s="112"/>
      <c r="O467" s="112"/>
      <c r="P467" s="112"/>
      <c r="Q467" s="112"/>
      <c r="R467" s="112"/>
      <c r="S467" s="111"/>
      <c r="T467" s="93"/>
      <c r="U467" s="93"/>
      <c r="V467" s="93"/>
      <c r="W467" s="93"/>
      <c r="X467" s="93" t="str">
        <f>IF($B467="Yes",COUNTIF(Reference!P$52:P$67,$K467),"")</f>
        <v/>
      </c>
      <c r="Y467" s="93" t="str">
        <f>IF($B467="Yes",COUNTIF(Reference!Q$52:Q$67,$K467),"")</f>
        <v/>
      </c>
      <c r="Z467" s="93" t="str">
        <f>IF($B467="Yes",COUNTIF(Reference!R$52:R$67,$K467),"")</f>
        <v/>
      </c>
      <c r="AA467" s="93" t="str">
        <f>IF($B467="Yes",COUNTIF(Reference!S$52:S$67,$K467),"")</f>
        <v/>
      </c>
      <c r="AB467" s="93" t="str">
        <f>IF($B467="Yes",COUNTIF(Reference!T$52:T$67,$K467),"")</f>
        <v/>
      </c>
      <c r="AC467" s="93" t="str">
        <f t="shared" si="23"/>
        <v/>
      </c>
    </row>
    <row r="468" spans="1:29" x14ac:dyDescent="0.25">
      <c r="A468" s="95">
        <v>558</v>
      </c>
      <c r="B468" s="95" t="str">
        <f t="shared" si="21"/>
        <v>No</v>
      </c>
      <c r="H468" s="95" t="str">
        <f t="shared" si="22"/>
        <v/>
      </c>
      <c r="I468" s="111"/>
      <c r="J468" s="112"/>
      <c r="K468" s="112"/>
      <c r="L468" s="112"/>
      <c r="M468" s="112"/>
      <c r="N468" s="112"/>
      <c r="O468" s="112"/>
      <c r="P468" s="112"/>
      <c r="Q468" s="112"/>
      <c r="R468" s="112"/>
      <c r="S468" s="111"/>
      <c r="T468" s="93"/>
      <c r="U468" s="93"/>
      <c r="V468" s="93"/>
      <c r="W468" s="93"/>
      <c r="X468" s="93" t="str">
        <f>IF($B468="Yes",COUNTIF(Reference!P$52:P$67,$K468),"")</f>
        <v/>
      </c>
      <c r="Y468" s="93" t="str">
        <f>IF($B468="Yes",COUNTIF(Reference!Q$52:Q$67,$K468),"")</f>
        <v/>
      </c>
      <c r="Z468" s="93" t="str">
        <f>IF($B468="Yes",COUNTIF(Reference!R$52:R$67,$K468),"")</f>
        <v/>
      </c>
      <c r="AA468" s="93" t="str">
        <f>IF($B468="Yes",COUNTIF(Reference!S$52:S$67,$K468),"")</f>
        <v/>
      </c>
      <c r="AB468" s="93" t="str">
        <f>IF($B468="Yes",COUNTIF(Reference!T$52:T$67,$K468),"")</f>
        <v/>
      </c>
      <c r="AC468" s="93" t="str">
        <f t="shared" si="23"/>
        <v/>
      </c>
    </row>
    <row r="469" spans="1:29" x14ac:dyDescent="0.25">
      <c r="A469" s="95">
        <v>559</v>
      </c>
      <c r="B469" s="95" t="str">
        <f t="shared" si="21"/>
        <v>No</v>
      </c>
      <c r="H469" s="95" t="str">
        <f t="shared" si="22"/>
        <v/>
      </c>
      <c r="I469" s="111"/>
      <c r="J469" s="112"/>
      <c r="K469" s="112"/>
      <c r="L469" s="112"/>
      <c r="M469" s="112"/>
      <c r="N469" s="112"/>
      <c r="O469" s="112"/>
      <c r="P469" s="112"/>
      <c r="Q469" s="112"/>
      <c r="R469" s="112"/>
      <c r="S469" s="111"/>
      <c r="T469" s="93"/>
      <c r="U469" s="93"/>
      <c r="V469" s="93"/>
      <c r="W469" s="93"/>
      <c r="X469" s="93" t="str">
        <f>IF($B469="Yes",COUNTIF(Reference!P$52:P$67,$K469),"")</f>
        <v/>
      </c>
      <c r="Y469" s="93" t="str">
        <f>IF($B469="Yes",COUNTIF(Reference!Q$52:Q$67,$K469),"")</f>
        <v/>
      </c>
      <c r="Z469" s="93" t="str">
        <f>IF($B469="Yes",COUNTIF(Reference!R$52:R$67,$K469),"")</f>
        <v/>
      </c>
      <c r="AA469" s="93" t="str">
        <f>IF($B469="Yes",COUNTIF(Reference!S$52:S$67,$K469),"")</f>
        <v/>
      </c>
      <c r="AB469" s="93" t="str">
        <f>IF($B469="Yes",COUNTIF(Reference!T$52:T$67,$K469),"")</f>
        <v/>
      </c>
      <c r="AC469" s="93" t="str">
        <f t="shared" si="23"/>
        <v/>
      </c>
    </row>
    <row r="470" spans="1:29" x14ac:dyDescent="0.25">
      <c r="A470" s="95">
        <v>560</v>
      </c>
      <c r="B470" s="95" t="str">
        <f t="shared" si="21"/>
        <v>No</v>
      </c>
      <c r="H470" s="95" t="str">
        <f t="shared" si="22"/>
        <v/>
      </c>
      <c r="I470" s="111"/>
      <c r="J470" s="112"/>
      <c r="K470" s="112"/>
      <c r="L470" s="112"/>
      <c r="M470" s="112"/>
      <c r="N470" s="112"/>
      <c r="O470" s="112"/>
      <c r="P470" s="112"/>
      <c r="Q470" s="112"/>
      <c r="R470" s="112"/>
      <c r="S470" s="111"/>
      <c r="T470" s="93"/>
      <c r="U470" s="93"/>
      <c r="V470" s="93"/>
      <c r="W470" s="93"/>
      <c r="X470" s="93" t="str">
        <f>IF($B470="Yes",COUNTIF(Reference!P$52:P$67,$K470),"")</f>
        <v/>
      </c>
      <c r="Y470" s="93" t="str">
        <f>IF($B470="Yes",COUNTIF(Reference!Q$52:Q$67,$K470),"")</f>
        <v/>
      </c>
      <c r="Z470" s="93" t="str">
        <f>IF($B470="Yes",COUNTIF(Reference!R$52:R$67,$K470),"")</f>
        <v/>
      </c>
      <c r="AA470" s="93" t="str">
        <f>IF($B470="Yes",COUNTIF(Reference!S$52:S$67,$K470),"")</f>
        <v/>
      </c>
      <c r="AB470" s="93" t="str">
        <f>IF($B470="Yes",COUNTIF(Reference!T$52:T$67,$K470),"")</f>
        <v/>
      </c>
      <c r="AC470" s="93" t="str">
        <f t="shared" si="23"/>
        <v/>
      </c>
    </row>
    <row r="471" spans="1:29" x14ac:dyDescent="0.25">
      <c r="A471" s="95">
        <v>561</v>
      </c>
      <c r="B471" s="95" t="str">
        <f t="shared" si="21"/>
        <v>No</v>
      </c>
      <c r="H471" s="95" t="str">
        <f t="shared" si="22"/>
        <v/>
      </c>
      <c r="I471" s="111"/>
      <c r="J471" s="112"/>
      <c r="K471" s="112"/>
      <c r="L471" s="112"/>
      <c r="M471" s="112"/>
      <c r="N471" s="112"/>
      <c r="O471" s="112"/>
      <c r="P471" s="112"/>
      <c r="Q471" s="112"/>
      <c r="R471" s="112"/>
      <c r="S471" s="111"/>
      <c r="T471" s="93"/>
      <c r="U471" s="93"/>
      <c r="V471" s="93"/>
      <c r="W471" s="93"/>
      <c r="X471" s="93" t="str">
        <f>IF($B471="Yes",COUNTIF(Reference!P$52:P$67,$K471),"")</f>
        <v/>
      </c>
      <c r="Y471" s="93" t="str">
        <f>IF($B471="Yes",COUNTIF(Reference!Q$52:Q$67,$K471),"")</f>
        <v/>
      </c>
      <c r="Z471" s="93" t="str">
        <f>IF($B471="Yes",COUNTIF(Reference!R$52:R$67,$K471),"")</f>
        <v/>
      </c>
      <c r="AA471" s="93" t="str">
        <f>IF($B471="Yes",COUNTIF(Reference!S$52:S$67,$K471),"")</f>
        <v/>
      </c>
      <c r="AB471" s="93" t="str">
        <f>IF($B471="Yes",COUNTIF(Reference!T$52:T$67,$K471),"")</f>
        <v/>
      </c>
      <c r="AC471" s="93" t="str">
        <f t="shared" si="23"/>
        <v/>
      </c>
    </row>
    <row r="472" spans="1:29" x14ac:dyDescent="0.25">
      <c r="A472" s="95">
        <v>562</v>
      </c>
      <c r="B472" s="95" t="str">
        <f t="shared" si="21"/>
        <v>No</v>
      </c>
      <c r="H472" s="95" t="str">
        <f t="shared" si="22"/>
        <v/>
      </c>
      <c r="I472" s="111"/>
      <c r="J472" s="112"/>
      <c r="K472" s="112"/>
      <c r="L472" s="112"/>
      <c r="M472" s="112"/>
      <c r="N472" s="112"/>
      <c r="O472" s="112"/>
      <c r="P472" s="112"/>
      <c r="Q472" s="112"/>
      <c r="R472" s="112"/>
      <c r="S472" s="111"/>
      <c r="T472" s="93"/>
      <c r="U472" s="93"/>
      <c r="V472" s="93"/>
      <c r="W472" s="93"/>
      <c r="X472" s="93" t="str">
        <f>IF($B472="Yes",COUNTIF(Reference!P$52:P$67,$K472),"")</f>
        <v/>
      </c>
      <c r="Y472" s="93" t="str">
        <f>IF($B472="Yes",COUNTIF(Reference!Q$52:Q$67,$K472),"")</f>
        <v/>
      </c>
      <c r="Z472" s="93" t="str">
        <f>IF($B472="Yes",COUNTIF(Reference!R$52:R$67,$K472),"")</f>
        <v/>
      </c>
      <c r="AA472" s="93" t="str">
        <f>IF($B472="Yes",COUNTIF(Reference!S$52:S$67,$K472),"")</f>
        <v/>
      </c>
      <c r="AB472" s="93" t="str">
        <f>IF($B472="Yes",COUNTIF(Reference!T$52:T$67,$K472),"")</f>
        <v/>
      </c>
      <c r="AC472" s="93" t="str">
        <f t="shared" si="23"/>
        <v/>
      </c>
    </row>
    <row r="473" spans="1:29" x14ac:dyDescent="0.25">
      <c r="A473" s="95">
        <v>563</v>
      </c>
      <c r="B473" s="95" t="str">
        <f t="shared" si="21"/>
        <v>No</v>
      </c>
      <c r="H473" s="95" t="str">
        <f t="shared" si="22"/>
        <v/>
      </c>
      <c r="I473" s="111"/>
      <c r="J473" s="112"/>
      <c r="K473" s="112"/>
      <c r="L473" s="112"/>
      <c r="M473" s="112"/>
      <c r="N473" s="112"/>
      <c r="O473" s="112"/>
      <c r="P473" s="112"/>
      <c r="Q473" s="112"/>
      <c r="R473" s="112"/>
      <c r="S473" s="111"/>
      <c r="T473" s="93"/>
      <c r="U473" s="93"/>
      <c r="V473" s="93"/>
      <c r="W473" s="93"/>
      <c r="X473" s="93" t="str">
        <f>IF($B473="Yes",COUNTIF(Reference!P$52:P$67,$K473),"")</f>
        <v/>
      </c>
      <c r="Y473" s="93" t="str">
        <f>IF($B473="Yes",COUNTIF(Reference!Q$52:Q$67,$K473),"")</f>
        <v/>
      </c>
      <c r="Z473" s="93" t="str">
        <f>IF($B473="Yes",COUNTIF(Reference!R$52:R$67,$K473),"")</f>
        <v/>
      </c>
      <c r="AA473" s="93" t="str">
        <f>IF($B473="Yes",COUNTIF(Reference!S$52:S$67,$K473),"")</f>
        <v/>
      </c>
      <c r="AB473" s="93" t="str">
        <f>IF($B473="Yes",COUNTIF(Reference!T$52:T$67,$K473),"")</f>
        <v/>
      </c>
      <c r="AC473" s="93" t="str">
        <f t="shared" si="23"/>
        <v/>
      </c>
    </row>
    <row r="474" spans="1:29" x14ac:dyDescent="0.25">
      <c r="A474" s="95">
        <v>564</v>
      </c>
      <c r="B474" s="95" t="str">
        <f t="shared" si="21"/>
        <v>No</v>
      </c>
      <c r="H474" s="95" t="str">
        <f t="shared" si="22"/>
        <v/>
      </c>
      <c r="I474" s="111"/>
      <c r="J474" s="112"/>
      <c r="K474" s="112"/>
      <c r="L474" s="112"/>
      <c r="M474" s="112"/>
      <c r="N474" s="112"/>
      <c r="O474" s="112"/>
      <c r="P474" s="112"/>
      <c r="Q474" s="112"/>
      <c r="R474" s="112"/>
      <c r="S474" s="111"/>
      <c r="T474" s="93"/>
      <c r="U474" s="93"/>
      <c r="V474" s="93"/>
      <c r="W474" s="93"/>
      <c r="X474" s="93" t="str">
        <f>IF($B474="Yes",COUNTIF(Reference!P$52:P$67,$K474),"")</f>
        <v/>
      </c>
      <c r="Y474" s="93" t="str">
        <f>IF($B474="Yes",COUNTIF(Reference!Q$52:Q$67,$K474),"")</f>
        <v/>
      </c>
      <c r="Z474" s="93" t="str">
        <f>IF($B474="Yes",COUNTIF(Reference!R$52:R$67,$K474),"")</f>
        <v/>
      </c>
      <c r="AA474" s="93" t="str">
        <f>IF($B474="Yes",COUNTIF(Reference!S$52:S$67,$K474),"")</f>
        <v/>
      </c>
      <c r="AB474" s="93" t="str">
        <f>IF($B474="Yes",COUNTIF(Reference!T$52:T$67,$K474),"")</f>
        <v/>
      </c>
      <c r="AC474" s="93" t="str">
        <f t="shared" si="23"/>
        <v/>
      </c>
    </row>
    <row r="475" spans="1:29" x14ac:dyDescent="0.25">
      <c r="A475" s="95">
        <v>565</v>
      </c>
      <c r="B475" s="95" t="str">
        <f t="shared" si="21"/>
        <v>No</v>
      </c>
      <c r="H475" s="95" t="str">
        <f t="shared" si="22"/>
        <v/>
      </c>
      <c r="I475" s="111"/>
      <c r="J475" s="112"/>
      <c r="K475" s="112"/>
      <c r="L475" s="112"/>
      <c r="M475" s="112"/>
      <c r="N475" s="112"/>
      <c r="O475" s="112"/>
      <c r="P475" s="112"/>
      <c r="Q475" s="112"/>
      <c r="R475" s="112"/>
      <c r="S475" s="111"/>
      <c r="T475" s="93"/>
      <c r="U475" s="93"/>
      <c r="V475" s="93"/>
      <c r="W475" s="93"/>
      <c r="X475" s="93" t="str">
        <f>IF($B475="Yes",COUNTIF(Reference!P$52:P$67,$K475),"")</f>
        <v/>
      </c>
      <c r="Y475" s="93" t="str">
        <f>IF($B475="Yes",COUNTIF(Reference!Q$52:Q$67,$K475),"")</f>
        <v/>
      </c>
      <c r="Z475" s="93" t="str">
        <f>IF($B475="Yes",COUNTIF(Reference!R$52:R$67,$K475),"")</f>
        <v/>
      </c>
      <c r="AA475" s="93" t="str">
        <f>IF($B475="Yes",COUNTIF(Reference!S$52:S$67,$K475),"")</f>
        <v/>
      </c>
      <c r="AB475" s="93" t="str">
        <f>IF($B475="Yes",COUNTIF(Reference!T$52:T$67,$K475),"")</f>
        <v/>
      </c>
      <c r="AC475" s="93" t="str">
        <f t="shared" si="23"/>
        <v/>
      </c>
    </row>
    <row r="476" spans="1:29" x14ac:dyDescent="0.25">
      <c r="A476" s="95">
        <v>566</v>
      </c>
      <c r="B476" s="95" t="str">
        <f t="shared" si="21"/>
        <v>No</v>
      </c>
      <c r="H476" s="95" t="str">
        <f t="shared" si="22"/>
        <v/>
      </c>
      <c r="I476" s="111"/>
      <c r="J476" s="112"/>
      <c r="K476" s="112"/>
      <c r="L476" s="112"/>
      <c r="M476" s="112"/>
      <c r="N476" s="112"/>
      <c r="O476" s="112"/>
      <c r="P476" s="112"/>
      <c r="Q476" s="112"/>
      <c r="R476" s="112"/>
      <c r="S476" s="111"/>
      <c r="T476" s="93"/>
      <c r="U476" s="93"/>
      <c r="V476" s="93"/>
      <c r="W476" s="93"/>
      <c r="X476" s="93" t="str">
        <f>IF($B476="Yes",COUNTIF(Reference!P$52:P$67,$K476),"")</f>
        <v/>
      </c>
      <c r="Y476" s="93" t="str">
        <f>IF($B476="Yes",COUNTIF(Reference!Q$52:Q$67,$K476),"")</f>
        <v/>
      </c>
      <c r="Z476" s="93" t="str">
        <f>IF($B476="Yes",COUNTIF(Reference!R$52:R$67,$K476),"")</f>
        <v/>
      </c>
      <c r="AA476" s="93" t="str">
        <f>IF($B476="Yes",COUNTIF(Reference!S$52:S$67,$K476),"")</f>
        <v/>
      </c>
      <c r="AB476" s="93" t="str">
        <f>IF($B476="Yes",COUNTIF(Reference!T$52:T$67,$K476),"")</f>
        <v/>
      </c>
      <c r="AC476" s="93" t="str">
        <f t="shared" si="23"/>
        <v/>
      </c>
    </row>
    <row r="477" spans="1:29" x14ac:dyDescent="0.25">
      <c r="A477" s="95">
        <v>567</v>
      </c>
      <c r="B477" s="95" t="str">
        <f t="shared" si="21"/>
        <v>No</v>
      </c>
      <c r="H477" s="95" t="str">
        <f t="shared" si="22"/>
        <v/>
      </c>
      <c r="I477" s="111"/>
      <c r="J477" s="112"/>
      <c r="K477" s="112"/>
      <c r="L477" s="112"/>
      <c r="M477" s="112"/>
      <c r="N477" s="112"/>
      <c r="O477" s="112"/>
      <c r="P477" s="112"/>
      <c r="Q477" s="112"/>
      <c r="R477" s="112"/>
      <c r="S477" s="111"/>
      <c r="T477" s="93"/>
      <c r="U477" s="93"/>
      <c r="V477" s="93"/>
      <c r="W477" s="93"/>
      <c r="X477" s="93" t="str">
        <f>IF($B477="Yes",COUNTIF(Reference!P$52:P$67,$K477),"")</f>
        <v/>
      </c>
      <c r="Y477" s="93" t="str">
        <f>IF($B477="Yes",COUNTIF(Reference!Q$52:Q$67,$K477),"")</f>
        <v/>
      </c>
      <c r="Z477" s="93" t="str">
        <f>IF($B477="Yes",COUNTIF(Reference!R$52:R$67,$K477),"")</f>
        <v/>
      </c>
      <c r="AA477" s="93" t="str">
        <f>IF($B477="Yes",COUNTIF(Reference!S$52:S$67,$K477),"")</f>
        <v/>
      </c>
      <c r="AB477" s="93" t="str">
        <f>IF($B477="Yes",COUNTIF(Reference!T$52:T$67,$K477),"")</f>
        <v/>
      </c>
      <c r="AC477" s="93" t="str">
        <f t="shared" si="23"/>
        <v/>
      </c>
    </row>
    <row r="478" spans="1:29" x14ac:dyDescent="0.25">
      <c r="A478" s="95">
        <v>568</v>
      </c>
      <c r="B478" s="95" t="str">
        <f t="shared" si="21"/>
        <v>No</v>
      </c>
      <c r="H478" s="95" t="str">
        <f t="shared" si="22"/>
        <v/>
      </c>
      <c r="I478" s="111"/>
      <c r="J478" s="112"/>
      <c r="K478" s="112"/>
      <c r="L478" s="112"/>
      <c r="M478" s="112"/>
      <c r="N478" s="112"/>
      <c r="O478" s="112"/>
      <c r="P478" s="112"/>
      <c r="Q478" s="112"/>
      <c r="R478" s="112"/>
      <c r="S478" s="111"/>
      <c r="T478" s="93"/>
      <c r="U478" s="93"/>
      <c r="V478" s="93"/>
      <c r="W478" s="93"/>
      <c r="X478" s="93" t="str">
        <f>IF($B478="Yes",COUNTIF(Reference!P$52:P$67,$K478),"")</f>
        <v/>
      </c>
      <c r="Y478" s="93" t="str">
        <f>IF($B478="Yes",COUNTIF(Reference!Q$52:Q$67,$K478),"")</f>
        <v/>
      </c>
      <c r="Z478" s="93" t="str">
        <f>IF($B478="Yes",COUNTIF(Reference!R$52:R$67,$K478),"")</f>
        <v/>
      </c>
      <c r="AA478" s="93" t="str">
        <f>IF($B478="Yes",COUNTIF(Reference!S$52:S$67,$K478),"")</f>
        <v/>
      </c>
      <c r="AB478" s="93" t="str">
        <f>IF($B478="Yes",COUNTIF(Reference!T$52:T$67,$K478),"")</f>
        <v/>
      </c>
      <c r="AC478" s="93" t="str">
        <f t="shared" si="23"/>
        <v/>
      </c>
    </row>
    <row r="479" spans="1:29" x14ac:dyDescent="0.25">
      <c r="A479" s="95">
        <v>569</v>
      </c>
      <c r="B479" s="95" t="str">
        <f t="shared" si="21"/>
        <v>No</v>
      </c>
      <c r="H479" s="95" t="str">
        <f t="shared" si="22"/>
        <v/>
      </c>
      <c r="I479" s="111"/>
      <c r="J479" s="112"/>
      <c r="K479" s="112"/>
      <c r="L479" s="112"/>
      <c r="M479" s="112"/>
      <c r="N479" s="112"/>
      <c r="O479" s="112"/>
      <c r="P479" s="112"/>
      <c r="Q479" s="112"/>
      <c r="R479" s="112"/>
      <c r="S479" s="111"/>
      <c r="T479" s="93"/>
      <c r="U479" s="93"/>
      <c r="V479" s="93"/>
      <c r="W479" s="93"/>
      <c r="X479" s="93" t="str">
        <f>IF($B479="Yes",COUNTIF(Reference!P$52:P$67,$K479),"")</f>
        <v/>
      </c>
      <c r="Y479" s="93" t="str">
        <f>IF($B479="Yes",COUNTIF(Reference!Q$52:Q$67,$K479),"")</f>
        <v/>
      </c>
      <c r="Z479" s="93" t="str">
        <f>IF($B479="Yes",COUNTIF(Reference!R$52:R$67,$K479),"")</f>
        <v/>
      </c>
      <c r="AA479" s="93" t="str">
        <f>IF($B479="Yes",COUNTIF(Reference!S$52:S$67,$K479),"")</f>
        <v/>
      </c>
      <c r="AB479" s="93" t="str">
        <f>IF($B479="Yes",COUNTIF(Reference!T$52:T$67,$K479),"")</f>
        <v/>
      </c>
      <c r="AC479" s="93" t="str">
        <f t="shared" si="23"/>
        <v/>
      </c>
    </row>
    <row r="480" spans="1:29" x14ac:dyDescent="0.25">
      <c r="A480" s="95">
        <v>570</v>
      </c>
      <c r="B480" s="95" t="str">
        <f t="shared" si="21"/>
        <v>No</v>
      </c>
      <c r="H480" s="95" t="str">
        <f t="shared" si="22"/>
        <v/>
      </c>
      <c r="I480" s="111"/>
      <c r="J480" s="112"/>
      <c r="K480" s="112"/>
      <c r="L480" s="112"/>
      <c r="M480" s="112"/>
      <c r="N480" s="112"/>
      <c r="O480" s="112"/>
      <c r="P480" s="112"/>
      <c r="Q480" s="112"/>
      <c r="R480" s="112"/>
      <c r="S480" s="111"/>
      <c r="T480" s="93"/>
      <c r="U480" s="93"/>
      <c r="V480" s="93"/>
      <c r="W480" s="93"/>
      <c r="X480" s="93" t="str">
        <f>IF($B480="Yes",COUNTIF(Reference!P$52:P$67,$K480),"")</f>
        <v/>
      </c>
      <c r="Y480" s="93" t="str">
        <f>IF($B480="Yes",COUNTIF(Reference!Q$52:Q$67,$K480),"")</f>
        <v/>
      </c>
      <c r="Z480" s="93" t="str">
        <f>IF($B480="Yes",COUNTIF(Reference!R$52:R$67,$K480),"")</f>
        <v/>
      </c>
      <c r="AA480" s="93" t="str">
        <f>IF($B480="Yes",COUNTIF(Reference!S$52:S$67,$K480),"")</f>
        <v/>
      </c>
      <c r="AB480" s="93" t="str">
        <f>IF($B480="Yes",COUNTIF(Reference!T$52:T$67,$K480),"")</f>
        <v/>
      </c>
      <c r="AC480" s="93" t="str">
        <f t="shared" si="23"/>
        <v/>
      </c>
    </row>
    <row r="481" spans="1:29" x14ac:dyDescent="0.25">
      <c r="A481" s="95">
        <v>571</v>
      </c>
      <c r="B481" s="95" t="str">
        <f t="shared" si="21"/>
        <v>No</v>
      </c>
      <c r="H481" s="95" t="str">
        <f t="shared" si="22"/>
        <v/>
      </c>
      <c r="I481" s="111"/>
      <c r="J481" s="112"/>
      <c r="K481" s="112"/>
      <c r="L481" s="112"/>
      <c r="M481" s="112"/>
      <c r="N481" s="112"/>
      <c r="O481" s="112"/>
      <c r="P481" s="112"/>
      <c r="Q481" s="112"/>
      <c r="R481" s="112"/>
      <c r="S481" s="111"/>
      <c r="T481" s="93"/>
      <c r="U481" s="93"/>
      <c r="V481" s="93"/>
      <c r="W481" s="93"/>
      <c r="X481" s="93" t="str">
        <f>IF($B481="Yes",COUNTIF(Reference!P$52:P$67,$K481),"")</f>
        <v/>
      </c>
      <c r="Y481" s="93" t="str">
        <f>IF($B481="Yes",COUNTIF(Reference!Q$52:Q$67,$K481),"")</f>
        <v/>
      </c>
      <c r="Z481" s="93" t="str">
        <f>IF($B481="Yes",COUNTIF(Reference!R$52:R$67,$K481),"")</f>
        <v/>
      </c>
      <c r="AA481" s="93" t="str">
        <f>IF($B481="Yes",COUNTIF(Reference!S$52:S$67,$K481),"")</f>
        <v/>
      </c>
      <c r="AB481" s="93" t="str">
        <f>IF($B481="Yes",COUNTIF(Reference!T$52:T$67,$K481),"")</f>
        <v/>
      </c>
      <c r="AC481" s="93" t="str">
        <f t="shared" si="23"/>
        <v/>
      </c>
    </row>
    <row r="482" spans="1:29" x14ac:dyDescent="0.25">
      <c r="A482" s="95">
        <v>572</v>
      </c>
      <c r="B482" s="95" t="str">
        <f t="shared" si="21"/>
        <v>No</v>
      </c>
      <c r="H482" s="95" t="str">
        <f t="shared" si="22"/>
        <v/>
      </c>
      <c r="I482" s="111"/>
      <c r="J482" s="112"/>
      <c r="K482" s="112"/>
      <c r="L482" s="112"/>
      <c r="M482" s="112"/>
      <c r="N482" s="112"/>
      <c r="O482" s="112"/>
      <c r="P482" s="112"/>
      <c r="Q482" s="112"/>
      <c r="R482" s="112"/>
      <c r="S482" s="111"/>
      <c r="T482" s="93"/>
      <c r="U482" s="93"/>
      <c r="V482" s="93"/>
      <c r="W482" s="93"/>
      <c r="X482" s="93" t="str">
        <f>IF($B482="Yes",COUNTIF(Reference!P$52:P$67,$K482),"")</f>
        <v/>
      </c>
      <c r="Y482" s="93" t="str">
        <f>IF($B482="Yes",COUNTIF(Reference!Q$52:Q$67,$K482),"")</f>
        <v/>
      </c>
      <c r="Z482" s="93" t="str">
        <f>IF($B482="Yes",COUNTIF(Reference!R$52:R$67,$K482),"")</f>
        <v/>
      </c>
      <c r="AA482" s="93" t="str">
        <f>IF($B482="Yes",COUNTIF(Reference!S$52:S$67,$K482),"")</f>
        <v/>
      </c>
      <c r="AB482" s="93" t="str">
        <f>IF($B482="Yes",COUNTIF(Reference!T$52:T$67,$K482),"")</f>
        <v/>
      </c>
      <c r="AC482" s="93" t="str">
        <f t="shared" si="23"/>
        <v/>
      </c>
    </row>
    <row r="483" spans="1:29" x14ac:dyDescent="0.25">
      <c r="A483" s="95">
        <v>573</v>
      </c>
      <c r="B483" s="95" t="str">
        <f t="shared" si="21"/>
        <v>No</v>
      </c>
      <c r="H483" s="95" t="str">
        <f t="shared" si="22"/>
        <v/>
      </c>
      <c r="I483" s="111"/>
      <c r="J483" s="112"/>
      <c r="K483" s="112"/>
      <c r="L483" s="112"/>
      <c r="M483" s="112"/>
      <c r="N483" s="112"/>
      <c r="O483" s="112"/>
      <c r="P483" s="112"/>
      <c r="Q483" s="112"/>
      <c r="R483" s="112"/>
      <c r="S483" s="111"/>
      <c r="T483" s="93"/>
      <c r="U483" s="93"/>
      <c r="V483" s="93"/>
      <c r="W483" s="93"/>
      <c r="X483" s="93" t="str">
        <f>IF($B483="Yes",COUNTIF(Reference!P$52:P$67,$K483),"")</f>
        <v/>
      </c>
      <c r="Y483" s="93" t="str">
        <f>IF($B483="Yes",COUNTIF(Reference!Q$52:Q$67,$K483),"")</f>
        <v/>
      </c>
      <c r="Z483" s="93" t="str">
        <f>IF($B483="Yes",COUNTIF(Reference!R$52:R$67,$K483),"")</f>
        <v/>
      </c>
      <c r="AA483" s="93" t="str">
        <f>IF($B483="Yes",COUNTIF(Reference!S$52:S$67,$K483),"")</f>
        <v/>
      </c>
      <c r="AB483" s="93" t="str">
        <f>IF($B483="Yes",COUNTIF(Reference!T$52:T$67,$K483),"")</f>
        <v/>
      </c>
      <c r="AC483" s="93" t="str">
        <f t="shared" si="23"/>
        <v/>
      </c>
    </row>
    <row r="484" spans="1:29" x14ac:dyDescent="0.25">
      <c r="A484" s="95">
        <v>574</v>
      </c>
      <c r="B484" s="95" t="str">
        <f t="shared" si="21"/>
        <v>No</v>
      </c>
      <c r="H484" s="95" t="str">
        <f t="shared" si="22"/>
        <v/>
      </c>
      <c r="I484" s="111"/>
      <c r="J484" s="112"/>
      <c r="K484" s="112"/>
      <c r="L484" s="112"/>
      <c r="M484" s="112"/>
      <c r="N484" s="112"/>
      <c r="O484" s="112"/>
      <c r="P484" s="112"/>
      <c r="Q484" s="112"/>
      <c r="R484" s="112"/>
      <c r="S484" s="111"/>
      <c r="T484" s="93"/>
      <c r="U484" s="93"/>
      <c r="V484" s="93"/>
      <c r="W484" s="93"/>
      <c r="X484" s="93" t="str">
        <f>IF($B484="Yes",COUNTIF(Reference!P$52:P$67,$K484),"")</f>
        <v/>
      </c>
      <c r="Y484" s="93" t="str">
        <f>IF($B484="Yes",COUNTIF(Reference!Q$52:Q$67,$K484),"")</f>
        <v/>
      </c>
      <c r="Z484" s="93" t="str">
        <f>IF($B484="Yes",COUNTIF(Reference!R$52:R$67,$K484),"")</f>
        <v/>
      </c>
      <c r="AA484" s="93" t="str">
        <f>IF($B484="Yes",COUNTIF(Reference!S$52:S$67,$K484),"")</f>
        <v/>
      </c>
      <c r="AB484" s="93" t="str">
        <f>IF($B484="Yes",COUNTIF(Reference!T$52:T$67,$K484),"")</f>
        <v/>
      </c>
      <c r="AC484" s="93" t="str">
        <f t="shared" si="23"/>
        <v/>
      </c>
    </row>
    <row r="485" spans="1:29" x14ac:dyDescent="0.25">
      <c r="A485" s="95">
        <v>575</v>
      </c>
      <c r="B485" s="95" t="str">
        <f t="shared" si="21"/>
        <v>No</v>
      </c>
      <c r="H485" s="95" t="str">
        <f t="shared" si="22"/>
        <v/>
      </c>
      <c r="I485" s="111"/>
      <c r="J485" s="112"/>
      <c r="K485" s="112"/>
      <c r="L485" s="112"/>
      <c r="M485" s="112"/>
      <c r="N485" s="112"/>
      <c r="O485" s="112"/>
      <c r="P485" s="112"/>
      <c r="Q485" s="112"/>
      <c r="R485" s="112"/>
      <c r="S485" s="111"/>
      <c r="T485" s="93"/>
      <c r="U485" s="93"/>
      <c r="V485" s="93"/>
      <c r="W485" s="93"/>
      <c r="X485" s="93" t="str">
        <f>IF($B485="Yes",COUNTIF(Reference!P$52:P$67,$K485),"")</f>
        <v/>
      </c>
      <c r="Y485" s="93" t="str">
        <f>IF($B485="Yes",COUNTIF(Reference!Q$52:Q$67,$K485),"")</f>
        <v/>
      </c>
      <c r="Z485" s="93" t="str">
        <f>IF($B485="Yes",COUNTIF(Reference!R$52:R$67,$K485),"")</f>
        <v/>
      </c>
      <c r="AA485" s="93" t="str">
        <f>IF($B485="Yes",COUNTIF(Reference!S$52:S$67,$K485),"")</f>
        <v/>
      </c>
      <c r="AB485" s="93" t="str">
        <f>IF($B485="Yes",COUNTIF(Reference!T$52:T$67,$K485),"")</f>
        <v/>
      </c>
      <c r="AC485" s="93" t="str">
        <f t="shared" si="23"/>
        <v/>
      </c>
    </row>
    <row r="486" spans="1:29" x14ac:dyDescent="0.25">
      <c r="A486" s="95">
        <v>576</v>
      </c>
      <c r="B486" s="95" t="str">
        <f t="shared" si="21"/>
        <v>No</v>
      </c>
      <c r="H486" s="95" t="str">
        <f t="shared" si="22"/>
        <v/>
      </c>
      <c r="I486" s="111"/>
      <c r="J486" s="112"/>
      <c r="K486" s="112"/>
      <c r="L486" s="112"/>
      <c r="M486" s="112"/>
      <c r="N486" s="112"/>
      <c r="O486" s="112"/>
      <c r="P486" s="112"/>
      <c r="Q486" s="112"/>
      <c r="R486" s="112"/>
      <c r="S486" s="111"/>
      <c r="T486" s="93"/>
      <c r="U486" s="93"/>
      <c r="V486" s="93"/>
      <c r="W486" s="93"/>
      <c r="X486" s="93" t="str">
        <f>IF($B486="Yes",COUNTIF(Reference!P$52:P$67,$K486),"")</f>
        <v/>
      </c>
      <c r="Y486" s="93" t="str">
        <f>IF($B486="Yes",COUNTIF(Reference!Q$52:Q$67,$K486),"")</f>
        <v/>
      </c>
      <c r="Z486" s="93" t="str">
        <f>IF($B486="Yes",COUNTIF(Reference!R$52:R$67,$K486),"")</f>
        <v/>
      </c>
      <c r="AA486" s="93" t="str">
        <f>IF($B486="Yes",COUNTIF(Reference!S$52:S$67,$K486),"")</f>
        <v/>
      </c>
      <c r="AB486" s="93" t="str">
        <f>IF($B486="Yes",COUNTIF(Reference!T$52:T$67,$K486),"")</f>
        <v/>
      </c>
      <c r="AC486" s="93" t="str">
        <f t="shared" si="23"/>
        <v/>
      </c>
    </row>
    <row r="487" spans="1:29" x14ac:dyDescent="0.25">
      <c r="A487" s="95">
        <v>577</v>
      </c>
      <c r="B487" s="95" t="str">
        <f t="shared" si="21"/>
        <v>No</v>
      </c>
      <c r="H487" s="95" t="str">
        <f t="shared" si="22"/>
        <v/>
      </c>
      <c r="I487" s="111"/>
      <c r="J487" s="112"/>
      <c r="K487" s="112"/>
      <c r="L487" s="112"/>
      <c r="M487" s="112"/>
      <c r="N487" s="112"/>
      <c r="O487" s="112"/>
      <c r="P487" s="112"/>
      <c r="Q487" s="112"/>
      <c r="R487" s="112"/>
      <c r="S487" s="111"/>
      <c r="T487" s="93"/>
      <c r="U487" s="93"/>
      <c r="V487" s="93"/>
      <c r="W487" s="93"/>
      <c r="X487" s="93" t="str">
        <f>IF($B487="Yes",COUNTIF(Reference!P$52:P$67,$K487),"")</f>
        <v/>
      </c>
      <c r="Y487" s="93" t="str">
        <f>IF($B487="Yes",COUNTIF(Reference!Q$52:Q$67,$K487),"")</f>
        <v/>
      </c>
      <c r="Z487" s="93" t="str">
        <f>IF($B487="Yes",COUNTIF(Reference!R$52:R$67,$K487),"")</f>
        <v/>
      </c>
      <c r="AA487" s="93" t="str">
        <f>IF($B487="Yes",COUNTIF(Reference!S$52:S$67,$K487),"")</f>
        <v/>
      </c>
      <c r="AB487" s="93" t="str">
        <f>IF($B487="Yes",COUNTIF(Reference!T$52:T$67,$K487),"")</f>
        <v/>
      </c>
      <c r="AC487" s="93" t="str">
        <f t="shared" si="23"/>
        <v/>
      </c>
    </row>
    <row r="488" spans="1:29" x14ac:dyDescent="0.25">
      <c r="A488" s="95">
        <v>578</v>
      </c>
      <c r="B488" s="95" t="str">
        <f t="shared" si="21"/>
        <v>No</v>
      </c>
      <c r="H488" s="95" t="str">
        <f t="shared" si="22"/>
        <v/>
      </c>
      <c r="I488" s="111"/>
      <c r="J488" s="112"/>
      <c r="K488" s="112"/>
      <c r="L488" s="112"/>
      <c r="M488" s="112"/>
      <c r="N488" s="112"/>
      <c r="O488" s="112"/>
      <c r="P488" s="112"/>
      <c r="Q488" s="112"/>
      <c r="R488" s="112"/>
      <c r="S488" s="111"/>
      <c r="T488" s="93"/>
      <c r="U488" s="93"/>
      <c r="V488" s="93"/>
      <c r="W488" s="93"/>
      <c r="X488" s="93" t="str">
        <f>IF($B488="Yes",COUNTIF(Reference!P$52:P$67,$K488),"")</f>
        <v/>
      </c>
      <c r="Y488" s="93" t="str">
        <f>IF($B488="Yes",COUNTIF(Reference!Q$52:Q$67,$K488),"")</f>
        <v/>
      </c>
      <c r="Z488" s="93" t="str">
        <f>IF($B488="Yes",COUNTIF(Reference!R$52:R$67,$K488),"")</f>
        <v/>
      </c>
      <c r="AA488" s="93" t="str">
        <f>IF($B488="Yes",COUNTIF(Reference!S$52:S$67,$K488),"")</f>
        <v/>
      </c>
      <c r="AB488" s="93" t="str">
        <f>IF($B488="Yes",COUNTIF(Reference!T$52:T$67,$K488),"")</f>
        <v/>
      </c>
      <c r="AC488" s="93" t="str">
        <f t="shared" si="23"/>
        <v/>
      </c>
    </row>
    <row r="489" spans="1:29" x14ac:dyDescent="0.25">
      <c r="A489" s="95">
        <v>579</v>
      </c>
      <c r="B489" s="95" t="str">
        <f t="shared" si="21"/>
        <v>No</v>
      </c>
      <c r="H489" s="95" t="str">
        <f t="shared" si="22"/>
        <v/>
      </c>
      <c r="I489" s="111"/>
      <c r="J489" s="112"/>
      <c r="K489" s="112"/>
      <c r="L489" s="112"/>
      <c r="M489" s="112"/>
      <c r="N489" s="112"/>
      <c r="O489" s="112"/>
      <c r="P489" s="112"/>
      <c r="Q489" s="112"/>
      <c r="R489" s="112"/>
      <c r="S489" s="111"/>
      <c r="T489" s="93"/>
      <c r="U489" s="93"/>
      <c r="V489" s="93"/>
      <c r="W489" s="93"/>
      <c r="X489" s="93" t="str">
        <f>IF($B489="Yes",COUNTIF(Reference!P$52:P$67,$K489),"")</f>
        <v/>
      </c>
      <c r="Y489" s="93" t="str">
        <f>IF($B489="Yes",COUNTIF(Reference!Q$52:Q$67,$K489),"")</f>
        <v/>
      </c>
      <c r="Z489" s="93" t="str">
        <f>IF($B489="Yes",COUNTIF(Reference!R$52:R$67,$K489),"")</f>
        <v/>
      </c>
      <c r="AA489" s="93" t="str">
        <f>IF($B489="Yes",COUNTIF(Reference!S$52:S$67,$K489),"")</f>
        <v/>
      </c>
      <c r="AB489" s="93" t="str">
        <f>IF($B489="Yes",COUNTIF(Reference!T$52:T$67,$K489),"")</f>
        <v/>
      </c>
      <c r="AC489" s="93" t="str">
        <f t="shared" si="23"/>
        <v/>
      </c>
    </row>
    <row r="490" spans="1:29" s="96" customFormat="1" x14ac:dyDescent="0.25">
      <c r="S490" s="16"/>
      <c r="U490" s="135"/>
      <c r="V490" s="135"/>
      <c r="W490" s="135"/>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B68"/>
  <sheetViews>
    <sheetView workbookViewId="0">
      <selection activeCell="U12" sqref="U12"/>
    </sheetView>
  </sheetViews>
  <sheetFormatPr defaultRowHeight="15" x14ac:dyDescent="0.25"/>
  <cols>
    <col min="1" max="1" width="4" bestFit="1" customWidth="1"/>
    <col min="2" max="2" width="14" bestFit="1" customWidth="1"/>
    <col min="3" max="3" width="11.5703125" bestFit="1" customWidth="1"/>
    <col min="4" max="4" width="4.42578125" customWidth="1"/>
    <col min="8" max="8" width="34.7109375" bestFit="1" customWidth="1"/>
    <col min="9" max="9" width="7.7109375" bestFit="1" customWidth="1"/>
    <col min="10" max="10" width="7.42578125" bestFit="1" customWidth="1"/>
    <col min="11" max="11" width="10.28515625" bestFit="1" customWidth="1"/>
    <col min="12" max="12" width="10.5703125" bestFit="1" customWidth="1"/>
    <col min="13" max="13" width="5.28515625" bestFit="1" customWidth="1"/>
    <col min="14" max="14" width="6.42578125" bestFit="1" customWidth="1"/>
    <col min="15" max="15" width="17.42578125" bestFit="1" customWidth="1"/>
    <col min="16" max="16" width="14.28515625" bestFit="1" customWidth="1"/>
    <col min="17" max="17" width="13.42578125" bestFit="1" customWidth="1"/>
    <col min="18" max="18" width="5.7109375" bestFit="1" customWidth="1"/>
    <col min="19" max="19" width="4.28515625" bestFit="1" customWidth="1"/>
    <col min="20" max="20" width="7.7109375" bestFit="1" customWidth="1"/>
    <col min="21" max="21" width="13.140625" bestFit="1" customWidth="1"/>
    <col min="22" max="22" width="6.85546875" bestFit="1" customWidth="1"/>
    <col min="23" max="23" width="13.140625" bestFit="1" customWidth="1"/>
    <col min="24" max="24" width="5.42578125" bestFit="1" customWidth="1"/>
    <col min="25" max="25" width="3.7109375" bestFit="1" customWidth="1"/>
    <col min="26" max="26" width="13.5703125" bestFit="1" customWidth="1"/>
    <col min="27" max="27" width="5.42578125" bestFit="1" customWidth="1"/>
    <col min="28" max="28" width="6.7109375" bestFit="1" customWidth="1"/>
  </cols>
  <sheetData>
    <row r="1" spans="1:28" x14ac:dyDescent="0.25">
      <c r="A1" t="s">
        <v>800</v>
      </c>
      <c r="J1" t="s">
        <v>864</v>
      </c>
    </row>
    <row r="2" spans="1:28" x14ac:dyDescent="0.25">
      <c r="J2" t="s">
        <v>9</v>
      </c>
    </row>
    <row r="3" spans="1:28" x14ac:dyDescent="0.25">
      <c r="J3" t="s">
        <v>10</v>
      </c>
      <c r="N3" t="s">
        <v>11</v>
      </c>
      <c r="T3" t="s">
        <v>12</v>
      </c>
      <c r="Z3" t="s">
        <v>1016</v>
      </c>
    </row>
    <row r="4" spans="1:28" ht="30.75" customHeight="1" x14ac:dyDescent="0.25">
      <c r="B4" t="s">
        <v>793</v>
      </c>
      <c r="C4" t="s">
        <v>1015</v>
      </c>
      <c r="E4" t="s">
        <v>1008</v>
      </c>
      <c r="F4" t="s">
        <v>815</v>
      </c>
      <c r="G4" t="s">
        <v>0</v>
      </c>
      <c r="H4" t="s">
        <v>802</v>
      </c>
      <c r="I4" t="s">
        <v>2</v>
      </c>
      <c r="J4" t="s">
        <v>816</v>
      </c>
      <c r="K4" t="s">
        <v>818</v>
      </c>
      <c r="L4" t="s">
        <v>1014</v>
      </c>
      <c r="M4" t="s">
        <v>935</v>
      </c>
      <c r="N4" t="s">
        <v>377</v>
      </c>
      <c r="O4" t="s">
        <v>384</v>
      </c>
      <c r="P4" t="s">
        <v>390</v>
      </c>
      <c r="Q4" t="s">
        <v>396</v>
      </c>
      <c r="R4" t="s">
        <v>401</v>
      </c>
      <c r="S4" t="s">
        <v>405</v>
      </c>
      <c r="T4" t="s">
        <v>378</v>
      </c>
      <c r="U4" t="s">
        <v>385</v>
      </c>
      <c r="V4" t="s">
        <v>391</v>
      </c>
      <c r="W4" t="s">
        <v>397</v>
      </c>
      <c r="X4" t="s">
        <v>402</v>
      </c>
      <c r="Y4" t="s">
        <v>406</v>
      </c>
      <c r="Z4" t="s">
        <v>1013</v>
      </c>
      <c r="AA4" t="s">
        <v>629</v>
      </c>
      <c r="AB4" t="s">
        <v>877</v>
      </c>
    </row>
    <row r="5" spans="1:28" x14ac:dyDescent="0.25">
      <c r="B5" s="2" t="s">
        <v>381</v>
      </c>
      <c r="C5" s="100"/>
      <c r="E5">
        <f>Setup!J3</f>
        <v>0</v>
      </c>
      <c r="F5">
        <f>Setup!L3</f>
        <v>0</v>
      </c>
      <c r="H5" t="e">
        <f>VLOOKUP(F5,'PL1'!H:J,3,0)</f>
        <v>#N/A</v>
      </c>
      <c r="I5" t="e">
        <f>VLOOKUP(H5,'PL1'!J:K,2,0)</f>
        <v>#N/A</v>
      </c>
    </row>
    <row r="6" spans="1:28" x14ac:dyDescent="0.25">
      <c r="B6" s="2" t="s">
        <v>387</v>
      </c>
      <c r="C6" s="100"/>
      <c r="E6">
        <f>Setup!J4</f>
        <v>0</v>
      </c>
      <c r="F6">
        <f>Setup!L4</f>
        <v>0</v>
      </c>
      <c r="H6" t="e">
        <f>VLOOKUP(F6,'PL1'!H:J,3,0)</f>
        <v>#N/A</v>
      </c>
      <c r="I6" t="e">
        <f>VLOOKUP(H6,'PL1'!J:K,2,0)</f>
        <v>#N/A</v>
      </c>
    </row>
    <row r="7" spans="1:28" x14ac:dyDescent="0.25">
      <c r="B7" s="2" t="s">
        <v>394</v>
      </c>
      <c r="C7" s="100"/>
      <c r="E7">
        <f>Setup!J5</f>
        <v>0</v>
      </c>
      <c r="F7">
        <f>Setup!L5</f>
        <v>0</v>
      </c>
      <c r="H7" t="e">
        <f>VLOOKUP(F7,'PL1'!H:J,3,0)</f>
        <v>#N/A</v>
      </c>
      <c r="I7" t="e">
        <f>VLOOKUP(H7,'PL1'!J:K,2,0)</f>
        <v>#N/A</v>
      </c>
    </row>
    <row r="8" spans="1:28" x14ac:dyDescent="0.25">
      <c r="B8" s="2" t="s">
        <v>399</v>
      </c>
      <c r="C8" s="100"/>
      <c r="E8">
        <f>Setup!J6</f>
        <v>0</v>
      </c>
      <c r="F8">
        <f>Setup!L6</f>
        <v>0</v>
      </c>
      <c r="H8" t="e">
        <f>VLOOKUP(F8,'PL1'!H:J,3,0)</f>
        <v>#N/A</v>
      </c>
      <c r="I8" t="e">
        <f>VLOOKUP(H8,'PL1'!J:K,2,0)</f>
        <v>#N/A</v>
      </c>
    </row>
    <row r="9" spans="1:28" x14ac:dyDescent="0.25">
      <c r="B9" s="2" t="s">
        <v>392</v>
      </c>
      <c r="C9" s="100"/>
      <c r="E9">
        <f>Setup!J7</f>
        <v>0</v>
      </c>
      <c r="F9">
        <f>Setup!L7</f>
        <v>0</v>
      </c>
      <c r="H9" t="e">
        <f>VLOOKUP(F9,'PL1'!H:J,3,0)</f>
        <v>#N/A</v>
      </c>
      <c r="I9" t="e">
        <f>VLOOKUP(H9,'PL1'!J:K,2,0)</f>
        <v>#N/A</v>
      </c>
    </row>
    <row r="10" spans="1:28" x14ac:dyDescent="0.25">
      <c r="B10" s="2" t="s">
        <v>407</v>
      </c>
      <c r="C10" s="100"/>
      <c r="E10">
        <f>Setup!J8</f>
        <v>0</v>
      </c>
      <c r="F10">
        <f>Setup!L8</f>
        <v>0</v>
      </c>
      <c r="H10" t="e">
        <f>VLOOKUP(F10,'PL1'!H:J,3,0)</f>
        <v>#N/A</v>
      </c>
      <c r="I10" t="e">
        <f>VLOOKUP(H10,'PL1'!J:K,2,0)</f>
        <v>#N/A</v>
      </c>
    </row>
    <row r="11" spans="1:28" x14ac:dyDescent="0.25">
      <c r="E11">
        <f>Setup!J9</f>
        <v>0</v>
      </c>
      <c r="F11">
        <f>Setup!L9</f>
        <v>0</v>
      </c>
      <c r="H11" t="e">
        <f>VLOOKUP(F11,'PL1'!H:J,3,0)</f>
        <v>#N/A</v>
      </c>
      <c r="I11" t="e">
        <f>VLOOKUP(H11,'PL1'!J:K,2,0)</f>
        <v>#N/A</v>
      </c>
    </row>
    <row r="12" spans="1:28" x14ac:dyDescent="0.25">
      <c r="E12">
        <f>Setup!J10</f>
        <v>0</v>
      </c>
      <c r="F12">
        <f>Setup!L10</f>
        <v>0</v>
      </c>
      <c r="H12" t="e">
        <f>VLOOKUP(F12,'PL1'!H:J,3,0)</f>
        <v>#N/A</v>
      </c>
      <c r="I12" t="e">
        <f>VLOOKUP(H12,'PL1'!J:K,2,0)</f>
        <v>#N/A</v>
      </c>
    </row>
    <row r="13" spans="1:28" x14ac:dyDescent="0.25">
      <c r="E13">
        <f>Setup!J11</f>
        <v>0</v>
      </c>
      <c r="F13">
        <f>Setup!L11</f>
        <v>0</v>
      </c>
      <c r="H13" t="e">
        <f>VLOOKUP(F13,'PL1'!H:J,3,0)</f>
        <v>#N/A</v>
      </c>
      <c r="I13" t="e">
        <f>VLOOKUP(H13,'PL1'!J:K,2,0)</f>
        <v>#N/A</v>
      </c>
    </row>
    <row r="14" spans="1:28" x14ac:dyDescent="0.25">
      <c r="E14">
        <f>Setup!J12</f>
        <v>0</v>
      </c>
      <c r="F14">
        <f>Setup!L12</f>
        <v>0</v>
      </c>
      <c r="H14" t="e">
        <f>VLOOKUP(F14,'PL1'!H:J,3,0)</f>
        <v>#N/A</v>
      </c>
      <c r="I14" t="e">
        <f>VLOOKUP(H14,'PL1'!J:K,2,0)</f>
        <v>#N/A</v>
      </c>
    </row>
    <row r="15" spans="1:28" x14ac:dyDescent="0.25">
      <c r="E15">
        <f>Setup!J13</f>
        <v>0</v>
      </c>
      <c r="F15">
        <f>Setup!L13</f>
        <v>0</v>
      </c>
      <c r="H15" t="e">
        <f>VLOOKUP(F15,'PL1'!H:J,3,0)</f>
        <v>#N/A</v>
      </c>
      <c r="I15" t="e">
        <f>VLOOKUP(H15,'PL1'!J:K,2,0)</f>
        <v>#N/A</v>
      </c>
    </row>
    <row r="16" spans="1:28" x14ac:dyDescent="0.25">
      <c r="E16">
        <f>Setup!J14</f>
        <v>0</v>
      </c>
      <c r="F16">
        <f>Setup!L14</f>
        <v>0</v>
      </c>
      <c r="H16" t="e">
        <f>VLOOKUP(F16,'PL1'!H:J,3,0)</f>
        <v>#N/A</v>
      </c>
      <c r="I16" t="e">
        <f>VLOOKUP(H16,'PL1'!J:K,2,0)</f>
        <v>#N/A</v>
      </c>
    </row>
    <row r="17" spans="5:9" x14ac:dyDescent="0.25">
      <c r="E17">
        <f>Setup!J15</f>
        <v>0</v>
      </c>
      <c r="F17">
        <f>Setup!L15</f>
        <v>0</v>
      </c>
      <c r="H17" t="e">
        <f>VLOOKUP(F17,'PL1'!H:J,3,0)</f>
        <v>#N/A</v>
      </c>
      <c r="I17" t="e">
        <f>VLOOKUP(H17,'PL1'!J:K,2,0)</f>
        <v>#N/A</v>
      </c>
    </row>
    <row r="18" spans="5:9" x14ac:dyDescent="0.25">
      <c r="E18">
        <f>Setup!J16</f>
        <v>0</v>
      </c>
      <c r="F18">
        <f>Setup!L16</f>
        <v>0</v>
      </c>
      <c r="H18" t="e">
        <f>VLOOKUP(F18,'PL1'!H:J,3,0)</f>
        <v>#N/A</v>
      </c>
      <c r="I18" t="e">
        <f>VLOOKUP(H18,'PL1'!J:K,2,0)</f>
        <v>#N/A</v>
      </c>
    </row>
    <row r="19" spans="5:9" x14ac:dyDescent="0.25">
      <c r="E19">
        <f>Setup!J17</f>
        <v>0</v>
      </c>
      <c r="F19">
        <f>Setup!L17</f>
        <v>0</v>
      </c>
      <c r="H19" t="e">
        <f>VLOOKUP(F19,'PL1'!H:J,3,0)</f>
        <v>#N/A</v>
      </c>
      <c r="I19" t="e">
        <f>VLOOKUP(H19,'PL1'!J:K,2,0)</f>
        <v>#N/A</v>
      </c>
    </row>
    <row r="20" spans="5:9" x14ac:dyDescent="0.25">
      <c r="E20">
        <f>Setup!J18</f>
        <v>0</v>
      </c>
      <c r="F20">
        <f>Setup!L18</f>
        <v>0</v>
      </c>
      <c r="H20" t="e">
        <f>VLOOKUP(F20,'PL1'!H:J,3,0)</f>
        <v>#N/A</v>
      </c>
      <c r="I20" t="e">
        <f>VLOOKUP(H20,'PL1'!J:K,2,0)</f>
        <v>#N/A</v>
      </c>
    </row>
    <row r="21" spans="5:9" x14ac:dyDescent="0.25">
      <c r="E21">
        <f>Setup!J19</f>
        <v>0</v>
      </c>
      <c r="F21">
        <f>Setup!L19</f>
        <v>0</v>
      </c>
      <c r="H21" t="e">
        <f>VLOOKUP(F21,'PL1'!H:J,3,0)</f>
        <v>#N/A</v>
      </c>
      <c r="I21" t="e">
        <f>VLOOKUP(H21,'PL1'!J:K,2,0)</f>
        <v>#N/A</v>
      </c>
    </row>
    <row r="22" spans="5:9" x14ac:dyDescent="0.25">
      <c r="E22">
        <f>Setup!J20</f>
        <v>0</v>
      </c>
      <c r="F22">
        <f>Setup!L20</f>
        <v>0</v>
      </c>
      <c r="H22" t="e">
        <f>VLOOKUP(F22,'PL1'!H:J,3,0)</f>
        <v>#N/A</v>
      </c>
      <c r="I22" t="e">
        <f>VLOOKUP(H22,'PL1'!J:K,2,0)</f>
        <v>#N/A</v>
      </c>
    </row>
    <row r="23" spans="5:9" x14ac:dyDescent="0.25">
      <c r="E23">
        <f>Setup!J21</f>
        <v>0</v>
      </c>
      <c r="F23">
        <f>Setup!L21</f>
        <v>0</v>
      </c>
      <c r="H23" t="e">
        <f>VLOOKUP(F23,'PL1'!H:J,3,0)</f>
        <v>#N/A</v>
      </c>
      <c r="I23" t="e">
        <f>VLOOKUP(H23,'PL1'!J:K,2,0)</f>
        <v>#N/A</v>
      </c>
    </row>
    <row r="24" spans="5:9" x14ac:dyDescent="0.25">
      <c r="E24">
        <f>Setup!J22</f>
        <v>0</v>
      </c>
      <c r="F24">
        <f>Setup!L22</f>
        <v>0</v>
      </c>
      <c r="H24" t="e">
        <f>VLOOKUP(F24,'PL1'!H:J,3,0)</f>
        <v>#N/A</v>
      </c>
      <c r="I24" t="e">
        <f>VLOOKUP(H24,'PL1'!J:K,2,0)</f>
        <v>#N/A</v>
      </c>
    </row>
    <row r="25" spans="5:9" x14ac:dyDescent="0.25">
      <c r="E25">
        <f>Setup!J23</f>
        <v>0</v>
      </c>
      <c r="F25">
        <f>Setup!L23</f>
        <v>0</v>
      </c>
      <c r="H25" t="e">
        <f>VLOOKUP(F25,'PL1'!H:J,3,0)</f>
        <v>#N/A</v>
      </c>
      <c r="I25" t="e">
        <f>VLOOKUP(H25,'PL1'!J:K,2,0)</f>
        <v>#N/A</v>
      </c>
    </row>
    <row r="26" spans="5:9" x14ac:dyDescent="0.25">
      <c r="E26">
        <f>Setup!J24</f>
        <v>0</v>
      </c>
      <c r="F26">
        <f>Setup!L24</f>
        <v>0</v>
      </c>
      <c r="H26" t="e">
        <f>VLOOKUP(F26,'PL1'!H:J,3,0)</f>
        <v>#N/A</v>
      </c>
      <c r="I26" t="e">
        <f>VLOOKUP(H26,'PL1'!J:K,2,0)</f>
        <v>#N/A</v>
      </c>
    </row>
    <row r="27" spans="5:9" x14ac:dyDescent="0.25">
      <c r="E27">
        <f>Setup!J25</f>
        <v>0</v>
      </c>
      <c r="F27">
        <f>Setup!L25</f>
        <v>0</v>
      </c>
      <c r="H27" t="e">
        <f>VLOOKUP(F27,'PL1'!H:J,3,0)</f>
        <v>#N/A</v>
      </c>
      <c r="I27" t="e">
        <f>VLOOKUP(H27,'PL1'!J:K,2,0)</f>
        <v>#N/A</v>
      </c>
    </row>
    <row r="28" spans="5:9" x14ac:dyDescent="0.25">
      <c r="E28">
        <f>Setup!J26</f>
        <v>0</v>
      </c>
      <c r="F28">
        <f>Setup!L26</f>
        <v>0</v>
      </c>
      <c r="H28" t="e">
        <f>VLOOKUP(F28,'PL1'!H:J,3,0)</f>
        <v>#N/A</v>
      </c>
      <c r="I28" t="e">
        <f>VLOOKUP(H28,'PL1'!J:K,2,0)</f>
        <v>#N/A</v>
      </c>
    </row>
    <row r="29" spans="5:9" x14ac:dyDescent="0.25">
      <c r="E29">
        <f>Setup!J27</f>
        <v>0</v>
      </c>
      <c r="F29">
        <f>Setup!L27</f>
        <v>0</v>
      </c>
      <c r="H29" t="e">
        <f>VLOOKUP(F29,'PL1'!H:J,3,0)</f>
        <v>#N/A</v>
      </c>
      <c r="I29" t="e">
        <f>VLOOKUP(H29,'PL1'!J:K,2,0)</f>
        <v>#N/A</v>
      </c>
    </row>
    <row r="30" spans="5:9" x14ac:dyDescent="0.25">
      <c r="E30">
        <f>Setup!J28</f>
        <v>0</v>
      </c>
      <c r="F30">
        <f>Setup!L28</f>
        <v>0</v>
      </c>
      <c r="H30" t="e">
        <f>VLOOKUP(F30,'PL1'!H:J,3,0)</f>
        <v>#N/A</v>
      </c>
      <c r="I30" t="e">
        <f>VLOOKUP(H30,'PL1'!J:K,2,0)</f>
        <v>#N/A</v>
      </c>
    </row>
    <row r="31" spans="5:9" x14ac:dyDescent="0.25">
      <c r="E31">
        <f>Setup!J29</f>
        <v>0</v>
      </c>
      <c r="F31">
        <f>Setup!L29</f>
        <v>0</v>
      </c>
      <c r="H31" t="e">
        <f>VLOOKUP(F31,'PL1'!H:J,3,0)</f>
        <v>#N/A</v>
      </c>
      <c r="I31" t="e">
        <f>VLOOKUP(H31,'PL1'!J:K,2,0)</f>
        <v>#N/A</v>
      </c>
    </row>
    <row r="32" spans="5:9" x14ac:dyDescent="0.25">
      <c r="E32">
        <f>Setup!J30</f>
        <v>0</v>
      </c>
      <c r="F32">
        <f>Setup!L30</f>
        <v>0</v>
      </c>
      <c r="H32" t="e">
        <f>VLOOKUP(F32,'PL1'!H:J,3,0)</f>
        <v>#N/A</v>
      </c>
      <c r="I32" t="e">
        <f>VLOOKUP(H32,'PL1'!J:K,2,0)</f>
        <v>#N/A</v>
      </c>
    </row>
    <row r="33" spans="5:9" x14ac:dyDescent="0.25">
      <c r="E33">
        <f>Setup!J31</f>
        <v>0</v>
      </c>
      <c r="F33">
        <f>Setup!L31</f>
        <v>0</v>
      </c>
      <c r="H33" t="e">
        <f>VLOOKUP(F33,'PL1'!H:J,3,0)</f>
        <v>#N/A</v>
      </c>
      <c r="I33" t="e">
        <f>VLOOKUP(H33,'PL1'!J:K,2,0)</f>
        <v>#N/A</v>
      </c>
    </row>
    <row r="34" spans="5:9" x14ac:dyDescent="0.25">
      <c r="E34">
        <f>Setup!J32</f>
        <v>0</v>
      </c>
      <c r="F34">
        <f>Setup!L32</f>
        <v>0</v>
      </c>
      <c r="H34" t="e">
        <f>VLOOKUP(F34,'PL1'!H:J,3,0)</f>
        <v>#N/A</v>
      </c>
      <c r="I34" t="e">
        <f>VLOOKUP(H34,'PL1'!J:K,2,0)</f>
        <v>#N/A</v>
      </c>
    </row>
    <row r="35" spans="5:9" x14ac:dyDescent="0.25">
      <c r="E35">
        <f>Setup!J33</f>
        <v>0</v>
      </c>
      <c r="F35">
        <f>Setup!L33</f>
        <v>0</v>
      </c>
      <c r="H35" t="e">
        <f>VLOOKUP(F35,'PL1'!H:J,3,0)</f>
        <v>#N/A</v>
      </c>
      <c r="I35" t="e">
        <f>VLOOKUP(H35,'PL1'!J:K,2,0)</f>
        <v>#N/A</v>
      </c>
    </row>
    <row r="36" spans="5:9" x14ac:dyDescent="0.25">
      <c r="E36">
        <f>Setup!J34</f>
        <v>0</v>
      </c>
      <c r="F36">
        <f>Setup!L34</f>
        <v>0</v>
      </c>
      <c r="H36" t="e">
        <f>VLOOKUP(F36,'PL1'!H:J,3,0)</f>
        <v>#N/A</v>
      </c>
      <c r="I36" t="e">
        <f>VLOOKUP(H36,'PL1'!J:K,2,0)</f>
        <v>#N/A</v>
      </c>
    </row>
    <row r="37" spans="5:9" x14ac:dyDescent="0.25">
      <c r="E37">
        <f>Setup!J35</f>
        <v>0</v>
      </c>
      <c r="F37">
        <f>Setup!L35</f>
        <v>0</v>
      </c>
      <c r="H37" t="e">
        <f>VLOOKUP(F37,'PL1'!H:J,3,0)</f>
        <v>#N/A</v>
      </c>
      <c r="I37" t="e">
        <f>VLOOKUP(H37,'PL1'!J:K,2,0)</f>
        <v>#N/A</v>
      </c>
    </row>
    <row r="38" spans="5:9" x14ac:dyDescent="0.25">
      <c r="E38">
        <f>Setup!J36</f>
        <v>0</v>
      </c>
      <c r="F38">
        <f>Setup!L36</f>
        <v>0</v>
      </c>
      <c r="H38" t="e">
        <f>VLOOKUP(F38,'PL1'!H:J,3,0)</f>
        <v>#N/A</v>
      </c>
      <c r="I38" t="e">
        <f>VLOOKUP(H38,'PL1'!J:K,2,0)</f>
        <v>#N/A</v>
      </c>
    </row>
    <row r="39" spans="5:9" x14ac:dyDescent="0.25">
      <c r="E39">
        <f>Setup!J37</f>
        <v>0</v>
      </c>
      <c r="F39">
        <f>Setup!L37</f>
        <v>0</v>
      </c>
      <c r="H39" t="e">
        <f>VLOOKUP(F39,'PL1'!H:J,3,0)</f>
        <v>#N/A</v>
      </c>
      <c r="I39" t="e">
        <f>VLOOKUP(H39,'PL1'!J:K,2,0)</f>
        <v>#N/A</v>
      </c>
    </row>
    <row r="40" spans="5:9" x14ac:dyDescent="0.25">
      <c r="E40">
        <f>Setup!J38</f>
        <v>0</v>
      </c>
      <c r="F40">
        <f>Setup!L38</f>
        <v>0</v>
      </c>
      <c r="H40" t="e">
        <f>VLOOKUP(F40,'PL1'!H:J,3,0)</f>
        <v>#N/A</v>
      </c>
      <c r="I40" t="e">
        <f>VLOOKUP(H40,'PL1'!J:K,2,0)</f>
        <v>#N/A</v>
      </c>
    </row>
    <row r="41" spans="5:9" x14ac:dyDescent="0.25">
      <c r="E41">
        <f>Setup!J39</f>
        <v>0</v>
      </c>
      <c r="F41">
        <f>Setup!L39</f>
        <v>0</v>
      </c>
      <c r="H41" t="e">
        <f>VLOOKUP(F41,'PL1'!H:J,3,0)</f>
        <v>#N/A</v>
      </c>
      <c r="I41" t="e">
        <f>VLOOKUP(H41,'PL1'!J:K,2,0)</f>
        <v>#N/A</v>
      </c>
    </row>
    <row r="42" spans="5:9" x14ac:dyDescent="0.25">
      <c r="E42">
        <f>Setup!J40</f>
        <v>0</v>
      </c>
      <c r="F42">
        <f>Setup!L40</f>
        <v>0</v>
      </c>
      <c r="H42" t="e">
        <f>VLOOKUP(F42,'PL1'!H:J,3,0)</f>
        <v>#N/A</v>
      </c>
      <c r="I42" t="e">
        <f>VLOOKUP(H42,'PL1'!J:K,2,0)</f>
        <v>#N/A</v>
      </c>
    </row>
    <row r="43" spans="5:9" x14ac:dyDescent="0.25">
      <c r="E43">
        <f>Setup!J41</f>
        <v>0</v>
      </c>
      <c r="F43">
        <f>Setup!L41</f>
        <v>0</v>
      </c>
      <c r="H43" t="e">
        <f>VLOOKUP(F43,'PL1'!H:J,3,0)</f>
        <v>#N/A</v>
      </c>
      <c r="I43" t="e">
        <f>VLOOKUP(H43,'PL1'!J:K,2,0)</f>
        <v>#N/A</v>
      </c>
    </row>
    <row r="44" spans="5:9" x14ac:dyDescent="0.25">
      <c r="E44">
        <f>Setup!J42</f>
        <v>0</v>
      </c>
      <c r="F44">
        <f>Setup!L42</f>
        <v>0</v>
      </c>
      <c r="H44" t="e">
        <f>VLOOKUP(F44,'PL1'!H:J,3,0)</f>
        <v>#N/A</v>
      </c>
      <c r="I44" t="e">
        <f>VLOOKUP(H44,'PL1'!J:K,2,0)</f>
        <v>#N/A</v>
      </c>
    </row>
    <row r="45" spans="5:9" x14ac:dyDescent="0.25">
      <c r="E45">
        <f>Setup!J43</f>
        <v>0</v>
      </c>
      <c r="F45">
        <f>Setup!L43</f>
        <v>0</v>
      </c>
      <c r="H45" t="e">
        <f>VLOOKUP(F45,'PL1'!H:J,3,0)</f>
        <v>#N/A</v>
      </c>
      <c r="I45" t="e">
        <f>VLOOKUP(H45,'PL1'!J:K,2,0)</f>
        <v>#N/A</v>
      </c>
    </row>
    <row r="46" spans="5:9" x14ac:dyDescent="0.25">
      <c r="E46">
        <f>Setup!J44</f>
        <v>0</v>
      </c>
      <c r="F46">
        <f>Setup!L44</f>
        <v>0</v>
      </c>
      <c r="H46" t="e">
        <f>VLOOKUP(F46,'PL1'!H:J,3,0)</f>
        <v>#N/A</v>
      </c>
      <c r="I46" t="e">
        <f>VLOOKUP(H46,'PL1'!J:K,2,0)</f>
        <v>#N/A</v>
      </c>
    </row>
    <row r="47" spans="5:9" x14ac:dyDescent="0.25">
      <c r="E47">
        <f>Setup!J45</f>
        <v>0</v>
      </c>
      <c r="F47">
        <f>Setup!L45</f>
        <v>0</v>
      </c>
      <c r="H47" t="e">
        <f>VLOOKUP(F47,'PL1'!H:J,3,0)</f>
        <v>#N/A</v>
      </c>
      <c r="I47" t="e">
        <f>VLOOKUP(H47,'PL1'!J:K,2,0)</f>
        <v>#N/A</v>
      </c>
    </row>
    <row r="48" spans="5:9" x14ac:dyDescent="0.25">
      <c r="E48">
        <f>Setup!J46</f>
        <v>0</v>
      </c>
      <c r="F48">
        <f>Setup!L46</f>
        <v>0</v>
      </c>
      <c r="H48" t="e">
        <f>VLOOKUP(F48,'PL1'!H:J,3,0)</f>
        <v>#N/A</v>
      </c>
      <c r="I48" t="e">
        <f>VLOOKUP(H48,'PL1'!J:K,2,0)</f>
        <v>#N/A</v>
      </c>
    </row>
    <row r="49" spans="5:9" x14ac:dyDescent="0.25">
      <c r="E49">
        <f>Setup!J47</f>
        <v>0</v>
      </c>
      <c r="F49">
        <f>Setup!L47</f>
        <v>0</v>
      </c>
      <c r="H49" t="e">
        <f>VLOOKUP(F49,'PL1'!H:J,3,0)</f>
        <v>#N/A</v>
      </c>
      <c r="I49" t="e">
        <f>VLOOKUP(H49,'PL1'!J:K,2,0)</f>
        <v>#N/A</v>
      </c>
    </row>
    <row r="50" spans="5:9" x14ac:dyDescent="0.25">
      <c r="E50">
        <f>Setup!J48</f>
        <v>0</v>
      </c>
      <c r="F50">
        <f>Setup!L48</f>
        <v>0</v>
      </c>
      <c r="H50" t="e">
        <f>VLOOKUP(F50,'PL1'!H:J,3,0)</f>
        <v>#N/A</v>
      </c>
      <c r="I50" t="e">
        <f>VLOOKUP(H50,'PL1'!J:K,2,0)</f>
        <v>#N/A</v>
      </c>
    </row>
    <row r="51" spans="5:9" x14ac:dyDescent="0.25">
      <c r="E51">
        <f>Setup!J49</f>
        <v>0</v>
      </c>
      <c r="F51">
        <f>Setup!L49</f>
        <v>0</v>
      </c>
      <c r="H51" t="e">
        <f>VLOOKUP(F51,'PL1'!H:J,3,0)</f>
        <v>#N/A</v>
      </c>
      <c r="I51" t="e">
        <f>VLOOKUP(H51,'PL1'!J:K,2,0)</f>
        <v>#N/A</v>
      </c>
    </row>
    <row r="52" spans="5:9" x14ac:dyDescent="0.25">
      <c r="E52">
        <f>Setup!J50</f>
        <v>0</v>
      </c>
      <c r="F52">
        <f>Setup!L50</f>
        <v>0</v>
      </c>
      <c r="H52" t="e">
        <f>VLOOKUP(F52,'PL1'!H:J,3,0)</f>
        <v>#N/A</v>
      </c>
      <c r="I52" t="e">
        <f>VLOOKUP(H52,'PL1'!J:K,2,0)</f>
        <v>#N/A</v>
      </c>
    </row>
    <row r="53" spans="5:9" x14ac:dyDescent="0.25">
      <c r="E53">
        <f>Setup!J51</f>
        <v>0</v>
      </c>
      <c r="F53">
        <f>Setup!L51</f>
        <v>0</v>
      </c>
      <c r="H53" t="e">
        <f>VLOOKUP(F53,'PL1'!H:J,3,0)</f>
        <v>#N/A</v>
      </c>
      <c r="I53" t="e">
        <f>VLOOKUP(H53,'PL1'!J:K,2,0)</f>
        <v>#N/A</v>
      </c>
    </row>
    <row r="54" spans="5:9" x14ac:dyDescent="0.25">
      <c r="E54">
        <f>Setup!J52</f>
        <v>0</v>
      </c>
      <c r="F54">
        <f>Setup!L52</f>
        <v>0</v>
      </c>
      <c r="H54" t="e">
        <f>VLOOKUP(F54,'PL1'!H:J,3,0)</f>
        <v>#N/A</v>
      </c>
      <c r="I54" t="e">
        <f>VLOOKUP(H54,'PL1'!J:K,2,0)</f>
        <v>#N/A</v>
      </c>
    </row>
    <row r="55" spans="5:9" x14ac:dyDescent="0.25">
      <c r="E55">
        <f>Setup!J53</f>
        <v>0</v>
      </c>
      <c r="F55">
        <f>Setup!L53</f>
        <v>0</v>
      </c>
      <c r="H55" t="e">
        <f>VLOOKUP(F55,'PL1'!H:J,3,0)</f>
        <v>#N/A</v>
      </c>
      <c r="I55" t="e">
        <f>VLOOKUP(H55,'PL1'!J:K,2,0)</f>
        <v>#N/A</v>
      </c>
    </row>
    <row r="56" spans="5:9" x14ac:dyDescent="0.25">
      <c r="E56">
        <f>Setup!J54</f>
        <v>0</v>
      </c>
      <c r="F56">
        <f>Setup!L54</f>
        <v>0</v>
      </c>
      <c r="H56" t="e">
        <f>VLOOKUP(F56,'PL1'!H:J,3,0)</f>
        <v>#N/A</v>
      </c>
      <c r="I56" t="e">
        <f>VLOOKUP(H56,'PL1'!J:K,2,0)</f>
        <v>#N/A</v>
      </c>
    </row>
    <row r="57" spans="5:9" s="2" customFormat="1" x14ac:dyDescent="0.25">
      <c r="E57">
        <f>Setup!J55</f>
        <v>0</v>
      </c>
      <c r="F57">
        <f>Setup!L55</f>
        <v>0</v>
      </c>
      <c r="G57"/>
      <c r="H57" t="e">
        <f>VLOOKUP(F57,'PL1'!H:J,3,0)</f>
        <v>#N/A</v>
      </c>
      <c r="I57" t="e">
        <f>VLOOKUP(H57,'PL1'!J:K,2,0)</f>
        <v>#N/A</v>
      </c>
    </row>
    <row r="58" spans="5:9" x14ac:dyDescent="0.25">
      <c r="E58">
        <f>Setup!J56</f>
        <v>0</v>
      </c>
      <c r="F58">
        <f>Setup!L56</f>
        <v>0</v>
      </c>
      <c r="H58" t="e">
        <f>VLOOKUP(F58,'PL1'!H:J,3,0)</f>
        <v>#N/A</v>
      </c>
      <c r="I58" t="e">
        <f>VLOOKUP(H58,'PL1'!J:K,2,0)</f>
        <v>#N/A</v>
      </c>
    </row>
    <row r="59" spans="5:9" x14ac:dyDescent="0.25">
      <c r="E59">
        <f>Setup!J57</f>
        <v>0</v>
      </c>
      <c r="F59">
        <f>Setup!L57</f>
        <v>0</v>
      </c>
      <c r="H59" t="e">
        <f>VLOOKUP(F59,'PL1'!H:J,3,0)</f>
        <v>#N/A</v>
      </c>
      <c r="I59" t="e">
        <f>VLOOKUP(H59,'PL1'!J:K,2,0)</f>
        <v>#N/A</v>
      </c>
    </row>
    <row r="60" spans="5:9" x14ac:dyDescent="0.25">
      <c r="E60">
        <f>Setup!J58</f>
        <v>0</v>
      </c>
      <c r="F60">
        <f>Setup!L58</f>
        <v>0</v>
      </c>
      <c r="H60" t="e">
        <f>VLOOKUP(F60,'PL1'!H:J,3,0)</f>
        <v>#N/A</v>
      </c>
      <c r="I60" t="e">
        <f>VLOOKUP(H60,'PL1'!J:K,2,0)</f>
        <v>#N/A</v>
      </c>
    </row>
    <row r="61" spans="5:9" x14ac:dyDescent="0.25">
      <c r="E61">
        <f>Setup!J59</f>
        <v>0</v>
      </c>
      <c r="F61">
        <f>Setup!L59</f>
        <v>0</v>
      </c>
      <c r="H61" t="e">
        <f>VLOOKUP(F61,'PL1'!H:J,3,0)</f>
        <v>#N/A</v>
      </c>
      <c r="I61" t="e">
        <f>VLOOKUP(H61,'PL1'!J:K,2,0)</f>
        <v>#N/A</v>
      </c>
    </row>
    <row r="62" spans="5:9" x14ac:dyDescent="0.25">
      <c r="E62">
        <f>Setup!J60</f>
        <v>0</v>
      </c>
      <c r="F62">
        <f>Setup!L60</f>
        <v>0</v>
      </c>
      <c r="H62" t="e">
        <f>VLOOKUP(F62,'PL1'!H:J,3,0)</f>
        <v>#N/A</v>
      </c>
      <c r="I62" t="e">
        <f>VLOOKUP(H62,'PL1'!J:K,2,0)</f>
        <v>#N/A</v>
      </c>
    </row>
    <row r="63" spans="5:9" x14ac:dyDescent="0.25">
      <c r="E63">
        <f>Setup!J61</f>
        <v>0</v>
      </c>
      <c r="F63">
        <f>Setup!L61</f>
        <v>0</v>
      </c>
      <c r="H63" t="e">
        <f>VLOOKUP(F63,'PL1'!H:J,3,0)</f>
        <v>#N/A</v>
      </c>
      <c r="I63" t="e">
        <f>VLOOKUP(H63,'PL1'!J:K,2,0)</f>
        <v>#N/A</v>
      </c>
    </row>
    <row r="64" spans="5:9" x14ac:dyDescent="0.25">
      <c r="E64">
        <f>Setup!J62</f>
        <v>0</v>
      </c>
      <c r="F64">
        <f>Setup!L62</f>
        <v>0</v>
      </c>
      <c r="H64" t="e">
        <f>VLOOKUP(F64,'PL1'!H:J,3,0)</f>
        <v>#N/A</v>
      </c>
      <c r="I64" t="e">
        <f>VLOOKUP(H64,'PL1'!J:K,2,0)</f>
        <v>#N/A</v>
      </c>
    </row>
    <row r="65" spans="5:9" x14ac:dyDescent="0.25">
      <c r="E65">
        <f>Setup!J63</f>
        <v>0</v>
      </c>
      <c r="F65">
        <f>Setup!L63</f>
        <v>0</v>
      </c>
      <c r="H65" t="e">
        <f>VLOOKUP(F65,'PL1'!H:J,3,0)</f>
        <v>#N/A</v>
      </c>
      <c r="I65" t="e">
        <f>VLOOKUP(H65,'PL1'!J:K,2,0)</f>
        <v>#N/A</v>
      </c>
    </row>
    <row r="66" spans="5:9" x14ac:dyDescent="0.25">
      <c r="E66">
        <f>Setup!J64</f>
        <v>0</v>
      </c>
      <c r="F66">
        <f>Setup!L64</f>
        <v>0</v>
      </c>
      <c r="H66" t="e">
        <f>VLOOKUP(F66,'PL1'!H:J,3,0)</f>
        <v>#N/A</v>
      </c>
      <c r="I66" t="e">
        <f>VLOOKUP(H66,'PL1'!J:K,2,0)</f>
        <v>#N/A</v>
      </c>
    </row>
    <row r="67" spans="5:9" x14ac:dyDescent="0.25">
      <c r="E67">
        <f>Setup!J65</f>
        <v>0</v>
      </c>
      <c r="F67">
        <f>Setup!L65</f>
        <v>0</v>
      </c>
      <c r="H67" t="e">
        <f>VLOOKUP(F67,'PL1'!H:J,3,0)</f>
        <v>#N/A</v>
      </c>
      <c r="I67" t="e">
        <f>VLOOKUP(H67,'PL1'!J:K,2,0)</f>
        <v>#N/A</v>
      </c>
    </row>
    <row r="68" spans="5:9" s="1" customFormat="1" x14ac:dyDescent="0.25"/>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68"/>
  <sheetViews>
    <sheetView workbookViewId="0">
      <selection activeCell="B5" sqref="B5"/>
    </sheetView>
  </sheetViews>
  <sheetFormatPr defaultRowHeight="15" x14ac:dyDescent="0.25"/>
  <cols>
    <col min="1" max="1" width="4" bestFit="1" customWidth="1"/>
    <col min="2" max="2" width="14" bestFit="1" customWidth="1"/>
    <col min="3" max="3" width="11.5703125" bestFit="1" customWidth="1"/>
    <col min="4" max="4" width="4.42578125" customWidth="1"/>
    <col min="8" max="8" width="34.7109375" bestFit="1" customWidth="1"/>
    <col min="9" max="9" width="7.7109375" bestFit="1" customWidth="1"/>
    <col min="10" max="10" width="7.42578125" bestFit="1" customWidth="1"/>
    <col min="11" max="11" width="10.28515625" bestFit="1" customWidth="1"/>
    <col min="12" max="12" width="10.5703125" bestFit="1" customWidth="1"/>
    <col min="13" max="13" width="5.28515625" bestFit="1" customWidth="1"/>
    <col min="14" max="14" width="6.42578125" bestFit="1" customWidth="1"/>
    <col min="15" max="15" width="17.42578125" bestFit="1" customWidth="1"/>
    <col min="16" max="16" width="14.28515625" bestFit="1" customWidth="1"/>
    <col min="17" max="17" width="13.42578125" bestFit="1" customWidth="1"/>
    <col min="18" max="18" width="5.7109375" bestFit="1" customWidth="1"/>
    <col min="19" max="19" width="4.28515625" bestFit="1" customWidth="1"/>
    <col min="20" max="20" width="7.7109375" bestFit="1" customWidth="1"/>
    <col min="21" max="21" width="13.140625" bestFit="1" customWidth="1"/>
    <col min="22" max="22" width="6.85546875" bestFit="1" customWidth="1"/>
    <col min="23" max="23" width="13.140625" bestFit="1" customWidth="1"/>
    <col min="24" max="24" width="5.42578125" bestFit="1" customWidth="1"/>
    <col min="25" max="25" width="3.7109375" bestFit="1" customWidth="1"/>
    <col min="26" max="26" width="13.5703125" bestFit="1" customWidth="1"/>
    <col min="27" max="27" width="5.42578125" bestFit="1" customWidth="1"/>
    <col min="28" max="28" width="6.7109375" bestFit="1" customWidth="1"/>
  </cols>
  <sheetData>
    <row r="1" spans="1:28" x14ac:dyDescent="0.25">
      <c r="A1" t="s">
        <v>801</v>
      </c>
      <c r="J1" t="s">
        <v>864</v>
      </c>
    </row>
    <row r="2" spans="1:28" x14ac:dyDescent="0.25">
      <c r="J2" t="s">
        <v>9</v>
      </c>
    </row>
    <row r="3" spans="1:28" x14ac:dyDescent="0.25">
      <c r="J3" t="s">
        <v>10</v>
      </c>
      <c r="N3" t="s">
        <v>11</v>
      </c>
      <c r="T3" t="s">
        <v>12</v>
      </c>
      <c r="Z3" t="s">
        <v>1016</v>
      </c>
    </row>
    <row r="4" spans="1:28" ht="30.75" customHeight="1" x14ac:dyDescent="0.25">
      <c r="B4" t="s">
        <v>793</v>
      </c>
      <c r="C4" t="s">
        <v>1015</v>
      </c>
      <c r="E4" t="s">
        <v>1008</v>
      </c>
      <c r="F4" t="s">
        <v>815</v>
      </c>
      <c r="G4" t="s">
        <v>0</v>
      </c>
      <c r="H4" t="s">
        <v>802</v>
      </c>
      <c r="I4" t="s">
        <v>2</v>
      </c>
      <c r="J4" t="s">
        <v>816</v>
      </c>
      <c r="K4" t="s">
        <v>818</v>
      </c>
      <c r="L4" t="s">
        <v>1014</v>
      </c>
      <c r="M4" t="s">
        <v>935</v>
      </c>
      <c r="N4" t="s">
        <v>377</v>
      </c>
      <c r="O4" t="s">
        <v>384</v>
      </c>
      <c r="P4" t="s">
        <v>390</v>
      </c>
      <c r="Q4" t="s">
        <v>396</v>
      </c>
      <c r="R4" t="s">
        <v>401</v>
      </c>
      <c r="S4" t="s">
        <v>405</v>
      </c>
      <c r="T4" t="s">
        <v>378</v>
      </c>
      <c r="U4" t="s">
        <v>385</v>
      </c>
      <c r="V4" t="s">
        <v>391</v>
      </c>
      <c r="W4" t="s">
        <v>397</v>
      </c>
      <c r="X4" t="s">
        <v>402</v>
      </c>
      <c r="Y4" t="s">
        <v>406</v>
      </c>
      <c r="Z4" t="s">
        <v>1013</v>
      </c>
      <c r="AA4" t="s">
        <v>629</v>
      </c>
      <c r="AB4" t="s">
        <v>877</v>
      </c>
    </row>
    <row r="5" spans="1:28" x14ac:dyDescent="0.25">
      <c r="B5" s="2" t="s">
        <v>381</v>
      </c>
      <c r="C5" s="100"/>
      <c r="E5">
        <f>Setup!J3</f>
        <v>0</v>
      </c>
      <c r="F5">
        <f>Setup!L66</f>
        <v>0</v>
      </c>
      <c r="H5" t="e">
        <f>VLOOKUP(F5,'PL2'!H:J,3,0)</f>
        <v>#N/A</v>
      </c>
      <c r="I5" t="e">
        <f>VLOOKUP(H5,'PL2'!J:K,2,0)</f>
        <v>#N/A</v>
      </c>
    </row>
    <row r="6" spans="1:28" x14ac:dyDescent="0.25">
      <c r="B6" s="2" t="s">
        <v>387</v>
      </c>
      <c r="C6" s="100"/>
      <c r="E6">
        <f>Setup!J4</f>
        <v>0</v>
      </c>
      <c r="F6">
        <f>Setup!L67</f>
        <v>0</v>
      </c>
      <c r="H6" t="e">
        <f>VLOOKUP(F6,'PL2'!H:J,3,0)</f>
        <v>#N/A</v>
      </c>
      <c r="I6" t="e">
        <f>VLOOKUP(H6,'PL2'!J:K,2,0)</f>
        <v>#N/A</v>
      </c>
    </row>
    <row r="7" spans="1:28" x14ac:dyDescent="0.25">
      <c r="B7" s="2" t="s">
        <v>394</v>
      </c>
      <c r="C7" s="100"/>
      <c r="E7">
        <f>Setup!J5</f>
        <v>0</v>
      </c>
      <c r="F7">
        <f>Setup!L68</f>
        <v>0</v>
      </c>
      <c r="H7" t="e">
        <f>VLOOKUP(F7,'PL2'!H:J,3,0)</f>
        <v>#N/A</v>
      </c>
      <c r="I7" t="e">
        <f>VLOOKUP(H7,'PL2'!J:K,2,0)</f>
        <v>#N/A</v>
      </c>
    </row>
    <row r="8" spans="1:28" x14ac:dyDescent="0.25">
      <c r="B8" s="2" t="s">
        <v>399</v>
      </c>
      <c r="C8" s="100"/>
      <c r="E8">
        <f>Setup!J6</f>
        <v>0</v>
      </c>
      <c r="F8">
        <f>Setup!L69</f>
        <v>0</v>
      </c>
      <c r="H8" t="e">
        <f>VLOOKUP(F8,'PL2'!H:J,3,0)</f>
        <v>#N/A</v>
      </c>
      <c r="I8" t="e">
        <f>VLOOKUP(H8,'PL2'!J:K,2,0)</f>
        <v>#N/A</v>
      </c>
    </row>
    <row r="9" spans="1:28" x14ac:dyDescent="0.25">
      <c r="B9" s="2" t="s">
        <v>392</v>
      </c>
      <c r="C9" s="100"/>
      <c r="E9">
        <f>Setup!J7</f>
        <v>0</v>
      </c>
      <c r="F9">
        <f>Setup!L70</f>
        <v>0</v>
      </c>
      <c r="H9" t="e">
        <f>VLOOKUP(F9,'PL2'!H:J,3,0)</f>
        <v>#N/A</v>
      </c>
      <c r="I9" t="e">
        <f>VLOOKUP(H9,'PL2'!J:K,2,0)</f>
        <v>#N/A</v>
      </c>
    </row>
    <row r="10" spans="1:28" x14ac:dyDescent="0.25">
      <c r="B10" s="2" t="s">
        <v>407</v>
      </c>
      <c r="C10" s="100"/>
      <c r="E10">
        <f>Setup!J8</f>
        <v>0</v>
      </c>
      <c r="F10">
        <f>Setup!L71</f>
        <v>0</v>
      </c>
      <c r="H10" t="e">
        <f>VLOOKUP(F10,'PL2'!H:J,3,0)</f>
        <v>#N/A</v>
      </c>
      <c r="I10" t="e">
        <f>VLOOKUP(H10,'PL2'!J:K,2,0)</f>
        <v>#N/A</v>
      </c>
    </row>
    <row r="11" spans="1:28" x14ac:dyDescent="0.25">
      <c r="E11">
        <f>Setup!J9</f>
        <v>0</v>
      </c>
      <c r="F11">
        <f>Setup!L72</f>
        <v>0</v>
      </c>
      <c r="H11" t="e">
        <f>VLOOKUP(F11,'PL2'!H:J,3,0)</f>
        <v>#N/A</v>
      </c>
      <c r="I11" t="e">
        <f>VLOOKUP(H11,'PL2'!J:K,2,0)</f>
        <v>#N/A</v>
      </c>
    </row>
    <row r="12" spans="1:28" x14ac:dyDescent="0.25">
      <c r="E12">
        <f>Setup!J10</f>
        <v>0</v>
      </c>
      <c r="F12">
        <f>Setup!L73</f>
        <v>0</v>
      </c>
      <c r="H12" t="e">
        <f>VLOOKUP(F12,'PL2'!H:J,3,0)</f>
        <v>#N/A</v>
      </c>
      <c r="I12" t="e">
        <f>VLOOKUP(H12,'PL2'!J:K,2,0)</f>
        <v>#N/A</v>
      </c>
    </row>
    <row r="13" spans="1:28" x14ac:dyDescent="0.25">
      <c r="E13">
        <f>Setup!J11</f>
        <v>0</v>
      </c>
      <c r="F13">
        <f>Setup!L74</f>
        <v>0</v>
      </c>
      <c r="H13" t="e">
        <f>VLOOKUP(F13,'PL2'!H:J,3,0)</f>
        <v>#N/A</v>
      </c>
      <c r="I13" t="e">
        <f>VLOOKUP(H13,'PL2'!J:K,2,0)</f>
        <v>#N/A</v>
      </c>
    </row>
    <row r="14" spans="1:28" x14ac:dyDescent="0.25">
      <c r="E14">
        <f>Setup!J12</f>
        <v>0</v>
      </c>
      <c r="F14">
        <f>Setup!L75</f>
        <v>0</v>
      </c>
      <c r="H14" t="e">
        <f>VLOOKUP(F14,'PL2'!H:J,3,0)</f>
        <v>#N/A</v>
      </c>
      <c r="I14" t="e">
        <f>VLOOKUP(H14,'PL2'!J:K,2,0)</f>
        <v>#N/A</v>
      </c>
    </row>
    <row r="15" spans="1:28" x14ac:dyDescent="0.25">
      <c r="E15">
        <f>Setup!J13</f>
        <v>0</v>
      </c>
      <c r="F15">
        <f>Setup!L76</f>
        <v>0</v>
      </c>
      <c r="H15" t="e">
        <f>VLOOKUP(F15,'PL2'!H:J,3,0)</f>
        <v>#N/A</v>
      </c>
      <c r="I15" t="e">
        <f>VLOOKUP(H15,'PL2'!J:K,2,0)</f>
        <v>#N/A</v>
      </c>
    </row>
    <row r="16" spans="1:28" x14ac:dyDescent="0.25">
      <c r="E16">
        <f>Setup!J14</f>
        <v>0</v>
      </c>
      <c r="F16">
        <f>Setup!L77</f>
        <v>0</v>
      </c>
      <c r="H16" t="e">
        <f>VLOOKUP(F16,'PL2'!H:J,3,0)</f>
        <v>#N/A</v>
      </c>
      <c r="I16" t="e">
        <f>VLOOKUP(H16,'PL2'!J:K,2,0)</f>
        <v>#N/A</v>
      </c>
    </row>
    <row r="17" spans="5:9" x14ac:dyDescent="0.25">
      <c r="E17">
        <f>Setup!J15</f>
        <v>0</v>
      </c>
      <c r="F17">
        <f>Setup!L78</f>
        <v>0</v>
      </c>
      <c r="H17" t="e">
        <f>VLOOKUP(F17,'PL2'!H:J,3,0)</f>
        <v>#N/A</v>
      </c>
      <c r="I17" t="e">
        <f>VLOOKUP(H17,'PL2'!J:K,2,0)</f>
        <v>#N/A</v>
      </c>
    </row>
    <row r="18" spans="5:9" x14ac:dyDescent="0.25">
      <c r="E18">
        <f>Setup!J16</f>
        <v>0</v>
      </c>
      <c r="F18">
        <f>Setup!L79</f>
        <v>0</v>
      </c>
      <c r="H18" t="e">
        <f>VLOOKUP(F18,'PL2'!H:J,3,0)</f>
        <v>#N/A</v>
      </c>
      <c r="I18" t="e">
        <f>VLOOKUP(H18,'PL2'!J:K,2,0)</f>
        <v>#N/A</v>
      </c>
    </row>
    <row r="19" spans="5:9" x14ac:dyDescent="0.25">
      <c r="E19">
        <f>Setup!J17</f>
        <v>0</v>
      </c>
      <c r="F19">
        <f>Setup!L80</f>
        <v>0</v>
      </c>
      <c r="H19" t="e">
        <f>VLOOKUP(F19,'PL2'!H:J,3,0)</f>
        <v>#N/A</v>
      </c>
      <c r="I19" t="e">
        <f>VLOOKUP(H19,'PL2'!J:K,2,0)</f>
        <v>#N/A</v>
      </c>
    </row>
    <row r="20" spans="5:9" x14ac:dyDescent="0.25">
      <c r="E20">
        <f>Setup!J18</f>
        <v>0</v>
      </c>
      <c r="F20">
        <f>Setup!L81</f>
        <v>0</v>
      </c>
      <c r="H20" t="e">
        <f>VLOOKUP(F20,'PL2'!H:J,3,0)</f>
        <v>#N/A</v>
      </c>
      <c r="I20" t="e">
        <f>VLOOKUP(H20,'PL2'!J:K,2,0)</f>
        <v>#N/A</v>
      </c>
    </row>
    <row r="21" spans="5:9" x14ac:dyDescent="0.25">
      <c r="E21">
        <f>Setup!J19</f>
        <v>0</v>
      </c>
      <c r="F21">
        <f>Setup!L82</f>
        <v>0</v>
      </c>
      <c r="H21" t="e">
        <f>VLOOKUP(F21,'PL2'!H:J,3,0)</f>
        <v>#N/A</v>
      </c>
      <c r="I21" t="e">
        <f>VLOOKUP(H21,'PL2'!J:K,2,0)</f>
        <v>#N/A</v>
      </c>
    </row>
    <row r="22" spans="5:9" x14ac:dyDescent="0.25">
      <c r="E22">
        <f>Setup!J20</f>
        <v>0</v>
      </c>
      <c r="F22">
        <f>Setup!L83</f>
        <v>0</v>
      </c>
      <c r="H22" t="e">
        <f>VLOOKUP(F22,'PL2'!H:J,3,0)</f>
        <v>#N/A</v>
      </c>
      <c r="I22" t="e">
        <f>VLOOKUP(H22,'PL2'!J:K,2,0)</f>
        <v>#N/A</v>
      </c>
    </row>
    <row r="23" spans="5:9" x14ac:dyDescent="0.25">
      <c r="E23">
        <f>Setup!J21</f>
        <v>0</v>
      </c>
      <c r="F23">
        <f>Setup!L84</f>
        <v>0</v>
      </c>
      <c r="H23" t="e">
        <f>VLOOKUP(F23,'PL2'!H:J,3,0)</f>
        <v>#N/A</v>
      </c>
      <c r="I23" t="e">
        <f>VLOOKUP(H23,'PL2'!J:K,2,0)</f>
        <v>#N/A</v>
      </c>
    </row>
    <row r="24" spans="5:9" x14ac:dyDescent="0.25">
      <c r="E24">
        <f>Setup!J22</f>
        <v>0</v>
      </c>
      <c r="F24">
        <f>Setup!L85</f>
        <v>0</v>
      </c>
      <c r="H24" t="e">
        <f>VLOOKUP(F24,'PL2'!H:J,3,0)</f>
        <v>#N/A</v>
      </c>
      <c r="I24" t="e">
        <f>VLOOKUP(H24,'PL2'!J:K,2,0)</f>
        <v>#N/A</v>
      </c>
    </row>
    <row r="25" spans="5:9" x14ac:dyDescent="0.25">
      <c r="E25">
        <f>Setup!J23</f>
        <v>0</v>
      </c>
      <c r="F25">
        <f>Setup!L86</f>
        <v>0</v>
      </c>
      <c r="H25" t="e">
        <f>VLOOKUP(F25,'PL2'!H:J,3,0)</f>
        <v>#N/A</v>
      </c>
      <c r="I25" t="e">
        <f>VLOOKUP(H25,'PL2'!J:K,2,0)</f>
        <v>#N/A</v>
      </c>
    </row>
    <row r="26" spans="5:9" x14ac:dyDescent="0.25">
      <c r="E26">
        <f>Setup!J24</f>
        <v>0</v>
      </c>
      <c r="F26">
        <f>Setup!L87</f>
        <v>0</v>
      </c>
      <c r="H26" t="e">
        <f>VLOOKUP(F26,'PL2'!H:J,3,0)</f>
        <v>#N/A</v>
      </c>
      <c r="I26" t="e">
        <f>VLOOKUP(H26,'PL2'!J:K,2,0)</f>
        <v>#N/A</v>
      </c>
    </row>
    <row r="27" spans="5:9" x14ac:dyDescent="0.25">
      <c r="E27">
        <f>Setup!J25</f>
        <v>0</v>
      </c>
      <c r="F27">
        <f>Setup!L88</f>
        <v>0</v>
      </c>
      <c r="H27" t="e">
        <f>VLOOKUP(F27,'PL2'!H:J,3,0)</f>
        <v>#N/A</v>
      </c>
      <c r="I27" t="e">
        <f>VLOOKUP(H27,'PL2'!J:K,2,0)</f>
        <v>#N/A</v>
      </c>
    </row>
    <row r="28" spans="5:9" x14ac:dyDescent="0.25">
      <c r="E28">
        <f>Setup!J26</f>
        <v>0</v>
      </c>
      <c r="F28">
        <f>Setup!L89</f>
        <v>0</v>
      </c>
      <c r="H28" t="e">
        <f>VLOOKUP(F28,'PL2'!H:J,3,0)</f>
        <v>#N/A</v>
      </c>
      <c r="I28" t="e">
        <f>VLOOKUP(H28,'PL2'!J:K,2,0)</f>
        <v>#N/A</v>
      </c>
    </row>
    <row r="29" spans="5:9" x14ac:dyDescent="0.25">
      <c r="E29">
        <f>Setup!J27</f>
        <v>0</v>
      </c>
      <c r="F29">
        <f>Setup!L90</f>
        <v>0</v>
      </c>
      <c r="H29" t="e">
        <f>VLOOKUP(F29,'PL2'!H:J,3,0)</f>
        <v>#N/A</v>
      </c>
      <c r="I29" t="e">
        <f>VLOOKUP(H29,'PL2'!J:K,2,0)</f>
        <v>#N/A</v>
      </c>
    </row>
    <row r="30" spans="5:9" x14ac:dyDescent="0.25">
      <c r="E30">
        <f>Setup!J28</f>
        <v>0</v>
      </c>
      <c r="F30">
        <f>Setup!L91</f>
        <v>0</v>
      </c>
      <c r="H30" t="e">
        <f>VLOOKUP(F30,'PL2'!H:J,3,0)</f>
        <v>#N/A</v>
      </c>
      <c r="I30" t="e">
        <f>VLOOKUP(H30,'PL2'!J:K,2,0)</f>
        <v>#N/A</v>
      </c>
    </row>
    <row r="31" spans="5:9" x14ac:dyDescent="0.25">
      <c r="E31">
        <f>Setup!J29</f>
        <v>0</v>
      </c>
      <c r="F31">
        <f>Setup!L92</f>
        <v>0</v>
      </c>
      <c r="H31" t="e">
        <f>VLOOKUP(F31,'PL2'!H:J,3,0)</f>
        <v>#N/A</v>
      </c>
      <c r="I31" t="e">
        <f>VLOOKUP(H31,'PL2'!J:K,2,0)</f>
        <v>#N/A</v>
      </c>
    </row>
    <row r="32" spans="5:9" x14ac:dyDescent="0.25">
      <c r="E32">
        <f>Setup!J30</f>
        <v>0</v>
      </c>
      <c r="F32">
        <f>Setup!L93</f>
        <v>0</v>
      </c>
      <c r="H32" t="e">
        <f>VLOOKUP(F32,'PL2'!H:J,3,0)</f>
        <v>#N/A</v>
      </c>
      <c r="I32" t="e">
        <f>VLOOKUP(H32,'PL2'!J:K,2,0)</f>
        <v>#N/A</v>
      </c>
    </row>
    <row r="33" spans="5:9" x14ac:dyDescent="0.25">
      <c r="E33">
        <f>Setup!J31</f>
        <v>0</v>
      </c>
      <c r="F33">
        <f>Setup!L94</f>
        <v>0</v>
      </c>
      <c r="H33" t="e">
        <f>VLOOKUP(F33,'PL2'!H:J,3,0)</f>
        <v>#N/A</v>
      </c>
      <c r="I33" t="e">
        <f>VLOOKUP(H33,'PL2'!J:K,2,0)</f>
        <v>#N/A</v>
      </c>
    </row>
    <row r="34" spans="5:9" x14ac:dyDescent="0.25">
      <c r="E34">
        <f>Setup!J32</f>
        <v>0</v>
      </c>
      <c r="F34">
        <f>Setup!L95</f>
        <v>0</v>
      </c>
      <c r="H34" t="e">
        <f>VLOOKUP(F34,'PL2'!H:J,3,0)</f>
        <v>#N/A</v>
      </c>
      <c r="I34" t="e">
        <f>VLOOKUP(H34,'PL2'!J:K,2,0)</f>
        <v>#N/A</v>
      </c>
    </row>
    <row r="35" spans="5:9" x14ac:dyDescent="0.25">
      <c r="E35">
        <f>Setup!J33</f>
        <v>0</v>
      </c>
      <c r="F35">
        <f>Setup!L96</f>
        <v>0</v>
      </c>
      <c r="H35" t="e">
        <f>VLOOKUP(F35,'PL2'!H:J,3,0)</f>
        <v>#N/A</v>
      </c>
      <c r="I35" t="e">
        <f>VLOOKUP(H35,'PL2'!J:K,2,0)</f>
        <v>#N/A</v>
      </c>
    </row>
    <row r="36" spans="5:9" x14ac:dyDescent="0.25">
      <c r="E36">
        <f>Setup!J34</f>
        <v>0</v>
      </c>
      <c r="F36">
        <f>Setup!L97</f>
        <v>0</v>
      </c>
      <c r="H36" t="e">
        <f>VLOOKUP(F36,'PL2'!H:J,3,0)</f>
        <v>#N/A</v>
      </c>
      <c r="I36" t="e">
        <f>VLOOKUP(H36,'PL2'!J:K,2,0)</f>
        <v>#N/A</v>
      </c>
    </row>
    <row r="37" spans="5:9" x14ac:dyDescent="0.25">
      <c r="E37">
        <f>Setup!J35</f>
        <v>0</v>
      </c>
      <c r="F37">
        <f>Setup!L98</f>
        <v>0</v>
      </c>
      <c r="H37" t="e">
        <f>VLOOKUP(F37,'PL2'!H:J,3,0)</f>
        <v>#N/A</v>
      </c>
      <c r="I37" t="e">
        <f>VLOOKUP(H37,'PL2'!J:K,2,0)</f>
        <v>#N/A</v>
      </c>
    </row>
    <row r="38" spans="5:9" x14ac:dyDescent="0.25">
      <c r="E38">
        <f>Setup!J36</f>
        <v>0</v>
      </c>
      <c r="F38">
        <f>Setup!L99</f>
        <v>0</v>
      </c>
      <c r="H38" t="e">
        <f>VLOOKUP(F38,'PL2'!H:J,3,0)</f>
        <v>#N/A</v>
      </c>
      <c r="I38" t="e">
        <f>VLOOKUP(H38,'PL2'!J:K,2,0)</f>
        <v>#N/A</v>
      </c>
    </row>
    <row r="39" spans="5:9" x14ac:dyDescent="0.25">
      <c r="E39">
        <f>Setup!J37</f>
        <v>0</v>
      </c>
      <c r="F39">
        <f>Setup!L100</f>
        <v>0</v>
      </c>
      <c r="H39" t="e">
        <f>VLOOKUP(F39,'PL2'!H:J,3,0)</f>
        <v>#N/A</v>
      </c>
      <c r="I39" t="e">
        <f>VLOOKUP(H39,'PL2'!J:K,2,0)</f>
        <v>#N/A</v>
      </c>
    </row>
    <row r="40" spans="5:9" x14ac:dyDescent="0.25">
      <c r="E40">
        <f>Setup!J38</f>
        <v>0</v>
      </c>
      <c r="F40">
        <f>Setup!L101</f>
        <v>0</v>
      </c>
      <c r="H40" t="e">
        <f>VLOOKUP(F40,'PL2'!H:J,3,0)</f>
        <v>#N/A</v>
      </c>
      <c r="I40" t="e">
        <f>VLOOKUP(H40,'PL2'!J:K,2,0)</f>
        <v>#N/A</v>
      </c>
    </row>
    <row r="41" spans="5:9" x14ac:dyDescent="0.25">
      <c r="E41">
        <f>Setup!J39</f>
        <v>0</v>
      </c>
      <c r="F41">
        <f>Setup!L102</f>
        <v>0</v>
      </c>
      <c r="H41" t="e">
        <f>VLOOKUP(F41,'PL2'!H:J,3,0)</f>
        <v>#N/A</v>
      </c>
      <c r="I41" t="e">
        <f>VLOOKUP(H41,'PL2'!J:K,2,0)</f>
        <v>#N/A</v>
      </c>
    </row>
    <row r="42" spans="5:9" x14ac:dyDescent="0.25">
      <c r="E42">
        <f>Setup!J40</f>
        <v>0</v>
      </c>
      <c r="F42">
        <f>Setup!L103</f>
        <v>0</v>
      </c>
      <c r="H42" t="e">
        <f>VLOOKUP(F42,'PL2'!H:J,3,0)</f>
        <v>#N/A</v>
      </c>
      <c r="I42" t="e">
        <f>VLOOKUP(H42,'PL2'!J:K,2,0)</f>
        <v>#N/A</v>
      </c>
    </row>
    <row r="43" spans="5:9" x14ac:dyDescent="0.25">
      <c r="E43">
        <f>Setup!J41</f>
        <v>0</v>
      </c>
      <c r="F43">
        <f>Setup!L104</f>
        <v>0</v>
      </c>
      <c r="H43" t="e">
        <f>VLOOKUP(F43,'PL2'!H:J,3,0)</f>
        <v>#N/A</v>
      </c>
      <c r="I43" t="e">
        <f>VLOOKUP(H43,'PL2'!J:K,2,0)</f>
        <v>#N/A</v>
      </c>
    </row>
    <row r="44" spans="5:9" x14ac:dyDescent="0.25">
      <c r="E44">
        <f>Setup!J42</f>
        <v>0</v>
      </c>
      <c r="F44">
        <f>Setup!L105</f>
        <v>0</v>
      </c>
      <c r="H44" t="e">
        <f>VLOOKUP(F44,'PL2'!H:J,3,0)</f>
        <v>#N/A</v>
      </c>
      <c r="I44" t="e">
        <f>VLOOKUP(H44,'PL2'!J:K,2,0)</f>
        <v>#N/A</v>
      </c>
    </row>
    <row r="45" spans="5:9" x14ac:dyDescent="0.25">
      <c r="E45">
        <f>Setup!J43</f>
        <v>0</v>
      </c>
      <c r="F45">
        <f>Setup!L106</f>
        <v>0</v>
      </c>
      <c r="H45" t="e">
        <f>VLOOKUP(F45,'PL2'!H:J,3,0)</f>
        <v>#N/A</v>
      </c>
      <c r="I45" t="e">
        <f>VLOOKUP(H45,'PL2'!J:K,2,0)</f>
        <v>#N/A</v>
      </c>
    </row>
    <row r="46" spans="5:9" x14ac:dyDescent="0.25">
      <c r="E46">
        <f>Setup!J44</f>
        <v>0</v>
      </c>
      <c r="F46">
        <f>Setup!L107</f>
        <v>0</v>
      </c>
      <c r="H46" t="e">
        <f>VLOOKUP(F46,'PL2'!H:J,3,0)</f>
        <v>#N/A</v>
      </c>
      <c r="I46" t="e">
        <f>VLOOKUP(H46,'PL2'!J:K,2,0)</f>
        <v>#N/A</v>
      </c>
    </row>
    <row r="47" spans="5:9" x14ac:dyDescent="0.25">
      <c r="E47">
        <f>Setup!J45</f>
        <v>0</v>
      </c>
      <c r="F47">
        <f>Setup!L108</f>
        <v>0</v>
      </c>
      <c r="H47" t="e">
        <f>VLOOKUP(F47,'PL2'!H:J,3,0)</f>
        <v>#N/A</v>
      </c>
      <c r="I47" t="e">
        <f>VLOOKUP(H47,'PL2'!J:K,2,0)</f>
        <v>#N/A</v>
      </c>
    </row>
    <row r="48" spans="5:9" x14ac:dyDescent="0.25">
      <c r="E48">
        <f>Setup!J46</f>
        <v>0</v>
      </c>
      <c r="F48">
        <f>Setup!L109</f>
        <v>0</v>
      </c>
      <c r="H48" t="e">
        <f>VLOOKUP(F48,'PL2'!H:J,3,0)</f>
        <v>#N/A</v>
      </c>
      <c r="I48" t="e">
        <f>VLOOKUP(H48,'PL2'!J:K,2,0)</f>
        <v>#N/A</v>
      </c>
    </row>
    <row r="49" spans="5:9" x14ac:dyDescent="0.25">
      <c r="E49">
        <f>Setup!J47</f>
        <v>0</v>
      </c>
      <c r="F49">
        <f>Setup!L110</f>
        <v>0</v>
      </c>
      <c r="H49" t="e">
        <f>VLOOKUP(F49,'PL2'!H:J,3,0)</f>
        <v>#N/A</v>
      </c>
      <c r="I49" t="e">
        <f>VLOOKUP(H49,'PL2'!J:K,2,0)</f>
        <v>#N/A</v>
      </c>
    </row>
    <row r="50" spans="5:9" x14ac:dyDescent="0.25">
      <c r="E50">
        <f>Setup!J48</f>
        <v>0</v>
      </c>
      <c r="F50">
        <f>Setup!L111</f>
        <v>0</v>
      </c>
      <c r="H50" t="e">
        <f>VLOOKUP(F50,'PL2'!H:J,3,0)</f>
        <v>#N/A</v>
      </c>
      <c r="I50" t="e">
        <f>VLOOKUP(H50,'PL2'!J:K,2,0)</f>
        <v>#N/A</v>
      </c>
    </row>
    <row r="51" spans="5:9" x14ac:dyDescent="0.25">
      <c r="E51">
        <f>Setup!J49</f>
        <v>0</v>
      </c>
      <c r="F51">
        <f>Setup!L112</f>
        <v>0</v>
      </c>
      <c r="H51" t="e">
        <f>VLOOKUP(F51,'PL2'!H:J,3,0)</f>
        <v>#N/A</v>
      </c>
      <c r="I51" t="e">
        <f>VLOOKUP(H51,'PL2'!J:K,2,0)</f>
        <v>#N/A</v>
      </c>
    </row>
    <row r="52" spans="5:9" x14ac:dyDescent="0.25">
      <c r="E52">
        <f>Setup!J50</f>
        <v>0</v>
      </c>
      <c r="F52">
        <f>Setup!L113</f>
        <v>0</v>
      </c>
      <c r="H52" t="e">
        <f>VLOOKUP(F52,'PL2'!H:J,3,0)</f>
        <v>#N/A</v>
      </c>
      <c r="I52" t="e">
        <f>VLOOKUP(H52,'PL2'!J:K,2,0)</f>
        <v>#N/A</v>
      </c>
    </row>
    <row r="53" spans="5:9" x14ac:dyDescent="0.25">
      <c r="E53">
        <f>Setup!J51</f>
        <v>0</v>
      </c>
      <c r="F53">
        <f>Setup!L114</f>
        <v>0</v>
      </c>
      <c r="H53" t="e">
        <f>VLOOKUP(F53,'PL2'!H:J,3,0)</f>
        <v>#N/A</v>
      </c>
      <c r="I53" t="e">
        <f>VLOOKUP(H53,'PL2'!J:K,2,0)</f>
        <v>#N/A</v>
      </c>
    </row>
    <row r="54" spans="5:9" x14ac:dyDescent="0.25">
      <c r="E54">
        <f>Setup!J52</f>
        <v>0</v>
      </c>
      <c r="F54">
        <f>Setup!L115</f>
        <v>0</v>
      </c>
      <c r="H54" t="e">
        <f>VLOOKUP(F54,'PL2'!H:J,3,0)</f>
        <v>#N/A</v>
      </c>
      <c r="I54" t="e">
        <f>VLOOKUP(H54,'PL2'!J:K,2,0)</f>
        <v>#N/A</v>
      </c>
    </row>
    <row r="55" spans="5:9" x14ac:dyDescent="0.25">
      <c r="E55">
        <f>Setup!J53</f>
        <v>0</v>
      </c>
      <c r="F55">
        <f>Setup!L116</f>
        <v>0</v>
      </c>
      <c r="H55" t="e">
        <f>VLOOKUP(F55,'PL2'!H:J,3,0)</f>
        <v>#N/A</v>
      </c>
      <c r="I55" t="e">
        <f>VLOOKUP(H55,'PL2'!J:K,2,0)</f>
        <v>#N/A</v>
      </c>
    </row>
    <row r="56" spans="5:9" x14ac:dyDescent="0.25">
      <c r="E56">
        <f>Setup!J54</f>
        <v>0</v>
      </c>
      <c r="F56">
        <f>Setup!L117</f>
        <v>0</v>
      </c>
      <c r="H56" t="e">
        <f>VLOOKUP(F56,'PL2'!H:J,3,0)</f>
        <v>#N/A</v>
      </c>
      <c r="I56" t="e">
        <f>VLOOKUP(H56,'PL2'!J:K,2,0)</f>
        <v>#N/A</v>
      </c>
    </row>
    <row r="57" spans="5:9" s="2" customFormat="1" x14ac:dyDescent="0.25">
      <c r="E57">
        <f>Setup!J55</f>
        <v>0</v>
      </c>
      <c r="F57">
        <f>Setup!L118</f>
        <v>0</v>
      </c>
      <c r="G57"/>
      <c r="H57" t="e">
        <f>VLOOKUP(F57,'PL2'!H:J,3,0)</f>
        <v>#N/A</v>
      </c>
      <c r="I57" t="e">
        <f>VLOOKUP(H57,'PL2'!J:K,2,0)</f>
        <v>#N/A</v>
      </c>
    </row>
    <row r="58" spans="5:9" x14ac:dyDescent="0.25">
      <c r="E58">
        <f>Setup!J56</f>
        <v>0</v>
      </c>
      <c r="F58">
        <f>Setup!L119</f>
        <v>0</v>
      </c>
      <c r="H58" t="e">
        <f>VLOOKUP(F58,'PL2'!H:J,3,0)</f>
        <v>#N/A</v>
      </c>
      <c r="I58" t="e">
        <f>VLOOKUP(H58,'PL2'!J:K,2,0)</f>
        <v>#N/A</v>
      </c>
    </row>
    <row r="59" spans="5:9" x14ac:dyDescent="0.25">
      <c r="E59">
        <f>Setup!J57</f>
        <v>0</v>
      </c>
      <c r="F59">
        <f>Setup!L120</f>
        <v>0</v>
      </c>
      <c r="H59" t="e">
        <f>VLOOKUP(F59,'PL2'!H:J,3,0)</f>
        <v>#N/A</v>
      </c>
      <c r="I59" t="e">
        <f>VLOOKUP(H59,'PL2'!J:K,2,0)</f>
        <v>#N/A</v>
      </c>
    </row>
    <row r="60" spans="5:9" x14ac:dyDescent="0.25">
      <c r="E60">
        <f>Setup!J58</f>
        <v>0</v>
      </c>
      <c r="F60">
        <f>Setup!L121</f>
        <v>0</v>
      </c>
      <c r="H60" t="e">
        <f>VLOOKUP(F60,'PL2'!H:J,3,0)</f>
        <v>#N/A</v>
      </c>
      <c r="I60" t="e">
        <f>VLOOKUP(H60,'PL2'!J:K,2,0)</f>
        <v>#N/A</v>
      </c>
    </row>
    <row r="61" spans="5:9" x14ac:dyDescent="0.25">
      <c r="E61">
        <f>Setup!J59</f>
        <v>0</v>
      </c>
      <c r="F61">
        <f>Setup!L122</f>
        <v>0</v>
      </c>
      <c r="H61" t="e">
        <f>VLOOKUP(F61,'PL2'!H:J,3,0)</f>
        <v>#N/A</v>
      </c>
      <c r="I61" t="e">
        <f>VLOOKUP(H61,'PL2'!J:K,2,0)</f>
        <v>#N/A</v>
      </c>
    </row>
    <row r="62" spans="5:9" x14ac:dyDescent="0.25">
      <c r="E62">
        <f>Setup!J60</f>
        <v>0</v>
      </c>
      <c r="F62">
        <f>Setup!L123</f>
        <v>0</v>
      </c>
      <c r="H62" t="e">
        <f>VLOOKUP(F62,'PL2'!H:J,3,0)</f>
        <v>#N/A</v>
      </c>
      <c r="I62" t="e">
        <f>VLOOKUP(H62,'PL2'!J:K,2,0)</f>
        <v>#N/A</v>
      </c>
    </row>
    <row r="63" spans="5:9" x14ac:dyDescent="0.25">
      <c r="E63">
        <f>Setup!J61</f>
        <v>0</v>
      </c>
      <c r="F63">
        <f>Setup!L124</f>
        <v>0</v>
      </c>
      <c r="H63" t="e">
        <f>VLOOKUP(F63,'PL2'!H:J,3,0)</f>
        <v>#N/A</v>
      </c>
      <c r="I63" t="e">
        <f>VLOOKUP(H63,'PL2'!J:K,2,0)</f>
        <v>#N/A</v>
      </c>
    </row>
    <row r="64" spans="5:9" x14ac:dyDescent="0.25">
      <c r="E64">
        <f>Setup!J62</f>
        <v>0</v>
      </c>
      <c r="F64">
        <f>Setup!L125</f>
        <v>0</v>
      </c>
      <c r="H64" t="e">
        <f>VLOOKUP(F64,'PL2'!H:J,3,0)</f>
        <v>#N/A</v>
      </c>
      <c r="I64" t="e">
        <f>VLOOKUP(H64,'PL2'!J:K,2,0)</f>
        <v>#N/A</v>
      </c>
    </row>
    <row r="65" spans="5:9" x14ac:dyDescent="0.25">
      <c r="E65">
        <f>Setup!J63</f>
        <v>0</v>
      </c>
      <c r="F65">
        <f>Setup!L126</f>
        <v>0</v>
      </c>
      <c r="H65" t="e">
        <f>VLOOKUP(F65,'PL2'!H:J,3,0)</f>
        <v>#N/A</v>
      </c>
      <c r="I65" t="e">
        <f>VLOOKUP(H65,'PL2'!J:K,2,0)</f>
        <v>#N/A</v>
      </c>
    </row>
    <row r="66" spans="5:9" x14ac:dyDescent="0.25">
      <c r="E66">
        <f>Setup!J64</f>
        <v>0</v>
      </c>
      <c r="F66">
        <f>Setup!L127</f>
        <v>0</v>
      </c>
      <c r="H66" t="e">
        <f>VLOOKUP(F66,'PL2'!H:J,3,0)</f>
        <v>#N/A</v>
      </c>
      <c r="I66" t="e">
        <f>VLOOKUP(H66,'PL2'!J:K,2,0)</f>
        <v>#N/A</v>
      </c>
    </row>
    <row r="67" spans="5:9" x14ac:dyDescent="0.25">
      <c r="E67">
        <f>Setup!J65</f>
        <v>0</v>
      </c>
      <c r="F67">
        <f>Setup!L128</f>
        <v>0</v>
      </c>
      <c r="H67" t="e">
        <f>VLOOKUP(F67,'PL2'!H:J,3,0)</f>
        <v>#N/A</v>
      </c>
      <c r="I67" t="e">
        <f>VLOOKUP(H67,'PL2'!J:K,2,0)</f>
        <v>#N/A</v>
      </c>
    </row>
    <row r="68" spans="5:9"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M48"/>
  <sheetViews>
    <sheetView showGridLines="0" tabSelected="1" workbookViewId="0">
      <pane xSplit="43" ySplit="36" topLeftCell="AR102" activePane="bottomRight" state="frozen"/>
      <selection pane="topRight" activeCell="AR1" sqref="AR1"/>
      <selection pane="bottomLeft" activeCell="A37" sqref="A37"/>
      <selection pane="bottomRight" activeCell="AS7" sqref="AS7"/>
    </sheetView>
  </sheetViews>
  <sheetFormatPr defaultColWidth="3.85546875" defaultRowHeight="15" x14ac:dyDescent="0.25"/>
  <cols>
    <col min="1" max="1" width="9.42578125" style="1" bestFit="1" customWidth="1"/>
    <col min="2" max="42" width="5.28515625" style="1" customWidth="1"/>
    <col min="43" max="43" width="4.85546875" style="1" customWidth="1"/>
    <col min="44" max="44" width="34.5703125" style="1" customWidth="1"/>
    <col min="45" max="46" width="20.28515625" style="1" customWidth="1"/>
    <col min="47" max="47" width="3.42578125" style="6" hidden="1" customWidth="1"/>
    <col min="48" max="50" width="3.42578125" style="1" customWidth="1"/>
    <col min="51" max="51" width="15.42578125" style="11" bestFit="1" customWidth="1"/>
    <col min="52" max="52" width="19" style="8" bestFit="1" customWidth="1"/>
    <col min="53" max="16384" width="3.85546875" style="1"/>
  </cols>
  <sheetData>
    <row r="1" spans="2:65" x14ac:dyDescent="0.25">
      <c r="R1" s="13"/>
      <c r="S1" s="13"/>
      <c r="T1" s="13"/>
      <c r="U1" s="13"/>
      <c r="V1" s="13"/>
      <c r="W1" s="13"/>
      <c r="X1" s="13"/>
      <c r="Y1" s="13"/>
      <c r="Z1" s="13"/>
      <c r="AA1" s="13"/>
    </row>
    <row r="2" spans="2:65" ht="20.25" customHeight="1" thickBot="1" x14ac:dyDescent="0.3">
      <c r="B2" s="2"/>
      <c r="C2" s="2"/>
      <c r="D2" s="2"/>
      <c r="E2" s="2"/>
      <c r="F2" s="2"/>
      <c r="G2" s="2"/>
      <c r="H2" s="2"/>
      <c r="I2" s="2"/>
      <c r="J2" s="2"/>
      <c r="K2" s="2"/>
      <c r="L2" s="2"/>
      <c r="M2" s="234"/>
      <c r="N2" s="234"/>
      <c r="O2" s="234"/>
      <c r="P2" s="234"/>
      <c r="Q2" s="234"/>
      <c r="R2" s="234"/>
      <c r="S2" s="234"/>
      <c r="T2" s="234"/>
      <c r="U2" s="234"/>
      <c r="V2" s="234"/>
      <c r="W2" s="234"/>
      <c r="X2" s="234"/>
      <c r="Y2" s="234"/>
      <c r="Z2" s="234"/>
      <c r="AA2" s="234"/>
      <c r="AB2" s="234"/>
      <c r="AC2" s="234"/>
      <c r="AD2" s="234"/>
      <c r="AE2" s="234"/>
      <c r="AF2" s="2"/>
      <c r="AG2" s="2"/>
      <c r="AH2" s="2"/>
      <c r="AI2" s="2"/>
      <c r="AJ2" s="2"/>
      <c r="AK2" s="2"/>
      <c r="AL2" s="2"/>
      <c r="AM2" s="2"/>
      <c r="AN2" s="2"/>
      <c r="AO2" s="2"/>
      <c r="AP2" s="2"/>
      <c r="AX2" s="6"/>
      <c r="BA2" s="6"/>
      <c r="BB2" s="6"/>
      <c r="BC2" s="6"/>
      <c r="BD2" s="6"/>
    </row>
    <row r="3" spans="2:65" ht="20.25" customHeight="1" x14ac:dyDescent="0.25">
      <c r="B3" s="2"/>
      <c r="C3" s="2"/>
      <c r="D3" s="2"/>
      <c r="E3" s="2"/>
      <c r="F3" s="2"/>
      <c r="G3" s="2"/>
      <c r="H3" s="2"/>
      <c r="I3" s="2"/>
      <c r="J3" s="2"/>
      <c r="K3" s="2"/>
      <c r="L3" s="2"/>
      <c r="M3" s="234"/>
      <c r="N3" s="234"/>
      <c r="O3" s="234"/>
      <c r="P3" s="234"/>
      <c r="Q3" s="234"/>
      <c r="R3" s="234"/>
      <c r="S3" s="234"/>
      <c r="T3" s="234"/>
      <c r="U3" s="234"/>
      <c r="V3" s="234"/>
      <c r="W3" s="234"/>
      <c r="X3" s="234"/>
      <c r="Y3" s="234"/>
      <c r="Z3" s="234"/>
      <c r="AA3" s="234"/>
      <c r="AB3" s="234"/>
      <c r="AC3" s="234"/>
      <c r="AD3" s="234"/>
      <c r="AE3" s="234"/>
      <c r="AF3" s="2"/>
      <c r="AG3" s="2"/>
      <c r="AH3" s="2"/>
      <c r="AI3" s="2"/>
      <c r="AJ3" s="2"/>
      <c r="AK3" s="2"/>
      <c r="AL3" s="2"/>
      <c r="AM3" s="2"/>
      <c r="AN3" s="2"/>
      <c r="AO3" s="2"/>
      <c r="AP3" s="2"/>
      <c r="AX3" s="6"/>
      <c r="BA3" s="6"/>
      <c r="BB3" s="6"/>
      <c r="BC3" s="6"/>
      <c r="BF3" s="228"/>
      <c r="BG3" s="229"/>
      <c r="BH3" s="229"/>
      <c r="BI3" s="229"/>
      <c r="BJ3" s="230"/>
    </row>
    <row r="4" spans="2:65" ht="20.25" customHeight="1" thickBot="1" x14ac:dyDescent="0.3">
      <c r="B4" s="2"/>
      <c r="C4" s="2"/>
      <c r="D4" s="2"/>
      <c r="E4" s="2"/>
      <c r="F4" s="2"/>
      <c r="G4" s="2"/>
      <c r="H4" s="2"/>
      <c r="I4" s="2"/>
      <c r="J4" s="2"/>
      <c r="K4" s="2"/>
      <c r="L4" s="2"/>
      <c r="M4" s="227" t="str">
        <f>IF(Setup!AA55="OngoingAttack","Welcome back to Epic Two-Headed Risk",IF(Setup!AA55="InitialSetup","Welcome to the beginning of Epic Two-Headed Risk","Welcome to Epic Two-Headed Risk"))</f>
        <v>Welcome to the beginning of Epic Two-Headed Risk</v>
      </c>
      <c r="N4" s="227"/>
      <c r="O4" s="227"/>
      <c r="P4" s="227"/>
      <c r="Q4" s="227"/>
      <c r="R4" s="227"/>
      <c r="S4" s="227"/>
      <c r="T4" s="227"/>
      <c r="U4" s="227"/>
      <c r="V4" s="227"/>
      <c r="W4" s="227"/>
      <c r="X4" s="227"/>
      <c r="Y4" s="227"/>
      <c r="Z4" s="227"/>
      <c r="AA4" s="227"/>
      <c r="AB4" s="227"/>
      <c r="AC4" s="227"/>
      <c r="AD4" s="227"/>
      <c r="AE4" s="227"/>
      <c r="AF4" s="9"/>
      <c r="AG4" s="9"/>
      <c r="AH4" s="9"/>
      <c r="AI4" s="9"/>
      <c r="AJ4" s="9"/>
      <c r="AK4" s="9"/>
      <c r="AL4" s="9"/>
      <c r="AM4" s="9"/>
      <c r="AN4" s="2"/>
      <c r="AO4" s="2"/>
      <c r="AP4" s="2"/>
      <c r="AX4" s="6"/>
      <c r="BA4" s="6"/>
      <c r="BB4" s="6"/>
      <c r="BC4" s="6"/>
      <c r="BF4" s="231"/>
      <c r="BG4" s="232"/>
      <c r="BH4" s="232"/>
      <c r="BI4" s="232"/>
      <c r="BJ4" s="233"/>
    </row>
    <row r="5" spans="2:65" ht="20.25" customHeight="1" x14ac:dyDescent="0.25">
      <c r="B5" s="2"/>
      <c r="C5" s="2"/>
      <c r="D5" s="2"/>
      <c r="E5" s="2"/>
      <c r="F5" s="2"/>
      <c r="G5" s="2"/>
      <c r="H5" s="2"/>
      <c r="I5" s="2"/>
      <c r="J5" s="2"/>
      <c r="K5" s="2"/>
      <c r="L5" s="2"/>
      <c r="M5" s="227"/>
      <c r="N5" s="227"/>
      <c r="O5" s="227"/>
      <c r="P5" s="227"/>
      <c r="Q5" s="227"/>
      <c r="R5" s="227"/>
      <c r="S5" s="227"/>
      <c r="T5" s="227"/>
      <c r="U5" s="227"/>
      <c r="V5" s="227"/>
      <c r="W5" s="227"/>
      <c r="X5" s="227"/>
      <c r="Y5" s="227"/>
      <c r="Z5" s="227"/>
      <c r="AA5" s="227"/>
      <c r="AB5" s="227"/>
      <c r="AC5" s="227"/>
      <c r="AD5" s="227"/>
      <c r="AE5" s="227"/>
      <c r="AF5" s="9"/>
      <c r="AG5" s="9"/>
      <c r="AH5" s="9"/>
      <c r="AI5" s="9"/>
      <c r="AJ5" s="9"/>
      <c r="AK5" s="9"/>
      <c r="AL5" s="9"/>
      <c r="AM5" s="9"/>
      <c r="AN5" s="2"/>
      <c r="AO5" s="2"/>
      <c r="AP5" s="2"/>
      <c r="AX5" s="6"/>
      <c r="BA5" s="6"/>
      <c r="BB5" s="6"/>
      <c r="BC5" s="6"/>
    </row>
    <row r="6" spans="2:65" ht="20.25" customHeight="1" thickBot="1" x14ac:dyDescent="0.3">
      <c r="B6" s="2"/>
      <c r="C6" s="2"/>
      <c r="D6" s="2"/>
      <c r="E6" s="2"/>
      <c r="F6" s="2"/>
      <c r="G6" s="2"/>
      <c r="H6" s="2"/>
      <c r="I6" s="2"/>
      <c r="J6" s="2"/>
      <c r="K6" s="2"/>
      <c r="L6" s="2"/>
      <c r="M6" s="235" t="str">
        <f>IF(Setup!AA55="InitialSetup","Click to Begin",Reference!C63)</f>
        <v>Click to Begin</v>
      </c>
      <c r="N6" s="235"/>
      <c r="O6" s="235"/>
      <c r="P6" s="235"/>
      <c r="Q6" s="235"/>
      <c r="R6" s="235"/>
      <c r="S6" s="235"/>
      <c r="T6" s="235"/>
      <c r="U6" s="235"/>
      <c r="V6" s="235"/>
      <c r="W6" s="235"/>
      <c r="X6" s="235"/>
      <c r="Y6" s="235"/>
      <c r="Z6" s="235"/>
      <c r="AA6" s="235"/>
      <c r="AB6" s="235"/>
      <c r="AC6" s="235"/>
      <c r="AD6" s="235"/>
      <c r="AE6" s="235"/>
      <c r="AF6" s="9"/>
      <c r="AG6" s="9"/>
      <c r="AH6" s="9"/>
      <c r="AI6" s="2"/>
      <c r="AJ6" s="2"/>
      <c r="AK6" s="2"/>
      <c r="AL6" s="2"/>
      <c r="AM6" s="2"/>
      <c r="AN6" s="2"/>
      <c r="AO6" s="2"/>
      <c r="AP6" s="2"/>
      <c r="AX6" s="6"/>
      <c r="BA6" s="6"/>
      <c r="BB6" s="6"/>
      <c r="BC6" s="6"/>
    </row>
    <row r="7" spans="2:65" ht="20.25" customHeight="1" x14ac:dyDescent="0.25">
      <c r="B7" s="2"/>
      <c r="C7" s="2"/>
      <c r="D7" s="2"/>
      <c r="E7" s="2"/>
      <c r="F7" s="2"/>
      <c r="G7" s="2"/>
      <c r="H7" s="2"/>
      <c r="I7" s="2"/>
      <c r="J7" s="2"/>
      <c r="K7" s="129"/>
      <c r="L7" s="129"/>
      <c r="M7" s="235"/>
      <c r="N7" s="235"/>
      <c r="O7" s="235"/>
      <c r="P7" s="235"/>
      <c r="Q7" s="235"/>
      <c r="R7" s="235"/>
      <c r="S7" s="235"/>
      <c r="T7" s="235"/>
      <c r="U7" s="235"/>
      <c r="V7" s="235"/>
      <c r="W7" s="235"/>
      <c r="X7" s="235"/>
      <c r="Y7" s="235"/>
      <c r="Z7" s="235"/>
      <c r="AA7" s="235"/>
      <c r="AB7" s="235"/>
      <c r="AC7" s="235"/>
      <c r="AD7" s="235"/>
      <c r="AE7" s="235"/>
      <c r="AF7" s="129"/>
      <c r="AG7" s="129"/>
      <c r="AH7" s="2"/>
      <c r="AI7" s="2"/>
      <c r="AJ7" s="2"/>
      <c r="AK7" s="2"/>
      <c r="AL7" s="2"/>
      <c r="AM7" s="2"/>
      <c r="AN7" s="2"/>
      <c r="AO7" s="2"/>
      <c r="AP7" s="2"/>
      <c r="AX7" s="6"/>
      <c r="BA7" s="6"/>
      <c r="BB7" s="6"/>
      <c r="BC7" s="6"/>
      <c r="BF7" s="228"/>
      <c r="BG7" s="229"/>
      <c r="BH7" s="229"/>
      <c r="BI7" s="229"/>
      <c r="BJ7" s="230"/>
    </row>
    <row r="8" spans="2:65" ht="20.25" customHeight="1" thickBot="1" x14ac:dyDescent="0.3">
      <c r="B8" s="2"/>
      <c r="C8" s="2"/>
      <c r="D8" s="2"/>
      <c r="E8" s="2"/>
      <c r="F8" s="2"/>
      <c r="G8" s="2"/>
      <c r="H8" s="2"/>
      <c r="I8" s="2"/>
      <c r="J8" s="2"/>
      <c r="K8" s="129"/>
      <c r="L8" s="129"/>
      <c r="M8" s="235"/>
      <c r="N8" s="235"/>
      <c r="O8" s="235"/>
      <c r="P8" s="235"/>
      <c r="Q8" s="235"/>
      <c r="R8" s="235"/>
      <c r="S8" s="235"/>
      <c r="T8" s="235"/>
      <c r="U8" s="235"/>
      <c r="V8" s="235"/>
      <c r="W8" s="235"/>
      <c r="X8" s="235"/>
      <c r="Y8" s="235"/>
      <c r="Z8" s="235"/>
      <c r="AA8" s="235"/>
      <c r="AB8" s="235"/>
      <c r="AC8" s="235"/>
      <c r="AD8" s="235"/>
      <c r="AE8" s="235"/>
      <c r="AF8" s="129"/>
      <c r="AG8" s="129"/>
      <c r="AH8" s="2"/>
      <c r="AI8" s="2"/>
      <c r="AJ8" s="2"/>
      <c r="AK8" s="2"/>
      <c r="AL8" s="2"/>
      <c r="AM8" s="2"/>
      <c r="AN8" s="2"/>
      <c r="AO8" s="2"/>
      <c r="AP8" s="2"/>
      <c r="AX8" s="6"/>
      <c r="BA8" s="6"/>
      <c r="BB8" s="6"/>
      <c r="BC8" s="6"/>
      <c r="BF8" s="231"/>
      <c r="BG8" s="232"/>
      <c r="BH8" s="232"/>
      <c r="BI8" s="232"/>
      <c r="BJ8" s="233"/>
    </row>
    <row r="9" spans="2:65" ht="20.25" customHeight="1" x14ac:dyDescent="0.35">
      <c r="B9" s="226" t="str">
        <f>IF(VLOOKUP(AU9,GameLog!F:K,6,0)=0,"",VLOOKUP(AU9,GameLog!F:K,6,0))</f>
        <v/>
      </c>
      <c r="C9" s="226"/>
      <c r="D9" s="226"/>
      <c r="E9" s="226"/>
      <c r="F9" s="226"/>
      <c r="G9" s="226"/>
      <c r="H9" s="226"/>
      <c r="I9" s="226"/>
      <c r="J9" s="226"/>
      <c r="K9" s="226"/>
      <c r="L9" s="226"/>
      <c r="M9" s="226"/>
      <c r="N9" s="226"/>
      <c r="O9" s="226"/>
      <c r="P9" s="226"/>
      <c r="Q9" s="226"/>
      <c r="R9" s="226"/>
      <c r="S9" s="226"/>
      <c r="T9" s="226"/>
      <c r="U9" s="226"/>
      <c r="V9" s="226"/>
      <c r="W9" s="226"/>
      <c r="X9" s="226"/>
      <c r="Y9" s="226"/>
      <c r="Z9" s="226"/>
      <c r="AA9" s="226"/>
      <c r="AB9" s="226"/>
      <c r="AC9" s="226"/>
      <c r="AD9" s="226"/>
      <c r="AE9" s="226"/>
      <c r="AF9" s="226"/>
      <c r="AG9" s="226"/>
      <c r="AH9" s="226"/>
      <c r="AI9" s="226"/>
      <c r="AJ9" s="226"/>
      <c r="AK9" s="226"/>
      <c r="AL9" s="226"/>
      <c r="AM9" s="226"/>
      <c r="AN9" s="226"/>
      <c r="AO9" s="226"/>
      <c r="AP9" s="226"/>
      <c r="AU9" s="6">
        <v>1</v>
      </c>
      <c r="AX9" s="6"/>
      <c r="BA9" s="6"/>
      <c r="BB9" s="6"/>
    </row>
    <row r="10" spans="2:65" ht="20.25" customHeight="1" x14ac:dyDescent="0.35">
      <c r="B10" s="226" t="str">
        <f>IF(VLOOKUP(AU10,GameLog!F:K,6,0)=0,"",VLOOKUP(AU10,GameLog!F:K,6,0))</f>
        <v/>
      </c>
      <c r="C10" s="226"/>
      <c r="D10" s="226"/>
      <c r="E10" s="226"/>
      <c r="F10" s="226"/>
      <c r="G10" s="226"/>
      <c r="H10" s="226"/>
      <c r="I10" s="226"/>
      <c r="J10" s="226"/>
      <c r="K10" s="226"/>
      <c r="L10" s="226"/>
      <c r="M10" s="226"/>
      <c r="N10" s="226"/>
      <c r="O10" s="226"/>
      <c r="P10" s="226"/>
      <c r="Q10" s="226"/>
      <c r="R10" s="226"/>
      <c r="S10" s="226"/>
      <c r="T10" s="226"/>
      <c r="U10" s="226"/>
      <c r="V10" s="226"/>
      <c r="W10" s="226"/>
      <c r="X10" s="226"/>
      <c r="Y10" s="226"/>
      <c r="Z10" s="226"/>
      <c r="AA10" s="226"/>
      <c r="AB10" s="226"/>
      <c r="AC10" s="226"/>
      <c r="AD10" s="226"/>
      <c r="AE10" s="226"/>
      <c r="AF10" s="226"/>
      <c r="AG10" s="226"/>
      <c r="AH10" s="226"/>
      <c r="AI10" s="226"/>
      <c r="AJ10" s="226"/>
      <c r="AK10" s="226"/>
      <c r="AL10" s="226"/>
      <c r="AM10" s="226"/>
      <c r="AN10" s="226"/>
      <c r="AO10" s="226"/>
      <c r="AP10" s="226"/>
      <c r="AU10" s="6">
        <v>2</v>
      </c>
      <c r="AX10" s="6"/>
      <c r="BA10" s="6"/>
      <c r="BB10" s="6"/>
    </row>
    <row r="11" spans="2:65" ht="20.25" customHeight="1" x14ac:dyDescent="0.35">
      <c r="B11" s="226" t="str">
        <f>IF(VLOOKUP(AU11,GameLog!F:K,6,0)=0,"",VLOOKUP(AU11,GameLog!F:K,6,0))</f>
        <v/>
      </c>
      <c r="C11" s="226"/>
      <c r="D11" s="226"/>
      <c r="E11" s="226"/>
      <c r="F11" s="226"/>
      <c r="G11" s="226"/>
      <c r="H11" s="226"/>
      <c r="I11" s="226"/>
      <c r="J11" s="226"/>
      <c r="K11" s="226"/>
      <c r="L11" s="226"/>
      <c r="M11" s="226"/>
      <c r="N11" s="226"/>
      <c r="O11" s="226"/>
      <c r="P11" s="226"/>
      <c r="Q11" s="226"/>
      <c r="R11" s="226"/>
      <c r="S11" s="226"/>
      <c r="T11" s="226"/>
      <c r="U11" s="226"/>
      <c r="V11" s="226"/>
      <c r="W11" s="226"/>
      <c r="X11" s="226"/>
      <c r="Y11" s="226"/>
      <c r="Z11" s="226"/>
      <c r="AA11" s="226"/>
      <c r="AB11" s="226"/>
      <c r="AC11" s="226"/>
      <c r="AD11" s="226"/>
      <c r="AE11" s="226"/>
      <c r="AF11" s="226"/>
      <c r="AG11" s="226"/>
      <c r="AH11" s="226"/>
      <c r="AI11" s="226"/>
      <c r="AJ11" s="226"/>
      <c r="AK11" s="226"/>
      <c r="AL11" s="226"/>
      <c r="AM11" s="226"/>
      <c r="AN11" s="226"/>
      <c r="AO11" s="226"/>
      <c r="AP11" s="226"/>
      <c r="AU11" s="6">
        <v>3</v>
      </c>
      <c r="AX11" s="6"/>
      <c r="BA11" s="6"/>
      <c r="BB11" s="6"/>
      <c r="BF11" s="238"/>
      <c r="BG11" s="238"/>
      <c r="BH11" s="238"/>
      <c r="BI11" s="238"/>
      <c r="BJ11" s="238"/>
      <c r="BK11" s="238"/>
      <c r="BL11" s="238"/>
      <c r="BM11" s="238"/>
    </row>
    <row r="12" spans="2:65" s="71" customFormat="1" ht="20.25" customHeight="1" x14ac:dyDescent="0.35">
      <c r="B12" s="226" t="str">
        <f>IF(VLOOKUP(AU12,GameLog!F:K,6,0)=0,"",VLOOKUP(AU12,GameLog!F:K,6,0))</f>
        <v/>
      </c>
      <c r="C12" s="226"/>
      <c r="D12" s="226"/>
      <c r="E12" s="226"/>
      <c r="F12" s="226"/>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c r="AL12" s="226"/>
      <c r="AM12" s="226"/>
      <c r="AN12" s="226"/>
      <c r="AO12" s="226"/>
      <c r="AP12" s="226"/>
      <c r="AU12" s="6">
        <v>4</v>
      </c>
      <c r="AX12" s="72"/>
      <c r="AY12" s="73"/>
      <c r="AZ12" s="74"/>
      <c r="BA12" s="72"/>
      <c r="BB12" s="72"/>
      <c r="BF12" s="238"/>
      <c r="BG12" s="238"/>
      <c r="BH12" s="238"/>
      <c r="BI12" s="238"/>
      <c r="BJ12" s="238"/>
      <c r="BK12" s="238"/>
      <c r="BL12" s="238"/>
      <c r="BM12" s="238"/>
    </row>
    <row r="13" spans="2:65" s="71" customFormat="1" ht="20.25" customHeight="1" x14ac:dyDescent="0.35">
      <c r="B13" s="226" t="str">
        <f>IF(VLOOKUP(AU13,GameLog!F:K,6,0)=0,"",VLOOKUP(AU13,GameLog!F:K,6,0))</f>
        <v/>
      </c>
      <c r="C13" s="226"/>
      <c r="D13" s="226"/>
      <c r="E13" s="226"/>
      <c r="F13" s="226"/>
      <c r="G13" s="226"/>
      <c r="H13" s="226"/>
      <c r="I13" s="226"/>
      <c r="J13" s="226"/>
      <c r="K13" s="226"/>
      <c r="L13" s="226"/>
      <c r="M13" s="226"/>
      <c r="N13" s="226"/>
      <c r="O13" s="226"/>
      <c r="P13" s="226"/>
      <c r="Q13" s="226"/>
      <c r="R13" s="226"/>
      <c r="S13" s="226"/>
      <c r="T13" s="226"/>
      <c r="U13" s="226"/>
      <c r="V13" s="226"/>
      <c r="W13" s="226"/>
      <c r="X13" s="226"/>
      <c r="Y13" s="226"/>
      <c r="Z13" s="226"/>
      <c r="AA13" s="226"/>
      <c r="AB13" s="226"/>
      <c r="AC13" s="226"/>
      <c r="AD13" s="226"/>
      <c r="AE13" s="226"/>
      <c r="AF13" s="226"/>
      <c r="AG13" s="226"/>
      <c r="AH13" s="226"/>
      <c r="AI13" s="226"/>
      <c r="AJ13" s="226"/>
      <c r="AK13" s="226"/>
      <c r="AL13" s="226"/>
      <c r="AM13" s="226"/>
      <c r="AN13" s="226"/>
      <c r="AO13" s="226"/>
      <c r="AP13" s="226"/>
      <c r="AU13" s="6">
        <v>5</v>
      </c>
      <c r="AX13" s="72"/>
      <c r="AY13" s="73"/>
      <c r="AZ13" s="74"/>
      <c r="BA13" s="72"/>
      <c r="BB13" s="72"/>
    </row>
    <row r="14" spans="2:65" s="71" customFormat="1" ht="20.25" customHeight="1" x14ac:dyDescent="0.35">
      <c r="B14" s="226" t="str">
        <f>IF(VLOOKUP(AU14,GameLog!F:K,6,0)=0,"",VLOOKUP(AU14,GameLog!F:K,6,0))</f>
        <v/>
      </c>
      <c r="C14" s="226"/>
      <c r="D14" s="226"/>
      <c r="E14" s="226"/>
      <c r="F14" s="226"/>
      <c r="G14" s="226"/>
      <c r="H14" s="226"/>
      <c r="I14" s="226"/>
      <c r="J14" s="226"/>
      <c r="K14" s="226"/>
      <c r="L14" s="226"/>
      <c r="M14" s="226"/>
      <c r="N14" s="226"/>
      <c r="O14" s="226"/>
      <c r="P14" s="226"/>
      <c r="Q14" s="226"/>
      <c r="R14" s="226"/>
      <c r="S14" s="226"/>
      <c r="T14" s="226"/>
      <c r="U14" s="226"/>
      <c r="V14" s="226"/>
      <c r="W14" s="226"/>
      <c r="X14" s="226"/>
      <c r="Y14" s="226"/>
      <c r="Z14" s="226"/>
      <c r="AA14" s="226"/>
      <c r="AB14" s="226"/>
      <c r="AC14" s="226"/>
      <c r="AD14" s="226"/>
      <c r="AE14" s="226"/>
      <c r="AF14" s="226"/>
      <c r="AG14" s="226"/>
      <c r="AH14" s="226"/>
      <c r="AI14" s="226"/>
      <c r="AJ14" s="226"/>
      <c r="AK14" s="226"/>
      <c r="AL14" s="226"/>
      <c r="AM14" s="226"/>
      <c r="AN14" s="226"/>
      <c r="AO14" s="226"/>
      <c r="AP14" s="226"/>
      <c r="AU14" s="6">
        <v>6</v>
      </c>
      <c r="AX14" s="72"/>
      <c r="AY14" s="73"/>
      <c r="AZ14" s="74"/>
      <c r="BA14" s="72"/>
      <c r="BB14" s="72"/>
    </row>
    <row r="15" spans="2:65" s="71" customFormat="1" ht="20.25" customHeight="1" x14ac:dyDescent="0.35">
      <c r="B15" s="226" t="str">
        <f>IF(VLOOKUP(AU15,GameLog!F:K,6,0)=0,"",VLOOKUP(AU15,GameLog!F:K,6,0))</f>
        <v/>
      </c>
      <c r="C15" s="226"/>
      <c r="D15" s="226"/>
      <c r="E15" s="226"/>
      <c r="F15" s="226"/>
      <c r="G15" s="226"/>
      <c r="H15" s="226"/>
      <c r="I15" s="226"/>
      <c r="J15" s="226"/>
      <c r="K15" s="226"/>
      <c r="L15" s="226"/>
      <c r="M15" s="226"/>
      <c r="N15" s="226"/>
      <c r="O15" s="226"/>
      <c r="P15" s="226"/>
      <c r="Q15" s="226"/>
      <c r="R15" s="226"/>
      <c r="S15" s="226"/>
      <c r="T15" s="226"/>
      <c r="U15" s="226"/>
      <c r="V15" s="226"/>
      <c r="W15" s="226"/>
      <c r="X15" s="226"/>
      <c r="Y15" s="226"/>
      <c r="Z15" s="226"/>
      <c r="AA15" s="226"/>
      <c r="AB15" s="226"/>
      <c r="AC15" s="226"/>
      <c r="AD15" s="226"/>
      <c r="AE15" s="226"/>
      <c r="AF15" s="226"/>
      <c r="AG15" s="226"/>
      <c r="AH15" s="226"/>
      <c r="AI15" s="226"/>
      <c r="AJ15" s="226"/>
      <c r="AK15" s="226"/>
      <c r="AL15" s="226"/>
      <c r="AM15" s="226"/>
      <c r="AN15" s="226"/>
      <c r="AO15" s="226"/>
      <c r="AP15" s="226"/>
      <c r="AU15" s="6">
        <v>7</v>
      </c>
      <c r="AX15" s="72"/>
      <c r="AY15" s="73"/>
      <c r="AZ15" s="74"/>
      <c r="BA15" s="72"/>
      <c r="BB15" s="72"/>
      <c r="BF15" s="237"/>
      <c r="BG15" s="237"/>
      <c r="BH15" s="237"/>
      <c r="BI15" s="237"/>
      <c r="BJ15" s="237"/>
      <c r="BK15" s="237"/>
      <c r="BL15" s="237"/>
      <c r="BM15" s="237"/>
    </row>
    <row r="16" spans="2:65" s="71" customFormat="1" ht="20.25" customHeight="1" x14ac:dyDescent="0.35">
      <c r="B16" s="226" t="str">
        <f>IF(VLOOKUP(AU16,GameLog!F:K,6,0)=0,"",VLOOKUP(AU16,GameLog!F:K,6,0))</f>
        <v/>
      </c>
      <c r="C16" s="226"/>
      <c r="D16" s="226"/>
      <c r="E16" s="226"/>
      <c r="F16" s="226"/>
      <c r="G16" s="226"/>
      <c r="H16" s="226"/>
      <c r="I16" s="226"/>
      <c r="J16" s="226"/>
      <c r="K16" s="226"/>
      <c r="L16" s="226"/>
      <c r="M16" s="226"/>
      <c r="N16" s="226"/>
      <c r="O16" s="226"/>
      <c r="P16" s="226"/>
      <c r="Q16" s="226"/>
      <c r="R16" s="226"/>
      <c r="S16" s="226"/>
      <c r="T16" s="226"/>
      <c r="U16" s="226"/>
      <c r="V16" s="226"/>
      <c r="W16" s="226"/>
      <c r="X16" s="226"/>
      <c r="Y16" s="226"/>
      <c r="Z16" s="226"/>
      <c r="AA16" s="226"/>
      <c r="AB16" s="226"/>
      <c r="AC16" s="226"/>
      <c r="AD16" s="226"/>
      <c r="AE16" s="226"/>
      <c r="AF16" s="226"/>
      <c r="AG16" s="226"/>
      <c r="AH16" s="226"/>
      <c r="AI16" s="226"/>
      <c r="AJ16" s="226"/>
      <c r="AK16" s="226"/>
      <c r="AL16" s="226"/>
      <c r="AM16" s="226"/>
      <c r="AN16" s="226"/>
      <c r="AO16" s="226"/>
      <c r="AP16" s="226"/>
      <c r="AU16" s="6">
        <v>8</v>
      </c>
      <c r="AX16" s="72"/>
      <c r="AY16" s="73"/>
      <c r="AZ16" s="74"/>
      <c r="BA16" s="72"/>
      <c r="BB16" s="72"/>
      <c r="BF16" s="237"/>
      <c r="BG16" s="237"/>
      <c r="BH16" s="237"/>
      <c r="BI16" s="237"/>
      <c r="BJ16" s="237"/>
      <c r="BK16" s="237"/>
      <c r="BL16" s="237"/>
      <c r="BM16" s="237"/>
    </row>
    <row r="17" spans="2:54" s="71" customFormat="1" ht="20.25" customHeight="1" x14ac:dyDescent="0.35">
      <c r="B17" s="226" t="str">
        <f>IF(VLOOKUP(AU17,GameLog!F:K,6,0)=0,"",VLOOKUP(AU17,GameLog!F:K,6,0))</f>
        <v/>
      </c>
      <c r="C17" s="226"/>
      <c r="D17" s="226"/>
      <c r="E17" s="226"/>
      <c r="F17" s="226"/>
      <c r="G17" s="226"/>
      <c r="H17" s="226"/>
      <c r="I17" s="226"/>
      <c r="J17" s="226"/>
      <c r="K17" s="226"/>
      <c r="L17" s="226"/>
      <c r="M17" s="226"/>
      <c r="N17" s="226"/>
      <c r="O17" s="226"/>
      <c r="P17" s="226"/>
      <c r="Q17" s="226"/>
      <c r="R17" s="226"/>
      <c r="S17" s="226"/>
      <c r="T17" s="226"/>
      <c r="U17" s="226"/>
      <c r="V17" s="226"/>
      <c r="W17" s="226"/>
      <c r="X17" s="226"/>
      <c r="Y17" s="226"/>
      <c r="Z17" s="226"/>
      <c r="AA17" s="226"/>
      <c r="AB17" s="226"/>
      <c r="AC17" s="226"/>
      <c r="AD17" s="226"/>
      <c r="AE17" s="226"/>
      <c r="AF17" s="226"/>
      <c r="AG17" s="226"/>
      <c r="AH17" s="226"/>
      <c r="AI17" s="226"/>
      <c r="AJ17" s="226"/>
      <c r="AK17" s="226"/>
      <c r="AL17" s="226"/>
      <c r="AM17" s="226"/>
      <c r="AN17" s="226"/>
      <c r="AO17" s="226"/>
      <c r="AP17" s="226"/>
      <c r="AU17" s="6">
        <v>9</v>
      </c>
      <c r="AX17" s="72"/>
      <c r="AY17" s="73"/>
      <c r="AZ17" s="74"/>
      <c r="BA17" s="72"/>
      <c r="BB17" s="72"/>
    </row>
    <row r="18" spans="2:54" s="71" customFormat="1" ht="20.25" customHeight="1" x14ac:dyDescent="0.35">
      <c r="B18" s="226" t="str">
        <f>IF(VLOOKUP(AU18,GameLog!F:K,6,0)=0,"",VLOOKUP(AU18,GameLog!F:K,6,0))</f>
        <v/>
      </c>
      <c r="C18" s="226"/>
      <c r="D18" s="226"/>
      <c r="E18" s="226"/>
      <c r="F18" s="226"/>
      <c r="G18" s="226"/>
      <c r="H18" s="226"/>
      <c r="I18" s="226"/>
      <c r="J18" s="226"/>
      <c r="K18" s="226"/>
      <c r="L18" s="226"/>
      <c r="M18" s="226"/>
      <c r="N18" s="226"/>
      <c r="O18" s="226"/>
      <c r="P18" s="226"/>
      <c r="Q18" s="226"/>
      <c r="R18" s="226"/>
      <c r="S18" s="226"/>
      <c r="T18" s="226"/>
      <c r="U18" s="226"/>
      <c r="V18" s="226"/>
      <c r="W18" s="226"/>
      <c r="X18" s="226"/>
      <c r="Y18" s="226"/>
      <c r="Z18" s="226"/>
      <c r="AA18" s="226"/>
      <c r="AB18" s="226"/>
      <c r="AC18" s="226"/>
      <c r="AD18" s="226"/>
      <c r="AE18" s="226"/>
      <c r="AF18" s="226"/>
      <c r="AG18" s="226"/>
      <c r="AH18" s="226"/>
      <c r="AI18" s="226"/>
      <c r="AJ18" s="226"/>
      <c r="AK18" s="226"/>
      <c r="AL18" s="226"/>
      <c r="AM18" s="226"/>
      <c r="AN18" s="226"/>
      <c r="AO18" s="226"/>
      <c r="AP18" s="226"/>
      <c r="AU18" s="6">
        <v>10</v>
      </c>
      <c r="AX18" s="72"/>
      <c r="AY18" s="73"/>
      <c r="AZ18" s="74"/>
      <c r="BA18" s="72"/>
      <c r="BB18" s="72"/>
    </row>
    <row r="19" spans="2:54" s="71" customFormat="1" ht="20.25" customHeight="1" x14ac:dyDescent="0.35">
      <c r="B19" s="226" t="str">
        <f>IF(VLOOKUP(AU19,GameLog!F:K,6,0)=0,"",VLOOKUP(AU19,GameLog!F:K,6,0))</f>
        <v/>
      </c>
      <c r="C19" s="226"/>
      <c r="D19" s="226"/>
      <c r="E19" s="226"/>
      <c r="F19" s="226"/>
      <c r="G19" s="226"/>
      <c r="H19" s="226"/>
      <c r="I19" s="226"/>
      <c r="J19" s="226"/>
      <c r="K19" s="226"/>
      <c r="L19" s="226"/>
      <c r="M19" s="226"/>
      <c r="N19" s="226"/>
      <c r="O19" s="226"/>
      <c r="P19" s="226"/>
      <c r="Q19" s="226"/>
      <c r="R19" s="226"/>
      <c r="S19" s="226"/>
      <c r="T19" s="226"/>
      <c r="U19" s="226"/>
      <c r="V19" s="226"/>
      <c r="W19" s="226"/>
      <c r="X19" s="226"/>
      <c r="Y19" s="226"/>
      <c r="Z19" s="226"/>
      <c r="AA19" s="226"/>
      <c r="AB19" s="226"/>
      <c r="AC19" s="226"/>
      <c r="AD19" s="226"/>
      <c r="AE19" s="226"/>
      <c r="AF19" s="226"/>
      <c r="AG19" s="226"/>
      <c r="AH19" s="226"/>
      <c r="AI19" s="226"/>
      <c r="AJ19" s="226"/>
      <c r="AK19" s="226"/>
      <c r="AL19" s="226"/>
      <c r="AM19" s="226"/>
      <c r="AN19" s="226"/>
      <c r="AO19" s="226"/>
      <c r="AP19" s="226"/>
      <c r="AU19" s="6">
        <v>11</v>
      </c>
      <c r="AX19" s="72"/>
      <c r="AY19" s="73"/>
      <c r="AZ19" s="74"/>
      <c r="BA19" s="72"/>
      <c r="BB19" s="72"/>
    </row>
    <row r="20" spans="2:54" s="71" customFormat="1" ht="20.25" customHeight="1" x14ac:dyDescent="0.35">
      <c r="B20" s="226" t="str">
        <f>IF(VLOOKUP(AU20,GameLog!F:K,6,0)=0,"",VLOOKUP(AU20,GameLog!F:K,6,0))</f>
        <v/>
      </c>
      <c r="C20" s="226"/>
      <c r="D20" s="226"/>
      <c r="E20" s="226"/>
      <c r="F20" s="226"/>
      <c r="G20" s="226"/>
      <c r="H20" s="226"/>
      <c r="I20" s="226"/>
      <c r="J20" s="226"/>
      <c r="K20" s="226"/>
      <c r="L20" s="226"/>
      <c r="M20" s="226"/>
      <c r="N20" s="226"/>
      <c r="O20" s="226"/>
      <c r="P20" s="226"/>
      <c r="Q20" s="226"/>
      <c r="R20" s="226"/>
      <c r="S20" s="226"/>
      <c r="T20" s="226"/>
      <c r="U20" s="226"/>
      <c r="V20" s="226"/>
      <c r="W20" s="226"/>
      <c r="X20" s="226"/>
      <c r="Y20" s="226"/>
      <c r="Z20" s="226"/>
      <c r="AA20" s="226"/>
      <c r="AB20" s="226"/>
      <c r="AC20" s="226"/>
      <c r="AD20" s="226"/>
      <c r="AE20" s="226"/>
      <c r="AF20" s="226"/>
      <c r="AG20" s="226"/>
      <c r="AH20" s="226"/>
      <c r="AI20" s="226"/>
      <c r="AJ20" s="226"/>
      <c r="AK20" s="226"/>
      <c r="AL20" s="226"/>
      <c r="AM20" s="226"/>
      <c r="AN20" s="226"/>
      <c r="AO20" s="226"/>
      <c r="AP20" s="226"/>
      <c r="AU20" s="6">
        <v>12</v>
      </c>
      <c r="AX20" s="72"/>
      <c r="AY20" s="73"/>
      <c r="AZ20" s="74"/>
      <c r="BA20" s="72"/>
      <c r="BB20" s="72"/>
    </row>
    <row r="21" spans="2:54" s="71" customFormat="1" ht="20.25" customHeight="1" x14ac:dyDescent="0.35">
      <c r="B21" s="226" t="str">
        <f>IF(VLOOKUP(AU21,GameLog!F:K,6,0)=0,"",VLOOKUP(AU21,GameLog!F:K,6,0))</f>
        <v/>
      </c>
      <c r="C21" s="226"/>
      <c r="D21" s="226"/>
      <c r="E21" s="226"/>
      <c r="F21" s="226"/>
      <c r="G21" s="226"/>
      <c r="H21" s="226"/>
      <c r="I21" s="226"/>
      <c r="J21" s="226"/>
      <c r="K21" s="226"/>
      <c r="L21" s="226"/>
      <c r="M21" s="226"/>
      <c r="N21" s="226"/>
      <c r="O21" s="226"/>
      <c r="P21" s="226"/>
      <c r="Q21" s="226"/>
      <c r="R21" s="226"/>
      <c r="S21" s="226"/>
      <c r="T21" s="226"/>
      <c r="U21" s="226"/>
      <c r="V21" s="226"/>
      <c r="W21" s="226"/>
      <c r="X21" s="226"/>
      <c r="Y21" s="226"/>
      <c r="Z21" s="226"/>
      <c r="AA21" s="226"/>
      <c r="AB21" s="226"/>
      <c r="AC21" s="226"/>
      <c r="AD21" s="226"/>
      <c r="AE21" s="226"/>
      <c r="AF21" s="226"/>
      <c r="AG21" s="226"/>
      <c r="AH21" s="226"/>
      <c r="AI21" s="226"/>
      <c r="AJ21" s="226"/>
      <c r="AK21" s="226"/>
      <c r="AL21" s="226"/>
      <c r="AM21" s="226"/>
      <c r="AN21" s="226"/>
      <c r="AO21" s="226"/>
      <c r="AP21" s="226"/>
      <c r="AU21" s="6">
        <v>13</v>
      </c>
      <c r="AX21" s="72"/>
      <c r="AY21" s="73"/>
      <c r="AZ21" s="74"/>
      <c r="BA21" s="72"/>
      <c r="BB21" s="72"/>
    </row>
    <row r="22" spans="2:54" s="71" customFormat="1" ht="20.25" customHeight="1" x14ac:dyDescent="0.35">
      <c r="B22" s="226" t="str">
        <f>IF(VLOOKUP(AU22,GameLog!F:K,6,0)=0,"",VLOOKUP(AU22,GameLog!F:K,6,0))</f>
        <v/>
      </c>
      <c r="C22" s="226"/>
      <c r="D22" s="226"/>
      <c r="E22" s="226"/>
      <c r="F22" s="226"/>
      <c r="G22" s="226"/>
      <c r="H22" s="226"/>
      <c r="I22" s="226"/>
      <c r="J22" s="226"/>
      <c r="K22" s="226"/>
      <c r="L22" s="226"/>
      <c r="M22" s="226"/>
      <c r="N22" s="226"/>
      <c r="O22" s="226"/>
      <c r="P22" s="226"/>
      <c r="Q22" s="226"/>
      <c r="R22" s="226"/>
      <c r="S22" s="226"/>
      <c r="T22" s="226"/>
      <c r="U22" s="226"/>
      <c r="V22" s="226"/>
      <c r="W22" s="226"/>
      <c r="X22" s="226"/>
      <c r="Y22" s="226"/>
      <c r="Z22" s="226"/>
      <c r="AA22" s="226"/>
      <c r="AB22" s="226"/>
      <c r="AC22" s="226"/>
      <c r="AD22" s="226"/>
      <c r="AE22" s="226"/>
      <c r="AF22" s="226"/>
      <c r="AG22" s="226"/>
      <c r="AH22" s="226"/>
      <c r="AI22" s="226"/>
      <c r="AJ22" s="226"/>
      <c r="AK22" s="226"/>
      <c r="AL22" s="226"/>
      <c r="AM22" s="226"/>
      <c r="AN22" s="226"/>
      <c r="AO22" s="226"/>
      <c r="AP22" s="226"/>
      <c r="AU22" s="6">
        <v>14</v>
      </c>
      <c r="AX22" s="72"/>
      <c r="AY22" s="73"/>
      <c r="AZ22" s="74"/>
      <c r="BA22" s="72"/>
      <c r="BB22" s="72"/>
    </row>
    <row r="23" spans="2:54" s="71" customFormat="1" ht="20.25" customHeight="1" x14ac:dyDescent="0.35">
      <c r="B23" s="226" t="str">
        <f>IF(VLOOKUP(AU23,GameLog!F:K,6,0)=0,"",VLOOKUP(AU23,GameLog!F:K,6,0))</f>
        <v/>
      </c>
      <c r="C23" s="226"/>
      <c r="D23" s="226"/>
      <c r="E23" s="226"/>
      <c r="F23" s="226"/>
      <c r="G23" s="226"/>
      <c r="H23" s="226"/>
      <c r="I23" s="226"/>
      <c r="J23" s="226"/>
      <c r="K23" s="226"/>
      <c r="L23" s="226"/>
      <c r="M23" s="226"/>
      <c r="N23" s="226"/>
      <c r="O23" s="226"/>
      <c r="P23" s="226"/>
      <c r="Q23" s="226"/>
      <c r="R23" s="226"/>
      <c r="S23" s="226"/>
      <c r="T23" s="226"/>
      <c r="U23" s="226"/>
      <c r="V23" s="226"/>
      <c r="W23" s="226"/>
      <c r="X23" s="226"/>
      <c r="Y23" s="226"/>
      <c r="Z23" s="226"/>
      <c r="AA23" s="226"/>
      <c r="AB23" s="226"/>
      <c r="AC23" s="226"/>
      <c r="AD23" s="226"/>
      <c r="AE23" s="226"/>
      <c r="AF23" s="226"/>
      <c r="AG23" s="226"/>
      <c r="AH23" s="226"/>
      <c r="AI23" s="226"/>
      <c r="AJ23" s="226"/>
      <c r="AK23" s="226"/>
      <c r="AL23" s="226"/>
      <c r="AM23" s="226"/>
      <c r="AN23" s="226"/>
      <c r="AO23" s="226"/>
      <c r="AP23" s="226"/>
      <c r="AU23" s="6">
        <v>15</v>
      </c>
      <c r="AX23" s="72"/>
      <c r="AY23" s="73"/>
      <c r="AZ23" s="74"/>
      <c r="BA23" s="72"/>
      <c r="BB23" s="72"/>
    </row>
    <row r="24" spans="2:54" s="71" customFormat="1" ht="20.25" customHeight="1" x14ac:dyDescent="0.35">
      <c r="B24" s="226" t="str">
        <f>IF(VLOOKUP(AU24,GameLog!F:K,6,0)=0,"",VLOOKUP(AU24,GameLog!F:K,6,0))</f>
        <v/>
      </c>
      <c r="C24" s="226"/>
      <c r="D24" s="226"/>
      <c r="E24" s="226"/>
      <c r="F24" s="226"/>
      <c r="G24" s="226"/>
      <c r="H24" s="226"/>
      <c r="I24" s="226"/>
      <c r="J24" s="226"/>
      <c r="K24" s="226"/>
      <c r="L24" s="226"/>
      <c r="M24" s="226"/>
      <c r="N24" s="226"/>
      <c r="O24" s="226"/>
      <c r="P24" s="226"/>
      <c r="Q24" s="226"/>
      <c r="R24" s="226"/>
      <c r="S24" s="226"/>
      <c r="T24" s="226"/>
      <c r="U24" s="226"/>
      <c r="V24" s="226"/>
      <c r="W24" s="226"/>
      <c r="X24" s="226"/>
      <c r="Y24" s="226"/>
      <c r="Z24" s="226"/>
      <c r="AA24" s="226"/>
      <c r="AB24" s="226"/>
      <c r="AC24" s="226"/>
      <c r="AD24" s="226"/>
      <c r="AE24" s="226"/>
      <c r="AF24" s="226"/>
      <c r="AG24" s="226"/>
      <c r="AH24" s="226"/>
      <c r="AI24" s="226"/>
      <c r="AJ24" s="226"/>
      <c r="AK24" s="226"/>
      <c r="AL24" s="226"/>
      <c r="AM24" s="226"/>
      <c r="AN24" s="226"/>
      <c r="AO24" s="226"/>
      <c r="AP24" s="226"/>
      <c r="AU24" s="6">
        <v>16</v>
      </c>
      <c r="AX24" s="72"/>
      <c r="AY24" s="73"/>
      <c r="AZ24" s="81"/>
      <c r="BA24" s="72"/>
      <c r="BB24" s="72"/>
    </row>
    <row r="25" spans="2:54" s="71" customFormat="1" ht="20.25" customHeight="1" x14ac:dyDescent="0.35">
      <c r="B25" s="226" t="str">
        <f>IF(VLOOKUP(AU25,GameLog!F:K,6,0)=0,"",VLOOKUP(AU25,GameLog!F:K,6,0))</f>
        <v/>
      </c>
      <c r="C25" s="226"/>
      <c r="D25" s="226"/>
      <c r="E25" s="226"/>
      <c r="F25" s="226"/>
      <c r="G25" s="226"/>
      <c r="H25" s="226"/>
      <c r="I25" s="226"/>
      <c r="J25" s="226"/>
      <c r="K25" s="226"/>
      <c r="L25" s="226"/>
      <c r="M25" s="226"/>
      <c r="N25" s="226"/>
      <c r="O25" s="226"/>
      <c r="P25" s="226"/>
      <c r="Q25" s="226"/>
      <c r="R25" s="226"/>
      <c r="S25" s="226"/>
      <c r="T25" s="226"/>
      <c r="U25" s="226"/>
      <c r="V25" s="226"/>
      <c r="W25" s="226"/>
      <c r="X25" s="226"/>
      <c r="Y25" s="226"/>
      <c r="Z25" s="226"/>
      <c r="AA25" s="226"/>
      <c r="AB25" s="226"/>
      <c r="AC25" s="226"/>
      <c r="AD25" s="226"/>
      <c r="AE25" s="226"/>
      <c r="AF25" s="226"/>
      <c r="AG25" s="226"/>
      <c r="AH25" s="226"/>
      <c r="AI25" s="226"/>
      <c r="AJ25" s="226"/>
      <c r="AK25" s="226"/>
      <c r="AL25" s="226"/>
      <c r="AM25" s="226"/>
      <c r="AN25" s="226"/>
      <c r="AO25" s="226"/>
      <c r="AP25" s="226"/>
      <c r="AU25" s="6">
        <v>17</v>
      </c>
      <c r="AX25" s="72"/>
      <c r="AY25" s="73"/>
      <c r="AZ25" s="81"/>
      <c r="BA25" s="72"/>
      <c r="BB25" s="72"/>
    </row>
    <row r="26" spans="2:54" s="71" customFormat="1" ht="20.25" customHeight="1" x14ac:dyDescent="0.35">
      <c r="B26" s="226" t="str">
        <f>IF(VLOOKUP(AU26,GameLog!F:K,6,0)=0,"",VLOOKUP(AU26,GameLog!F:K,6,0))</f>
        <v/>
      </c>
      <c r="C26" s="226"/>
      <c r="D26" s="226"/>
      <c r="E26" s="226"/>
      <c r="F26" s="226"/>
      <c r="G26" s="226"/>
      <c r="H26" s="226"/>
      <c r="I26" s="226"/>
      <c r="J26" s="226"/>
      <c r="K26" s="226"/>
      <c r="L26" s="226"/>
      <c r="M26" s="226"/>
      <c r="N26" s="226"/>
      <c r="O26" s="226"/>
      <c r="P26" s="226"/>
      <c r="Q26" s="226"/>
      <c r="R26" s="226"/>
      <c r="S26" s="226"/>
      <c r="T26" s="226"/>
      <c r="U26" s="226"/>
      <c r="V26" s="226"/>
      <c r="W26" s="226"/>
      <c r="X26" s="226"/>
      <c r="Y26" s="226"/>
      <c r="Z26" s="226"/>
      <c r="AA26" s="226"/>
      <c r="AB26" s="226"/>
      <c r="AC26" s="226"/>
      <c r="AD26" s="226"/>
      <c r="AE26" s="226"/>
      <c r="AF26" s="226"/>
      <c r="AG26" s="226"/>
      <c r="AH26" s="226"/>
      <c r="AI26" s="226"/>
      <c r="AJ26" s="226"/>
      <c r="AK26" s="226"/>
      <c r="AL26" s="226"/>
      <c r="AM26" s="226"/>
      <c r="AN26" s="226"/>
      <c r="AO26" s="226"/>
      <c r="AP26" s="226"/>
      <c r="AU26" s="6">
        <v>18</v>
      </c>
      <c r="AX26" s="72"/>
      <c r="AZ26" s="82"/>
    </row>
    <row r="27" spans="2:54" s="71" customFormat="1" ht="20.25" customHeight="1" x14ac:dyDescent="0.35">
      <c r="B27" s="226" t="str">
        <f>IF(VLOOKUP(AU27,GameLog!F:K,6,0)=0,"",VLOOKUP(AU27,GameLog!F:K,6,0))</f>
        <v/>
      </c>
      <c r="C27" s="226"/>
      <c r="D27" s="226"/>
      <c r="E27" s="226"/>
      <c r="F27" s="226"/>
      <c r="G27" s="226"/>
      <c r="H27" s="226"/>
      <c r="I27" s="226"/>
      <c r="J27" s="226"/>
      <c r="K27" s="226"/>
      <c r="L27" s="226"/>
      <c r="M27" s="226"/>
      <c r="N27" s="226"/>
      <c r="O27" s="226"/>
      <c r="P27" s="226"/>
      <c r="Q27" s="226"/>
      <c r="R27" s="226"/>
      <c r="S27" s="226"/>
      <c r="T27" s="226"/>
      <c r="U27" s="226"/>
      <c r="V27" s="226"/>
      <c r="W27" s="226"/>
      <c r="X27" s="226"/>
      <c r="Y27" s="226"/>
      <c r="Z27" s="226"/>
      <c r="AA27" s="226"/>
      <c r="AB27" s="226"/>
      <c r="AC27" s="226"/>
      <c r="AD27" s="226"/>
      <c r="AE27" s="226"/>
      <c r="AF27" s="226"/>
      <c r="AG27" s="226"/>
      <c r="AH27" s="226"/>
      <c r="AI27" s="226"/>
      <c r="AJ27" s="226"/>
      <c r="AK27" s="226"/>
      <c r="AL27" s="226"/>
      <c r="AM27" s="226"/>
      <c r="AN27" s="226"/>
      <c r="AO27" s="226"/>
      <c r="AP27" s="226"/>
      <c r="AU27" s="6">
        <v>19</v>
      </c>
      <c r="AX27" s="72"/>
      <c r="AZ27" s="82"/>
    </row>
    <row r="28" spans="2:54" s="71" customFormat="1" ht="20.25" customHeight="1" x14ac:dyDescent="0.35">
      <c r="B28" s="226" t="str">
        <f>IF(VLOOKUP(AU28,GameLog!F:K,6,0)=0,"",VLOOKUP(AU28,GameLog!F:K,6,0))</f>
        <v/>
      </c>
      <c r="C28" s="226"/>
      <c r="D28" s="226"/>
      <c r="E28" s="226"/>
      <c r="F28" s="226"/>
      <c r="G28" s="226"/>
      <c r="H28" s="226"/>
      <c r="I28" s="226"/>
      <c r="J28" s="226"/>
      <c r="K28" s="226"/>
      <c r="L28" s="226"/>
      <c r="M28" s="226"/>
      <c r="N28" s="226"/>
      <c r="O28" s="226"/>
      <c r="P28" s="226"/>
      <c r="Q28" s="226"/>
      <c r="R28" s="226"/>
      <c r="S28" s="226"/>
      <c r="T28" s="226"/>
      <c r="U28" s="226"/>
      <c r="V28" s="226"/>
      <c r="W28" s="226"/>
      <c r="X28" s="226"/>
      <c r="Y28" s="226"/>
      <c r="Z28" s="226"/>
      <c r="AA28" s="226"/>
      <c r="AB28" s="226"/>
      <c r="AC28" s="226"/>
      <c r="AD28" s="226"/>
      <c r="AE28" s="226"/>
      <c r="AF28" s="226"/>
      <c r="AG28" s="226"/>
      <c r="AH28" s="226"/>
      <c r="AI28" s="226"/>
      <c r="AJ28" s="226"/>
      <c r="AK28" s="226"/>
      <c r="AL28" s="226"/>
      <c r="AM28" s="226"/>
      <c r="AN28" s="226"/>
      <c r="AO28" s="226"/>
      <c r="AP28" s="226"/>
      <c r="AU28" s="6">
        <v>20</v>
      </c>
      <c r="AX28" s="72"/>
      <c r="AZ28" s="82"/>
    </row>
    <row r="29" spans="2:54" s="71" customFormat="1" ht="20.25" customHeight="1" x14ac:dyDescent="0.35">
      <c r="B29" s="226" t="str">
        <f>IF(VLOOKUP(AU29,GameLog!F:K,6,0)=0,"",VLOOKUP(AU29,GameLog!F:K,6,0))</f>
        <v/>
      </c>
      <c r="C29" s="226"/>
      <c r="D29" s="226"/>
      <c r="E29" s="226"/>
      <c r="F29" s="226"/>
      <c r="G29" s="226"/>
      <c r="H29" s="226"/>
      <c r="I29" s="226"/>
      <c r="J29" s="226"/>
      <c r="K29" s="226"/>
      <c r="L29" s="226"/>
      <c r="M29" s="226"/>
      <c r="N29" s="226"/>
      <c r="O29" s="226"/>
      <c r="P29" s="226"/>
      <c r="Q29" s="226"/>
      <c r="R29" s="226"/>
      <c r="S29" s="226"/>
      <c r="T29" s="226"/>
      <c r="U29" s="226"/>
      <c r="V29" s="226"/>
      <c r="W29" s="226"/>
      <c r="X29" s="226"/>
      <c r="Y29" s="226"/>
      <c r="Z29" s="226"/>
      <c r="AA29" s="226"/>
      <c r="AB29" s="226"/>
      <c r="AC29" s="226"/>
      <c r="AD29" s="226"/>
      <c r="AE29" s="226"/>
      <c r="AF29" s="226"/>
      <c r="AG29" s="226"/>
      <c r="AH29" s="226"/>
      <c r="AI29" s="226"/>
      <c r="AJ29" s="226"/>
      <c r="AK29" s="226"/>
      <c r="AL29" s="226"/>
      <c r="AM29" s="226"/>
      <c r="AN29" s="226"/>
      <c r="AO29" s="226"/>
      <c r="AP29" s="226"/>
      <c r="AU29" s="6">
        <v>21</v>
      </c>
      <c r="AX29" s="72"/>
      <c r="AZ29" s="82"/>
    </row>
    <row r="30" spans="2:54" s="71" customFormat="1" ht="20.25" customHeight="1" x14ac:dyDescent="0.35">
      <c r="B30" s="226" t="str">
        <f>IF(VLOOKUP(AU30,GameLog!F:K,6,0)=0,"",VLOOKUP(AU30,GameLog!F:K,6,0))</f>
        <v/>
      </c>
      <c r="C30" s="226"/>
      <c r="D30" s="226"/>
      <c r="E30" s="226"/>
      <c r="F30" s="226"/>
      <c r="G30" s="226"/>
      <c r="H30" s="226"/>
      <c r="I30" s="226"/>
      <c r="J30" s="226"/>
      <c r="K30" s="226"/>
      <c r="L30" s="226"/>
      <c r="M30" s="226"/>
      <c r="N30" s="226"/>
      <c r="O30" s="226"/>
      <c r="P30" s="226"/>
      <c r="Q30" s="226"/>
      <c r="R30" s="226"/>
      <c r="S30" s="226"/>
      <c r="T30" s="226"/>
      <c r="U30" s="226"/>
      <c r="V30" s="226"/>
      <c r="W30" s="226"/>
      <c r="X30" s="226"/>
      <c r="Y30" s="226"/>
      <c r="Z30" s="226"/>
      <c r="AA30" s="226"/>
      <c r="AB30" s="226"/>
      <c r="AC30" s="226"/>
      <c r="AD30" s="226"/>
      <c r="AE30" s="226"/>
      <c r="AF30" s="226"/>
      <c r="AG30" s="226"/>
      <c r="AH30" s="226"/>
      <c r="AI30" s="226"/>
      <c r="AJ30" s="226"/>
      <c r="AK30" s="226"/>
      <c r="AL30" s="226"/>
      <c r="AM30" s="226"/>
      <c r="AN30" s="226"/>
      <c r="AO30" s="226"/>
      <c r="AP30" s="226"/>
      <c r="AU30" s="6">
        <v>22</v>
      </c>
      <c r="AX30" s="72"/>
      <c r="AZ30" s="82"/>
    </row>
    <row r="31" spans="2:54" s="71" customFormat="1" ht="20.25" customHeight="1" x14ac:dyDescent="0.35">
      <c r="B31" s="226" t="str">
        <f>IF(VLOOKUP(AU31,GameLog!F:K,6,0)=0,"",VLOOKUP(AU31,GameLog!F:K,6,0))</f>
        <v/>
      </c>
      <c r="C31" s="226"/>
      <c r="D31" s="226"/>
      <c r="E31" s="226"/>
      <c r="F31" s="226"/>
      <c r="G31" s="226"/>
      <c r="H31" s="226"/>
      <c r="I31" s="226"/>
      <c r="J31" s="226"/>
      <c r="K31" s="226"/>
      <c r="L31" s="226"/>
      <c r="M31" s="226"/>
      <c r="N31" s="226"/>
      <c r="O31" s="226"/>
      <c r="P31" s="226"/>
      <c r="Q31" s="226"/>
      <c r="R31" s="226"/>
      <c r="S31" s="226"/>
      <c r="T31" s="226"/>
      <c r="U31" s="226"/>
      <c r="V31" s="226"/>
      <c r="W31" s="226"/>
      <c r="X31" s="226"/>
      <c r="Y31" s="226"/>
      <c r="Z31" s="226"/>
      <c r="AA31" s="226"/>
      <c r="AB31" s="226"/>
      <c r="AC31" s="226"/>
      <c r="AD31" s="226"/>
      <c r="AE31" s="226"/>
      <c r="AF31" s="226"/>
      <c r="AG31" s="226"/>
      <c r="AH31" s="226"/>
      <c r="AI31" s="226"/>
      <c r="AJ31" s="226"/>
      <c r="AK31" s="226"/>
      <c r="AL31" s="226"/>
      <c r="AM31" s="226"/>
      <c r="AN31" s="226"/>
      <c r="AO31" s="226"/>
      <c r="AP31" s="226"/>
      <c r="AU31" s="6">
        <v>23</v>
      </c>
      <c r="AX31" s="72"/>
      <c r="AZ31" s="82"/>
    </row>
    <row r="32" spans="2:54" s="71" customFormat="1" ht="20.25" customHeight="1" x14ac:dyDescent="0.35">
      <c r="B32" s="226" t="str">
        <f>IF(VLOOKUP(AU32,GameLog!F:K,6,0)=0,"",VLOOKUP(AU32,GameLog!F:K,6,0))</f>
        <v/>
      </c>
      <c r="C32" s="226"/>
      <c r="D32" s="226"/>
      <c r="E32" s="226"/>
      <c r="F32" s="226"/>
      <c r="G32" s="226"/>
      <c r="H32" s="226"/>
      <c r="I32" s="226"/>
      <c r="J32" s="226"/>
      <c r="K32" s="226"/>
      <c r="L32" s="226"/>
      <c r="M32" s="226"/>
      <c r="N32" s="226"/>
      <c r="O32" s="226"/>
      <c r="P32" s="226"/>
      <c r="Q32" s="226"/>
      <c r="R32" s="226"/>
      <c r="S32" s="226"/>
      <c r="T32" s="226"/>
      <c r="U32" s="226"/>
      <c r="V32" s="226"/>
      <c r="W32" s="226"/>
      <c r="X32" s="226"/>
      <c r="Y32" s="226"/>
      <c r="Z32" s="226"/>
      <c r="AA32" s="226"/>
      <c r="AB32" s="226"/>
      <c r="AC32" s="226"/>
      <c r="AD32" s="226"/>
      <c r="AE32" s="226"/>
      <c r="AF32" s="226"/>
      <c r="AG32" s="226"/>
      <c r="AH32" s="226"/>
      <c r="AI32" s="226"/>
      <c r="AJ32" s="226"/>
      <c r="AK32" s="226"/>
      <c r="AL32" s="226"/>
      <c r="AM32" s="226"/>
      <c r="AN32" s="226"/>
      <c r="AO32" s="226"/>
      <c r="AP32" s="226"/>
      <c r="AU32" s="6">
        <v>24</v>
      </c>
      <c r="AX32" s="72"/>
      <c r="AZ32" s="82"/>
    </row>
    <row r="33" spans="1:52" s="71" customFormat="1" ht="20.25" customHeight="1" x14ac:dyDescent="0.35">
      <c r="B33" s="226" t="str">
        <f>IF(VLOOKUP(AU33,GameLog!F:K,6,0)=0,"",VLOOKUP(AU33,GameLog!F:K,6,0))</f>
        <v/>
      </c>
      <c r="C33" s="226"/>
      <c r="D33" s="226"/>
      <c r="E33" s="226"/>
      <c r="F33" s="226"/>
      <c r="G33" s="226"/>
      <c r="H33" s="226"/>
      <c r="I33" s="226"/>
      <c r="J33" s="226"/>
      <c r="K33" s="226"/>
      <c r="L33" s="226"/>
      <c r="M33" s="226"/>
      <c r="N33" s="226"/>
      <c r="O33" s="226"/>
      <c r="P33" s="226"/>
      <c r="Q33" s="226"/>
      <c r="R33" s="226"/>
      <c r="S33" s="226"/>
      <c r="T33" s="226"/>
      <c r="U33" s="226"/>
      <c r="V33" s="226"/>
      <c r="W33" s="226"/>
      <c r="X33" s="226"/>
      <c r="Y33" s="226"/>
      <c r="Z33" s="226"/>
      <c r="AA33" s="226"/>
      <c r="AB33" s="226"/>
      <c r="AC33" s="226"/>
      <c r="AD33" s="226"/>
      <c r="AE33" s="226"/>
      <c r="AF33" s="226"/>
      <c r="AG33" s="226"/>
      <c r="AH33" s="226"/>
      <c r="AI33" s="226"/>
      <c r="AJ33" s="226"/>
      <c r="AK33" s="226"/>
      <c r="AL33" s="226"/>
      <c r="AM33" s="226"/>
      <c r="AN33" s="226"/>
      <c r="AO33" s="226"/>
      <c r="AP33" s="226"/>
      <c r="AU33" s="6">
        <v>25</v>
      </c>
      <c r="AX33" s="72"/>
      <c r="AZ33" s="82"/>
    </row>
    <row r="34" spans="1:52" ht="20.25" customHeight="1" x14ac:dyDescent="0.35">
      <c r="B34" s="226" t="str">
        <f>IF(VLOOKUP(AU34,GameLog!F:K,6,0)=0,"",VLOOKUP(AU34,GameLog!F:K,6,0))</f>
        <v/>
      </c>
      <c r="C34" s="226"/>
      <c r="D34" s="226"/>
      <c r="E34" s="226"/>
      <c r="F34" s="226"/>
      <c r="G34" s="226"/>
      <c r="H34" s="226"/>
      <c r="I34" s="226"/>
      <c r="J34" s="226"/>
      <c r="K34" s="226"/>
      <c r="L34" s="226"/>
      <c r="M34" s="226"/>
      <c r="N34" s="226"/>
      <c r="O34" s="226"/>
      <c r="P34" s="226"/>
      <c r="Q34" s="226"/>
      <c r="R34" s="226"/>
      <c r="S34" s="226"/>
      <c r="T34" s="226"/>
      <c r="U34" s="226"/>
      <c r="V34" s="226"/>
      <c r="W34" s="226"/>
      <c r="X34" s="226"/>
      <c r="Y34" s="226"/>
      <c r="Z34" s="226"/>
      <c r="AA34" s="226"/>
      <c r="AB34" s="226"/>
      <c r="AC34" s="226"/>
      <c r="AD34" s="226"/>
      <c r="AE34" s="226"/>
      <c r="AF34" s="226"/>
      <c r="AG34" s="226"/>
      <c r="AH34" s="226"/>
      <c r="AI34" s="226"/>
      <c r="AJ34" s="226"/>
      <c r="AK34" s="226"/>
      <c r="AL34" s="226"/>
      <c r="AM34" s="226"/>
      <c r="AN34" s="226"/>
      <c r="AO34" s="226"/>
      <c r="AP34" s="226"/>
      <c r="AU34" s="6">
        <v>26</v>
      </c>
      <c r="AX34" s="6"/>
      <c r="AY34" s="1"/>
      <c r="AZ34" s="83"/>
    </row>
    <row r="35" spans="1:52" ht="20.25" customHeight="1" x14ac:dyDescent="0.35">
      <c r="B35" s="226" t="str">
        <f>IF(VLOOKUP(AU35,GameLog!F:K,6,0)=0,"",VLOOKUP(AU35,GameLog!F:K,6,0))</f>
        <v/>
      </c>
      <c r="C35" s="226"/>
      <c r="D35" s="226"/>
      <c r="E35" s="226"/>
      <c r="F35" s="226"/>
      <c r="G35" s="226"/>
      <c r="H35" s="226"/>
      <c r="I35" s="226"/>
      <c r="J35" s="226"/>
      <c r="K35" s="226"/>
      <c r="L35" s="226"/>
      <c r="M35" s="226"/>
      <c r="N35" s="226"/>
      <c r="O35" s="226"/>
      <c r="P35" s="226"/>
      <c r="Q35" s="226"/>
      <c r="R35" s="226"/>
      <c r="S35" s="226"/>
      <c r="T35" s="226"/>
      <c r="U35" s="226"/>
      <c r="V35" s="226"/>
      <c r="W35" s="226"/>
      <c r="X35" s="226"/>
      <c r="Y35" s="226"/>
      <c r="Z35" s="226"/>
      <c r="AA35" s="226"/>
      <c r="AB35" s="226"/>
      <c r="AC35" s="226"/>
      <c r="AD35" s="226"/>
      <c r="AE35" s="226"/>
      <c r="AF35" s="226"/>
      <c r="AG35" s="226"/>
      <c r="AH35" s="226"/>
      <c r="AI35" s="226"/>
      <c r="AJ35" s="226"/>
      <c r="AK35" s="226"/>
      <c r="AL35" s="226"/>
      <c r="AM35" s="226"/>
      <c r="AN35" s="226"/>
      <c r="AO35" s="226"/>
      <c r="AP35" s="226"/>
      <c r="AU35" s="6">
        <v>27</v>
      </c>
      <c r="AX35" s="6"/>
      <c r="AY35" s="1"/>
      <c r="AZ35" s="83"/>
    </row>
    <row r="36" spans="1:52" ht="22.5" customHeight="1" x14ac:dyDescent="0.25">
      <c r="C36" s="236"/>
      <c r="D36" s="236"/>
      <c r="E36" s="236"/>
      <c r="F36" s="236"/>
      <c r="G36" s="236"/>
      <c r="H36" s="236"/>
      <c r="I36" s="236"/>
      <c r="J36" s="236"/>
      <c r="K36" s="236"/>
      <c r="L36" s="236"/>
      <c r="M36" s="236"/>
      <c r="N36" s="236"/>
      <c r="O36" s="236"/>
      <c r="P36" s="236"/>
      <c r="Q36" s="236"/>
      <c r="R36" s="236"/>
      <c r="S36" s="236"/>
      <c r="T36" s="236"/>
      <c r="U36" s="236"/>
      <c r="V36" s="236"/>
      <c r="W36" s="236"/>
      <c r="X36" s="236"/>
      <c r="Y36" s="236"/>
      <c r="Z36" s="236"/>
      <c r="AA36" s="236"/>
      <c r="AB36" s="236"/>
      <c r="AC36" s="236"/>
      <c r="AD36" s="236"/>
      <c r="AE36" s="236"/>
      <c r="AF36" s="236"/>
      <c r="AG36" s="236"/>
      <c r="AH36" s="236"/>
      <c r="AI36" s="236"/>
      <c r="AJ36" s="236"/>
      <c r="AK36" s="236"/>
      <c r="AL36" s="236"/>
      <c r="AM36" s="236"/>
      <c r="AN36" s="236"/>
      <c r="AO36" s="236"/>
      <c r="AX36" s="6"/>
      <c r="AY36" s="1"/>
      <c r="AZ36" s="1"/>
    </row>
    <row r="37" spans="1:52" ht="22.5" customHeight="1" x14ac:dyDescent="0.25">
      <c r="C37" s="236"/>
      <c r="D37" s="236"/>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36"/>
      <c r="AC37" s="236"/>
      <c r="AD37" s="236"/>
      <c r="AE37" s="236"/>
      <c r="AF37" s="236"/>
      <c r="AG37" s="236"/>
      <c r="AH37" s="236"/>
      <c r="AI37" s="236"/>
      <c r="AJ37" s="236"/>
      <c r="AK37" s="236"/>
      <c r="AL37" s="236"/>
      <c r="AM37" s="236"/>
      <c r="AN37" s="236"/>
      <c r="AO37" s="236"/>
      <c r="AX37" s="6"/>
    </row>
    <row r="38" spans="1:52" x14ac:dyDescent="0.25">
      <c r="AX38" s="6"/>
    </row>
    <row r="39" spans="1:52" x14ac:dyDescent="0.25">
      <c r="AX39" s="6"/>
    </row>
    <row r="40" spans="1:52" x14ac:dyDescent="0.25">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V40" s="6"/>
      <c r="AW40" s="6"/>
      <c r="AX40" s="6"/>
    </row>
    <row r="41" spans="1:52" x14ac:dyDescent="0.25">
      <c r="A41" s="6" t="str">
        <f>IF(ISNA(VLOOKUP(Setup!AA48,Reference!E50:F51,2,0)),"NoColor",VLOOKUP(Setup!AA48,Reference!E50:F51,2,0))</f>
        <v>NoColor</v>
      </c>
      <c r="B41" s="6" t="s">
        <v>1317</v>
      </c>
      <c r="C41" s="6"/>
      <c r="D41" s="6"/>
      <c r="E41" s="6"/>
      <c r="AX41" s="6"/>
    </row>
    <row r="42" spans="1:52" x14ac:dyDescent="0.25">
      <c r="A42" s="6" t="str">
        <f>MapReference!A7</f>
        <v>RandomSetupOk</v>
      </c>
      <c r="B42" s="6"/>
      <c r="C42" s="6"/>
      <c r="D42" s="6"/>
      <c r="E42" s="6"/>
      <c r="AX42" s="6"/>
    </row>
    <row r="43" spans="1:52" x14ac:dyDescent="0.25">
      <c r="A43" s="6"/>
      <c r="B43" s="6"/>
      <c r="C43" s="6"/>
      <c r="D43" s="6"/>
      <c r="E43" s="6"/>
    </row>
    <row r="44" spans="1:52" x14ac:dyDescent="0.25">
      <c r="A44" s="6"/>
      <c r="B44" s="6"/>
      <c r="C44" s="6"/>
      <c r="D44" s="6"/>
      <c r="E44" s="6"/>
    </row>
    <row r="45" spans="1:52" x14ac:dyDescent="0.25">
      <c r="A45" s="6"/>
      <c r="B45" s="6"/>
      <c r="C45" s="6"/>
      <c r="D45" s="6"/>
      <c r="E45" s="6"/>
    </row>
    <row r="46" spans="1:52" x14ac:dyDescent="0.25">
      <c r="A46" s="6"/>
      <c r="B46" s="6"/>
      <c r="C46" s="6"/>
      <c r="D46" s="6"/>
      <c r="E46" s="6"/>
    </row>
    <row r="47" spans="1:52" x14ac:dyDescent="0.25">
      <c r="A47" s="6"/>
      <c r="B47" s="6"/>
      <c r="C47" s="6"/>
      <c r="D47" s="6"/>
      <c r="E47" s="6"/>
    </row>
    <row r="48" spans="1:52" x14ac:dyDescent="0.25">
      <c r="A48" s="6"/>
      <c r="B48" s="6"/>
      <c r="C48" s="6"/>
      <c r="D48" s="6"/>
      <c r="E48" s="6"/>
    </row>
  </sheetData>
  <sheetProtection sheet="1" objects="1" scenarios="1" selectLockedCells="1" selectUnlockedCells="1"/>
  <mergeCells count="36">
    <mergeCell ref="B17:AP17"/>
    <mergeCell ref="B16:AP16"/>
    <mergeCell ref="B15:AP15"/>
    <mergeCell ref="B14:AP14"/>
    <mergeCell ref="B23:AP23"/>
    <mergeCell ref="B22:AP22"/>
    <mergeCell ref="B21:AP21"/>
    <mergeCell ref="B26:AP26"/>
    <mergeCell ref="B25:AP25"/>
    <mergeCell ref="B24:AP24"/>
    <mergeCell ref="B18:AP18"/>
    <mergeCell ref="B20:AP20"/>
    <mergeCell ref="C36:AO36"/>
    <mergeCell ref="C37:AO37"/>
    <mergeCell ref="BF15:BM16"/>
    <mergeCell ref="BF11:BM12"/>
    <mergeCell ref="B35:AP35"/>
    <mergeCell ref="B34:AP34"/>
    <mergeCell ref="B33:AP33"/>
    <mergeCell ref="B32:AP32"/>
    <mergeCell ref="B31:AP31"/>
    <mergeCell ref="B30:AP30"/>
    <mergeCell ref="B29:AP29"/>
    <mergeCell ref="B19:AP19"/>
    <mergeCell ref="B13:AP13"/>
    <mergeCell ref="B12:AP12"/>
    <mergeCell ref="B28:AP28"/>
    <mergeCell ref="B27:AP27"/>
    <mergeCell ref="B11:AP11"/>
    <mergeCell ref="B10:AP10"/>
    <mergeCell ref="B9:AP9"/>
    <mergeCell ref="M4:AE5"/>
    <mergeCell ref="BF3:BJ4"/>
    <mergeCell ref="BF7:BJ8"/>
    <mergeCell ref="M2:AE3"/>
    <mergeCell ref="M6:AE8"/>
  </mergeCells>
  <conditionalFormatting sqref="BF11:BM12 BF15:BM16">
    <cfRule type="expression" dxfId="465" priority="6">
      <formula>$BC$2=2</formula>
    </cfRule>
  </conditionalFormatting>
  <conditionalFormatting sqref="BF11:BM12">
    <cfRule type="expression" dxfId="464" priority="5">
      <formula>$BC$2=3</formula>
    </cfRule>
  </conditionalFormatting>
  <conditionalFormatting sqref="A1:A36 B1:AQ1 AQ2:AQ35 B36:AQ36">
    <cfRule type="expression" dxfId="463" priority="3">
      <formula>$A$41="Blue"</formula>
    </cfRule>
    <cfRule type="expression" dxfId="462" priority="4">
      <formula>$A$41="Red"</formula>
    </cfRule>
  </conditionalFormatting>
  <conditionalFormatting sqref="M4:AE8">
    <cfRule type="expression" dxfId="461" priority="1">
      <formula>$A$41="Blue"</formula>
    </cfRule>
    <cfRule type="expression" dxfId="460" priority="2">
      <formula>$A$41="Red"</formula>
    </cfRule>
  </conditionalFormatting>
  <dataValidations count="1">
    <dataValidation showInputMessage="1" showErrorMessage="1" sqref="BF7:BJ8 BF3:BJ4"/>
  </dataValidations>
  <pageMargins left="0.7" right="0.7" top="0.75" bottom="0.75" header="0.3" footer="0.3"/>
  <pageSetup orientation="portrait" horizontalDpi="300" verticalDpi="300" r:id="rId1"/>
  <drawing r:id="rId2"/>
  <picture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PT149"/>
  <sheetViews>
    <sheetView showGridLines="0" workbookViewId="0">
      <selection activeCell="AD44" sqref="AD44:AM45"/>
    </sheetView>
  </sheetViews>
  <sheetFormatPr defaultColWidth="3.42578125" defaultRowHeight="15" customHeight="1" x14ac:dyDescent="0.25"/>
  <cols>
    <col min="1" max="1" width="4" style="51" customWidth="1"/>
    <col min="2" max="33" width="3.42578125" style="51" customWidth="1"/>
    <col min="34" max="35" width="1.7109375" style="86" customWidth="1"/>
    <col min="36" max="38" width="3.42578125" style="51" customWidth="1"/>
    <col min="39" max="39" width="2.7109375" style="51" customWidth="1"/>
    <col min="40" max="67" width="3.42578125" style="51" customWidth="1"/>
    <col min="68" max="70" width="3.42578125" style="51"/>
    <col min="71" max="72" width="3.42578125" style="51" customWidth="1"/>
    <col min="73" max="85" width="3.42578125" style="51"/>
    <col min="86" max="86" width="6.85546875" style="51" bestFit="1" customWidth="1"/>
    <col min="87" max="16384" width="3.42578125" style="51"/>
  </cols>
  <sheetData>
    <row r="1" spans="1:14632" ht="12" customHeight="1" x14ac:dyDescent="0.25">
      <c r="A1" s="107" t="s">
        <v>813</v>
      </c>
      <c r="B1" s="107"/>
      <c r="C1" s="107"/>
      <c r="D1" s="184"/>
      <c r="E1" s="184"/>
      <c r="F1" s="184"/>
      <c r="G1" s="184"/>
      <c r="H1" s="184"/>
      <c r="I1" s="184"/>
      <c r="J1" s="184"/>
      <c r="K1" s="257" t="str">
        <f>BattleRef!X7</f>
        <v/>
      </c>
      <c r="L1" s="257"/>
      <c r="M1" s="257"/>
      <c r="N1" s="257"/>
      <c r="O1" s="257"/>
      <c r="P1" s="257"/>
      <c r="Q1" s="257"/>
      <c r="R1" s="257"/>
      <c r="S1" s="257"/>
      <c r="T1" s="257"/>
      <c r="U1" s="257"/>
      <c r="V1" s="257"/>
      <c r="W1" s="257"/>
      <c r="X1" s="257"/>
      <c r="Y1" s="252" t="str">
        <f>IF(Setup!AA45="Normal Game",BattleRef!E5,Setup!AA45)</f>
        <v>Initiative Game</v>
      </c>
      <c r="Z1" s="252"/>
      <c r="AA1" s="252"/>
      <c r="AB1" s="252"/>
      <c r="AC1" s="252"/>
      <c r="AD1" s="252"/>
      <c r="AE1" s="252"/>
      <c r="AF1" s="252"/>
      <c r="AG1" s="252"/>
      <c r="AH1" s="252"/>
      <c r="AI1" s="252"/>
      <c r="AJ1" s="252"/>
      <c r="AK1" s="252"/>
      <c r="AL1" s="252"/>
      <c r="AM1" s="252"/>
      <c r="AN1" s="252"/>
      <c r="AO1" s="252"/>
      <c r="AP1" s="252"/>
      <c r="AQ1" s="252"/>
      <c r="AR1" s="252"/>
      <c r="AS1" s="257" t="str">
        <f>BattleRef!X8</f>
        <v/>
      </c>
      <c r="AT1" s="257"/>
      <c r="AU1" s="257"/>
      <c r="AV1" s="257"/>
      <c r="AW1" s="257"/>
      <c r="AX1" s="257"/>
      <c r="AY1" s="257"/>
      <c r="AZ1" s="257"/>
      <c r="BA1" s="257"/>
      <c r="BB1" s="257"/>
      <c r="BC1" s="257"/>
      <c r="BD1" s="257"/>
      <c r="BE1" s="257"/>
      <c r="BF1" s="257"/>
      <c r="BG1" s="185"/>
      <c r="BH1" s="185"/>
      <c r="BI1" s="185"/>
      <c r="BJ1" s="185"/>
      <c r="BK1" s="185"/>
      <c r="BL1" s="185"/>
      <c r="BM1" s="185"/>
      <c r="BN1" s="107"/>
      <c r="BO1" s="107"/>
    </row>
    <row r="2" spans="1:14632" ht="15" customHeight="1" x14ac:dyDescent="0.25">
      <c r="A2" s="107"/>
      <c r="B2" s="255" t="e">
        <f>IF(Setup!AC45="Initiative Game","",VLOOKUP("PL1",BattleRef!E3:F4,2,0))</f>
        <v>#N/A</v>
      </c>
      <c r="C2" s="255"/>
      <c r="D2" s="255"/>
      <c r="E2" s="255"/>
      <c r="F2" s="243" t="str">
        <f>IF(ISNA(VLOOKUP(Setup!AC19,'PL1'!H:J,3,0)),":-:-:-:-:-:-:-:-:-:-:-:-:",VLOOKUP(Setup!AC19,'PL1'!H:J,3,0))</f>
        <v>:-:-:-:-:-:-:-:-:-:-:-:-:</v>
      </c>
      <c r="G2" s="243"/>
      <c r="H2" s="243"/>
      <c r="I2" s="243"/>
      <c r="J2" s="243"/>
      <c r="K2" s="243"/>
      <c r="L2" s="243"/>
      <c r="M2" s="243"/>
      <c r="N2" s="243"/>
      <c r="O2" s="243"/>
      <c r="P2" s="243"/>
      <c r="Q2" s="243"/>
      <c r="R2" s="243"/>
      <c r="S2" s="243"/>
      <c r="T2" s="243"/>
      <c r="U2" s="243"/>
      <c r="V2" s="243"/>
      <c r="W2" s="243"/>
      <c r="X2" s="243"/>
      <c r="Y2" s="243"/>
      <c r="Z2" s="243"/>
      <c r="AA2" s="243"/>
      <c r="AB2" s="243"/>
      <c r="AC2" s="243"/>
      <c r="AD2" s="245" t="e">
        <f>IF(Setup!AC45="Initiative Game","",IF(DefenseRef!C12="NeedDefense",VLOOKUP(Setup!AC49,Setup!Z19:AE20,6,0)&amp;" Choose Defense",BattleRef!E11))</f>
        <v>#N/A</v>
      </c>
      <c r="AE2" s="245"/>
      <c r="AF2" s="245"/>
      <c r="AG2" s="245"/>
      <c r="AH2" s="245"/>
      <c r="AI2" s="245"/>
      <c r="AJ2" s="245"/>
      <c r="AK2" s="245"/>
      <c r="AL2" s="245"/>
      <c r="AM2" s="245"/>
      <c r="AN2" s="244" t="str">
        <f>IF(ISNA(VLOOKUP(Setup!AC20,'PL2'!H:J,3,0)),":-:-:-:-:-:-:-:-:-:-:-:-:",VLOOKUP(Setup!AC20,'PL2'!H:J,3,0))</f>
        <v>:-:-:-:-:-:-:-:-:-:-:-:-:</v>
      </c>
      <c r="AO2" s="244"/>
      <c r="AP2" s="244"/>
      <c r="AQ2" s="244"/>
      <c r="AR2" s="244"/>
      <c r="AS2" s="244"/>
      <c r="AT2" s="244"/>
      <c r="AU2" s="244"/>
      <c r="AV2" s="244"/>
      <c r="AW2" s="244"/>
      <c r="AX2" s="244"/>
      <c r="AY2" s="244"/>
      <c r="AZ2" s="244"/>
      <c r="BA2" s="244"/>
      <c r="BB2" s="244"/>
      <c r="BC2" s="244"/>
      <c r="BD2" s="244"/>
      <c r="BE2" s="244"/>
      <c r="BF2" s="244"/>
      <c r="BG2" s="244"/>
      <c r="BH2" s="244"/>
      <c r="BI2" s="244"/>
      <c r="BJ2" s="244"/>
      <c r="BK2" s="244"/>
      <c r="BL2" s="255" t="e">
        <f>IF(Setup!AC45="Initiative Game","",VLOOKUP("PL2",BattleRef!E3:F4,2,0))</f>
        <v>#N/A</v>
      </c>
      <c r="BM2" s="255"/>
      <c r="BN2" s="255"/>
      <c r="BO2" s="255"/>
    </row>
    <row r="3" spans="1:14632" ht="15" customHeight="1" x14ac:dyDescent="0.25">
      <c r="A3" s="107"/>
      <c r="B3" s="255"/>
      <c r="C3" s="255"/>
      <c r="D3" s="255"/>
      <c r="E3" s="255"/>
      <c r="F3" s="243"/>
      <c r="G3" s="243"/>
      <c r="H3" s="243"/>
      <c r="I3" s="243"/>
      <c r="J3" s="243"/>
      <c r="K3" s="243"/>
      <c r="L3" s="243"/>
      <c r="M3" s="243"/>
      <c r="N3" s="243"/>
      <c r="O3" s="243"/>
      <c r="P3" s="243"/>
      <c r="Q3" s="243"/>
      <c r="R3" s="243"/>
      <c r="S3" s="243"/>
      <c r="T3" s="243"/>
      <c r="U3" s="243"/>
      <c r="V3" s="243"/>
      <c r="W3" s="243"/>
      <c r="X3" s="243"/>
      <c r="Y3" s="243"/>
      <c r="Z3" s="243"/>
      <c r="AA3" s="243"/>
      <c r="AB3" s="243"/>
      <c r="AC3" s="243"/>
      <c r="AD3" s="245"/>
      <c r="AE3" s="245"/>
      <c r="AF3" s="245"/>
      <c r="AG3" s="245"/>
      <c r="AH3" s="245"/>
      <c r="AI3" s="245"/>
      <c r="AJ3" s="245"/>
      <c r="AK3" s="245"/>
      <c r="AL3" s="245"/>
      <c r="AM3" s="245"/>
      <c r="AN3" s="244"/>
      <c r="AO3" s="244"/>
      <c r="AP3" s="244"/>
      <c r="AQ3" s="244"/>
      <c r="AR3" s="244"/>
      <c r="AS3" s="244"/>
      <c r="AT3" s="244"/>
      <c r="AU3" s="244"/>
      <c r="AV3" s="244"/>
      <c r="AW3" s="244"/>
      <c r="AX3" s="244"/>
      <c r="AY3" s="244"/>
      <c r="AZ3" s="244"/>
      <c r="BA3" s="244"/>
      <c r="BB3" s="244"/>
      <c r="BC3" s="244"/>
      <c r="BD3" s="244"/>
      <c r="BE3" s="244"/>
      <c r="BF3" s="244"/>
      <c r="BG3" s="244"/>
      <c r="BH3" s="244"/>
      <c r="BI3" s="244"/>
      <c r="BJ3" s="244"/>
      <c r="BK3" s="244"/>
      <c r="BL3" s="255"/>
      <c r="BM3" s="255"/>
      <c r="BN3" s="255"/>
      <c r="BO3" s="255"/>
    </row>
    <row r="4" spans="1:14632" ht="15" customHeight="1" x14ac:dyDescent="0.25">
      <c r="A4" s="107"/>
      <c r="B4" s="177"/>
      <c r="C4" s="177"/>
      <c r="D4" s="177"/>
      <c r="E4" s="177"/>
      <c r="F4" s="256" t="str">
        <f>IF(ISNA(IF(VLOOKUP(Setup!AC19,'PL1'!H:N,7,0)=0,"",VLOOKUP(Setup!AC19,'PL1'!H:N,7,0))),":-:-:-:",IF(VLOOKUP(Setup!AC19,'PL1'!H:N,7,0)=0,"",VLOOKUP(Setup!AC19,'PL1'!H:N,7,0)))</f>
        <v>:-:-:-:</v>
      </c>
      <c r="G4" s="256"/>
      <c r="H4" s="256"/>
      <c r="I4" s="256"/>
      <c r="J4" s="256"/>
      <c r="K4" s="256"/>
      <c r="L4" s="256"/>
      <c r="M4" s="256"/>
      <c r="N4" s="256"/>
      <c r="O4" s="256"/>
      <c r="P4" s="256"/>
      <c r="Q4" s="256"/>
      <c r="R4" s="256"/>
      <c r="S4" s="256"/>
      <c r="T4" s="256"/>
      <c r="U4" s="256"/>
      <c r="V4" s="256"/>
      <c r="W4" s="256"/>
      <c r="X4" s="256"/>
      <c r="Y4" s="256"/>
      <c r="Z4" s="256"/>
      <c r="AA4" s="256"/>
      <c r="AB4" s="256"/>
      <c r="AC4" s="256"/>
      <c r="AD4" s="245"/>
      <c r="AE4" s="245"/>
      <c r="AF4" s="245"/>
      <c r="AG4" s="245"/>
      <c r="AH4" s="245"/>
      <c r="AI4" s="245"/>
      <c r="AJ4" s="245"/>
      <c r="AK4" s="245"/>
      <c r="AL4" s="245"/>
      <c r="AM4" s="245"/>
      <c r="AN4" s="242" t="str">
        <f>IF(ISNA(IF(VLOOKUP(Setup!AC20,'PL2'!H:N,7,0)=0,"",VLOOKUP(Setup!AC20,'PL2'!H:N,7,0))),":-:-:-:",IF(VLOOKUP(Setup!AC20,'PL2'!H:N,7,0)=0,"",VLOOKUP(Setup!AC20,'PL2'!H:N,7,0)))</f>
        <v>:-:-:-:</v>
      </c>
      <c r="AO4" s="242"/>
      <c r="AP4" s="242"/>
      <c r="AQ4" s="242"/>
      <c r="AR4" s="242"/>
      <c r="AS4" s="242"/>
      <c r="AT4" s="242"/>
      <c r="AU4" s="242"/>
      <c r="AV4" s="242"/>
      <c r="AW4" s="242"/>
      <c r="AX4" s="242"/>
      <c r="AY4" s="242"/>
      <c r="AZ4" s="242"/>
      <c r="BA4" s="242"/>
      <c r="BB4" s="242"/>
      <c r="BC4" s="242"/>
      <c r="BD4" s="242"/>
      <c r="BE4" s="242"/>
      <c r="BF4" s="242"/>
      <c r="BG4" s="242"/>
      <c r="BH4" s="242"/>
      <c r="BI4" s="242"/>
      <c r="BJ4" s="242"/>
      <c r="BK4" s="242"/>
      <c r="BL4" s="177"/>
      <c r="BM4" s="177"/>
      <c r="BN4" s="177"/>
      <c r="BO4" s="177"/>
    </row>
    <row r="5" spans="1:14632" s="66" customFormat="1" ht="15" customHeight="1" x14ac:dyDescent="0.25">
      <c r="A5" s="107"/>
      <c r="B5" s="177"/>
      <c r="C5" s="177"/>
      <c r="D5" s="177"/>
      <c r="E5" s="177"/>
      <c r="F5" s="243" t="str">
        <f>IF(ISNA(VLOOKUP(Setup!AD19,'PL1'!H:J,3,0)),"",VLOOKUP(Setup!AD19,'PL1'!H:J,3,0))</f>
        <v/>
      </c>
      <c r="G5" s="243"/>
      <c r="H5" s="243"/>
      <c r="I5" s="243"/>
      <c r="J5" s="243"/>
      <c r="K5" s="243"/>
      <c r="L5" s="243"/>
      <c r="M5" s="243"/>
      <c r="N5" s="243"/>
      <c r="O5" s="243"/>
      <c r="P5" s="243"/>
      <c r="Q5" s="243"/>
      <c r="R5" s="243"/>
      <c r="S5" s="243"/>
      <c r="T5" s="243"/>
      <c r="U5" s="243"/>
      <c r="V5" s="243"/>
      <c r="W5" s="243"/>
      <c r="X5" s="243"/>
      <c r="Y5" s="243"/>
      <c r="Z5" s="243"/>
      <c r="AA5" s="243"/>
      <c r="AB5" s="243"/>
      <c r="AC5" s="243"/>
      <c r="AD5" s="246" t="str">
        <f>IF(Setup!AC45="Initiative Game","",IF(DefenseRef!C12="NeedDefense","",BattleRef!E12))</f>
        <v/>
      </c>
      <c r="AE5" s="246"/>
      <c r="AF5" s="246"/>
      <c r="AG5" s="246"/>
      <c r="AH5" s="246"/>
      <c r="AI5" s="246"/>
      <c r="AJ5" s="246"/>
      <c r="AK5" s="246"/>
      <c r="AL5" s="246"/>
      <c r="AM5" s="246"/>
      <c r="AN5" s="244" t="str">
        <f>IF(ISNA(VLOOKUP(Setup!AD20,'PL2'!H:J,3,0)),"",VLOOKUP(Setup!AD20,'PL2'!H:J,3,0))</f>
        <v/>
      </c>
      <c r="AO5" s="244"/>
      <c r="AP5" s="244"/>
      <c r="AQ5" s="244"/>
      <c r="AR5" s="244"/>
      <c r="AS5" s="244"/>
      <c r="AT5" s="244"/>
      <c r="AU5" s="244"/>
      <c r="AV5" s="244"/>
      <c r="AW5" s="244"/>
      <c r="AX5" s="244"/>
      <c r="AY5" s="244"/>
      <c r="AZ5" s="244"/>
      <c r="BA5" s="244"/>
      <c r="BB5" s="244"/>
      <c r="BC5" s="244"/>
      <c r="BD5" s="244"/>
      <c r="BE5" s="244"/>
      <c r="BF5" s="244"/>
      <c r="BG5" s="244"/>
      <c r="BH5" s="244"/>
      <c r="BI5" s="244"/>
      <c r="BJ5" s="244"/>
      <c r="BK5" s="244"/>
      <c r="BL5" s="177"/>
      <c r="BM5" s="177"/>
      <c r="BN5" s="177"/>
      <c r="BO5" s="177"/>
      <c r="BP5" s="51"/>
    </row>
    <row r="6" spans="1:14632" s="66" customFormat="1" ht="15" customHeight="1" x14ac:dyDescent="0.25">
      <c r="A6" s="65"/>
      <c r="B6" s="177"/>
      <c r="C6" s="177"/>
      <c r="D6" s="177"/>
      <c r="E6" s="177"/>
      <c r="F6" s="243"/>
      <c r="G6" s="243"/>
      <c r="H6" s="243"/>
      <c r="I6" s="243"/>
      <c r="J6" s="243"/>
      <c r="K6" s="243"/>
      <c r="L6" s="243"/>
      <c r="M6" s="243"/>
      <c r="N6" s="243"/>
      <c r="O6" s="243"/>
      <c r="P6" s="243"/>
      <c r="Q6" s="243"/>
      <c r="R6" s="243"/>
      <c r="S6" s="243"/>
      <c r="T6" s="243"/>
      <c r="U6" s="243"/>
      <c r="V6" s="243"/>
      <c r="W6" s="243"/>
      <c r="X6" s="243"/>
      <c r="Y6" s="243"/>
      <c r="Z6" s="243"/>
      <c r="AA6" s="243"/>
      <c r="AB6" s="243"/>
      <c r="AC6" s="243"/>
      <c r="AD6" s="246"/>
      <c r="AE6" s="246"/>
      <c r="AF6" s="246"/>
      <c r="AG6" s="246"/>
      <c r="AH6" s="246"/>
      <c r="AI6" s="246"/>
      <c r="AJ6" s="246"/>
      <c r="AK6" s="246"/>
      <c r="AL6" s="246"/>
      <c r="AM6" s="246"/>
      <c r="AN6" s="244"/>
      <c r="AO6" s="244"/>
      <c r="AP6" s="244"/>
      <c r="AQ6" s="244"/>
      <c r="AR6" s="244"/>
      <c r="AS6" s="244"/>
      <c r="AT6" s="244"/>
      <c r="AU6" s="244"/>
      <c r="AV6" s="244"/>
      <c r="AW6" s="244"/>
      <c r="AX6" s="244"/>
      <c r="AY6" s="244"/>
      <c r="AZ6" s="244"/>
      <c r="BA6" s="244"/>
      <c r="BB6" s="244"/>
      <c r="BC6" s="244"/>
      <c r="BD6" s="244"/>
      <c r="BE6" s="244"/>
      <c r="BF6" s="244"/>
      <c r="BG6" s="244"/>
      <c r="BH6" s="244"/>
      <c r="BI6" s="244"/>
      <c r="BJ6" s="244"/>
      <c r="BK6" s="244"/>
      <c r="BL6" s="177"/>
      <c r="BM6" s="177"/>
      <c r="BN6" s="177"/>
      <c r="BO6" s="177"/>
    </row>
    <row r="7" spans="1:14632" s="66" customFormat="1" ht="15" customHeight="1" x14ac:dyDescent="0.25">
      <c r="A7" s="65"/>
      <c r="B7" s="177"/>
      <c r="C7" s="177"/>
      <c r="D7" s="177"/>
      <c r="E7" s="177"/>
      <c r="F7" s="241" t="str">
        <f>IF(ISNA(VLOOKUP(Setup!AD19,'PL1'!H:N,7,0)),"",IF(VLOOKUP(Setup!AD19,'PL1'!H:N,7,0)=0,"",VLOOKUP(Setup!AD19,'PL1'!H:N,7,0)))</f>
        <v/>
      </c>
      <c r="G7" s="241"/>
      <c r="H7" s="241"/>
      <c r="I7" s="241"/>
      <c r="J7" s="241"/>
      <c r="K7" s="241"/>
      <c r="L7" s="241"/>
      <c r="M7" s="241"/>
      <c r="N7" s="241"/>
      <c r="O7" s="241"/>
      <c r="P7" s="241"/>
      <c r="Q7" s="241"/>
      <c r="R7" s="241"/>
      <c r="S7" s="241"/>
      <c r="T7" s="241"/>
      <c r="U7" s="241"/>
      <c r="V7" s="241"/>
      <c r="W7" s="241"/>
      <c r="X7" s="241"/>
      <c r="Y7" s="241"/>
      <c r="Z7" s="241"/>
      <c r="AA7" s="241"/>
      <c r="AB7" s="241"/>
      <c r="AC7" s="241"/>
      <c r="AD7" s="246"/>
      <c r="AE7" s="246"/>
      <c r="AF7" s="246"/>
      <c r="AG7" s="246"/>
      <c r="AH7" s="246"/>
      <c r="AI7" s="246"/>
      <c r="AJ7" s="246"/>
      <c r="AK7" s="246"/>
      <c r="AL7" s="246"/>
      <c r="AM7" s="246"/>
      <c r="AN7" s="241" t="str">
        <f>IF(ISNA(VLOOKUP(Setup!AD20,'PL2'!H:N,7,0)),"",IF(VLOOKUP(Setup!AD20,'PL2'!H:N,7,0)=0,"",VLOOKUP(Setup!AD20,'PL2'!H:N,7,0)))</f>
        <v/>
      </c>
      <c r="AO7" s="241"/>
      <c r="AP7" s="241"/>
      <c r="AQ7" s="241"/>
      <c r="AR7" s="241"/>
      <c r="AS7" s="241"/>
      <c r="AT7" s="241"/>
      <c r="AU7" s="241"/>
      <c r="AV7" s="241"/>
      <c r="AW7" s="241"/>
      <c r="AX7" s="241"/>
      <c r="AY7" s="241"/>
      <c r="AZ7" s="241"/>
      <c r="BA7" s="241"/>
      <c r="BB7" s="241"/>
      <c r="BC7" s="241"/>
      <c r="BD7" s="241"/>
      <c r="BE7" s="241"/>
      <c r="BF7" s="241"/>
      <c r="BG7" s="241"/>
      <c r="BH7" s="241"/>
      <c r="BI7" s="241"/>
      <c r="BJ7" s="241"/>
      <c r="BK7" s="241"/>
      <c r="BL7" s="177"/>
      <c r="BM7" s="177"/>
      <c r="BN7" s="177"/>
      <c r="BO7" s="177"/>
    </row>
    <row r="8" spans="1:14632" s="66" customFormat="1" ht="15" customHeight="1" x14ac:dyDescent="0.25">
      <c r="A8" s="65"/>
      <c r="B8" s="67"/>
      <c r="C8" s="177"/>
      <c r="D8" s="67"/>
      <c r="E8" s="177"/>
      <c r="F8" s="67"/>
      <c r="G8" s="67"/>
      <c r="H8" s="67"/>
      <c r="I8" s="67"/>
      <c r="J8" s="67"/>
      <c r="K8" s="67"/>
      <c r="L8" s="67"/>
      <c r="M8" s="67"/>
      <c r="N8" s="67"/>
      <c r="O8" s="67"/>
      <c r="P8" s="67"/>
      <c r="Q8" s="67"/>
      <c r="R8" s="67"/>
      <c r="S8" s="67"/>
      <c r="T8" s="67"/>
      <c r="U8" s="67"/>
      <c r="V8" s="67"/>
      <c r="W8" s="67"/>
      <c r="X8" s="67"/>
      <c r="Y8" s="67"/>
      <c r="Z8" s="67"/>
      <c r="AA8" s="67"/>
      <c r="AB8" s="67"/>
      <c r="AC8" s="67"/>
      <c r="AD8" s="177"/>
      <c r="AE8" s="177"/>
      <c r="AF8" s="177"/>
      <c r="AG8" s="177"/>
      <c r="AH8" s="177"/>
      <c r="AI8" s="177"/>
      <c r="AJ8" s="177"/>
      <c r="AK8" s="177"/>
      <c r="AL8" s="177"/>
      <c r="AM8" s="177"/>
      <c r="AN8" s="67"/>
      <c r="AO8" s="67"/>
      <c r="AP8" s="67"/>
      <c r="AQ8" s="67"/>
      <c r="AR8" s="67"/>
      <c r="AS8" s="67"/>
      <c r="AT8" s="67"/>
      <c r="AU8" s="67"/>
      <c r="AV8" s="67"/>
      <c r="AW8" s="67"/>
      <c r="AX8" s="67"/>
      <c r="AY8" s="67"/>
      <c r="AZ8" s="67"/>
      <c r="BA8" s="67"/>
      <c r="BB8" s="67"/>
      <c r="BC8" s="67"/>
      <c r="BD8" s="67"/>
      <c r="BE8" s="67"/>
      <c r="BF8" s="67"/>
      <c r="BG8" s="67"/>
      <c r="BH8" s="67"/>
      <c r="BI8" s="67"/>
      <c r="BJ8" s="67"/>
      <c r="BK8" s="67"/>
      <c r="BL8" s="177"/>
      <c r="BM8" s="67"/>
      <c r="BN8" s="177"/>
      <c r="BO8" s="67"/>
    </row>
    <row r="9" spans="1:14632" s="66" customFormat="1" ht="15" customHeight="1" x14ac:dyDescent="0.25">
      <c r="A9" s="65"/>
      <c r="B9" s="68"/>
      <c r="C9" s="68"/>
      <c r="D9" s="68"/>
      <c r="E9" s="68"/>
      <c r="F9" s="67"/>
      <c r="G9" s="67"/>
      <c r="H9" s="67"/>
      <c r="I9" s="67"/>
      <c r="J9" s="67"/>
      <c r="K9" s="67"/>
      <c r="L9" s="67"/>
      <c r="M9" s="67"/>
      <c r="N9" s="67"/>
      <c r="O9" s="67"/>
      <c r="P9" s="67"/>
      <c r="Q9" s="67"/>
      <c r="R9" s="67"/>
      <c r="S9" s="67"/>
      <c r="T9" s="67"/>
      <c r="U9" s="67"/>
      <c r="V9" s="67"/>
      <c r="W9" s="67"/>
      <c r="X9" s="67"/>
      <c r="Y9" s="67"/>
      <c r="Z9" s="67"/>
      <c r="AA9" s="67"/>
      <c r="AB9" s="67"/>
      <c r="AC9" s="67"/>
      <c r="AD9" s="177"/>
      <c r="AE9" s="177"/>
      <c r="AF9" s="177"/>
      <c r="AG9" s="177"/>
      <c r="AH9" s="177"/>
      <c r="AI9" s="177"/>
      <c r="AJ9" s="177"/>
      <c r="AK9" s="177"/>
      <c r="AL9" s="177"/>
      <c r="AM9" s="177"/>
      <c r="AN9" s="67"/>
      <c r="AO9" s="67"/>
      <c r="AP9" s="67"/>
      <c r="AQ9" s="67"/>
      <c r="AR9" s="67"/>
      <c r="AS9" s="67"/>
      <c r="AT9" s="67"/>
      <c r="AU9" s="67"/>
      <c r="AV9" s="67"/>
      <c r="AW9" s="67"/>
      <c r="AX9" s="67"/>
      <c r="AY9" s="67"/>
      <c r="AZ9" s="67"/>
      <c r="BA9" s="67"/>
      <c r="BB9" s="67"/>
      <c r="BC9" s="67"/>
      <c r="BD9" s="67"/>
      <c r="BE9" s="67"/>
      <c r="BF9" s="67"/>
      <c r="BG9" s="67"/>
      <c r="BH9" s="67"/>
      <c r="BI9" s="67"/>
      <c r="BJ9" s="67"/>
      <c r="BK9" s="67"/>
      <c r="BL9" s="67"/>
      <c r="BM9" s="67"/>
      <c r="BN9" s="67"/>
      <c r="BO9" s="67"/>
    </row>
    <row r="10" spans="1:14632" s="66" customFormat="1" ht="15" customHeight="1" x14ac:dyDescent="0.3">
      <c r="A10" s="65"/>
      <c r="B10" s="68"/>
      <c r="C10" s="68"/>
      <c r="D10" s="254" t="e">
        <f>BattleRef!H43&amp;" Life"</f>
        <v>#N/A</v>
      </c>
      <c r="E10" s="254"/>
      <c r="F10" s="254"/>
      <c r="G10" s="254"/>
      <c r="H10" s="254"/>
      <c r="I10" s="254"/>
      <c r="J10" s="254"/>
      <c r="K10" s="254"/>
      <c r="L10" s="254"/>
      <c r="M10" s="254" t="e">
        <f>IF(Setup!AC45="Initiative Game","",BattleRef!I43)</f>
        <v>#N/A</v>
      </c>
      <c r="N10" s="254"/>
      <c r="O10" s="254"/>
      <c r="P10" s="254"/>
      <c r="Q10" s="254"/>
      <c r="R10" s="254"/>
      <c r="S10" s="254"/>
      <c r="T10" s="254"/>
      <c r="U10" s="254"/>
      <c r="V10" s="254" t="e">
        <f>BattleRef!K43&amp;IF(BattleRef!K43=1," Card"," Cards")</f>
        <v>#N/A</v>
      </c>
      <c r="W10" s="254"/>
      <c r="X10" s="254"/>
      <c r="Y10" s="254"/>
      <c r="Z10" s="254"/>
      <c r="AA10" s="254"/>
      <c r="AB10" s="254"/>
      <c r="AC10" s="254"/>
      <c r="AD10" s="254"/>
      <c r="AE10" s="195"/>
      <c r="AF10" s="195"/>
      <c r="AG10" s="195"/>
      <c r="AH10" s="195"/>
      <c r="AI10" s="195"/>
      <c r="AJ10" s="195"/>
      <c r="AK10" s="195"/>
      <c r="AL10" s="195"/>
      <c r="AM10" s="254" t="e">
        <f>BattleRef!P43&amp;IF(BattleRef!P43=1," Card"," Cards")</f>
        <v>#N/A</v>
      </c>
      <c r="AN10" s="254"/>
      <c r="AO10" s="254"/>
      <c r="AP10" s="254"/>
      <c r="AQ10" s="254"/>
      <c r="AR10" s="254"/>
      <c r="AS10" s="254"/>
      <c r="AT10" s="254"/>
      <c r="AU10" s="254"/>
      <c r="AV10" s="254" t="e">
        <f>IF(Setup!AC45="Initiative Game","",BattleRef!N43)</f>
        <v>#N/A</v>
      </c>
      <c r="AW10" s="254"/>
      <c r="AX10" s="254"/>
      <c r="AY10" s="254"/>
      <c r="AZ10" s="254"/>
      <c r="BA10" s="254"/>
      <c r="BB10" s="254"/>
      <c r="BC10" s="254"/>
      <c r="BD10" s="254"/>
      <c r="BE10" s="254" t="e">
        <f>BattleRef!M43&amp;" Life"</f>
        <v>#N/A</v>
      </c>
      <c r="BF10" s="254"/>
      <c r="BG10" s="254"/>
      <c r="BH10" s="254"/>
      <c r="BI10" s="254"/>
      <c r="BJ10" s="254"/>
      <c r="BK10" s="254"/>
      <c r="BL10" s="254"/>
      <c r="BM10" s="254"/>
      <c r="BN10" s="69"/>
      <c r="BO10" s="69"/>
      <c r="BP10" s="118"/>
      <c r="BQ10" s="118"/>
      <c r="BR10" s="118"/>
      <c r="BS10" s="118"/>
      <c r="BT10" s="118"/>
      <c r="BU10" s="118"/>
      <c r="BV10" s="118"/>
      <c r="BW10" s="118"/>
      <c r="BX10" s="118"/>
      <c r="BY10" s="118"/>
      <c r="BZ10" s="118"/>
      <c r="CA10" s="118"/>
      <c r="CB10" s="118"/>
      <c r="CC10" s="118"/>
      <c r="CD10" s="118"/>
      <c r="CE10" s="118"/>
      <c r="CF10" s="118"/>
      <c r="CG10" s="118"/>
      <c r="CH10" s="118"/>
      <c r="CI10" s="118"/>
      <c r="CJ10" s="118"/>
      <c r="CK10" s="118"/>
      <c r="CL10" s="118"/>
      <c r="CM10" s="118"/>
      <c r="CN10" s="118"/>
      <c r="CO10" s="118"/>
      <c r="CP10" s="118"/>
      <c r="CQ10" s="118"/>
      <c r="CR10" s="118"/>
      <c r="CS10" s="118"/>
      <c r="CT10" s="118"/>
      <c r="CU10" s="118"/>
      <c r="CV10" s="118"/>
      <c r="CW10" s="118"/>
      <c r="CX10" s="118"/>
      <c r="CY10" s="118"/>
      <c r="CZ10" s="118"/>
      <c r="DA10" s="118"/>
      <c r="DB10" s="118"/>
      <c r="DC10" s="118"/>
      <c r="DD10" s="118"/>
      <c r="DE10" s="118"/>
      <c r="DF10" s="118"/>
      <c r="DG10" s="118"/>
      <c r="DH10" s="118"/>
      <c r="DI10" s="118"/>
      <c r="DJ10" s="118"/>
      <c r="DK10" s="118"/>
      <c r="DL10" s="118"/>
      <c r="DM10" s="118"/>
      <c r="DN10" s="118"/>
      <c r="DO10" s="118"/>
      <c r="DP10" s="118"/>
      <c r="DQ10" s="118"/>
      <c r="DR10" s="118"/>
      <c r="DS10" s="118"/>
      <c r="DT10" s="118"/>
      <c r="DU10" s="118"/>
      <c r="DV10" s="118"/>
      <c r="DW10" s="118"/>
      <c r="DX10" s="118"/>
      <c r="DY10" s="118"/>
      <c r="DZ10" s="118"/>
      <c r="EA10" s="118"/>
      <c r="EB10" s="118"/>
      <c r="EC10" s="118"/>
      <c r="ED10" s="118"/>
      <c r="EE10" s="118"/>
      <c r="EF10" s="118"/>
      <c r="EG10" s="118"/>
      <c r="EH10" s="118"/>
      <c r="EI10" s="118"/>
      <c r="EJ10" s="118"/>
      <c r="EK10" s="118"/>
      <c r="EL10" s="118"/>
      <c r="EM10" s="118"/>
      <c r="EN10" s="118"/>
      <c r="EO10" s="118"/>
      <c r="EP10" s="118"/>
      <c r="EQ10" s="118"/>
      <c r="ER10" s="118"/>
      <c r="ES10" s="118"/>
      <c r="ET10" s="118"/>
      <c r="EU10" s="118"/>
      <c r="EV10" s="118"/>
      <c r="EW10" s="118"/>
      <c r="EX10" s="118"/>
      <c r="EY10" s="118"/>
      <c r="EZ10" s="118"/>
      <c r="FA10" s="118"/>
      <c r="FB10" s="118"/>
      <c r="FC10" s="118"/>
      <c r="FD10" s="118"/>
      <c r="FE10" s="118"/>
      <c r="FF10" s="118"/>
      <c r="FG10" s="118"/>
      <c r="FH10" s="118"/>
      <c r="FI10" s="118"/>
      <c r="FJ10" s="118"/>
      <c r="FK10" s="118"/>
      <c r="FL10" s="118"/>
      <c r="FM10" s="118"/>
      <c r="FN10" s="118"/>
      <c r="FO10" s="118"/>
      <c r="FP10" s="118"/>
      <c r="FQ10" s="118"/>
      <c r="FR10" s="118"/>
      <c r="FS10" s="118"/>
      <c r="FT10" s="118"/>
      <c r="FU10" s="118"/>
      <c r="FV10" s="118"/>
      <c r="FW10" s="118"/>
      <c r="FX10" s="118"/>
      <c r="FY10" s="118"/>
      <c r="FZ10" s="118"/>
      <c r="GA10" s="118"/>
      <c r="GB10" s="118"/>
      <c r="GC10" s="118"/>
      <c r="GD10" s="118"/>
      <c r="GE10" s="118"/>
      <c r="GF10" s="118"/>
      <c r="GG10" s="118"/>
      <c r="GH10" s="118"/>
      <c r="GI10" s="118"/>
      <c r="GJ10" s="118"/>
      <c r="GK10" s="118"/>
      <c r="GL10" s="118"/>
      <c r="GM10" s="118"/>
      <c r="GN10" s="118"/>
      <c r="GO10" s="118"/>
      <c r="GP10" s="118"/>
      <c r="GQ10" s="118"/>
      <c r="GR10" s="118"/>
      <c r="GS10" s="118"/>
      <c r="GT10" s="118"/>
      <c r="GU10" s="118"/>
      <c r="GV10" s="118"/>
      <c r="GW10" s="118"/>
      <c r="GX10" s="118"/>
      <c r="GY10" s="118"/>
      <c r="GZ10" s="118"/>
      <c r="HA10" s="118"/>
      <c r="HB10" s="118"/>
      <c r="HC10" s="118"/>
      <c r="HD10" s="118"/>
      <c r="HE10" s="118"/>
      <c r="HF10" s="118"/>
      <c r="HG10" s="118"/>
      <c r="HH10" s="118"/>
      <c r="HI10" s="118"/>
      <c r="HJ10" s="118"/>
      <c r="HK10" s="118"/>
      <c r="HL10" s="118"/>
      <c r="HM10" s="118"/>
      <c r="HN10" s="118"/>
      <c r="HO10" s="118"/>
      <c r="HP10" s="118"/>
      <c r="HQ10" s="118"/>
      <c r="HR10" s="118"/>
      <c r="HS10" s="118"/>
      <c r="HT10" s="118"/>
      <c r="HU10" s="118"/>
      <c r="HV10" s="118"/>
      <c r="HW10" s="118"/>
      <c r="HX10" s="118"/>
      <c r="HY10" s="118"/>
      <c r="HZ10" s="118"/>
      <c r="IA10" s="118"/>
      <c r="IB10" s="118"/>
      <c r="IC10" s="118"/>
      <c r="ID10" s="118"/>
      <c r="IE10" s="118"/>
      <c r="IF10" s="118"/>
      <c r="IG10" s="118"/>
      <c r="IH10" s="118"/>
      <c r="II10" s="118"/>
      <c r="IJ10" s="118"/>
      <c r="IK10" s="118"/>
      <c r="IL10" s="118"/>
      <c r="IM10" s="118"/>
      <c r="IN10" s="118"/>
      <c r="IO10" s="118"/>
      <c r="IP10" s="118"/>
      <c r="IQ10" s="118"/>
      <c r="IR10" s="118"/>
      <c r="IS10" s="118"/>
      <c r="IT10" s="118"/>
      <c r="IU10" s="118"/>
      <c r="IV10" s="118"/>
      <c r="IW10" s="118"/>
      <c r="IX10" s="118"/>
      <c r="IY10" s="118"/>
      <c r="IZ10" s="118"/>
      <c r="JA10" s="118"/>
      <c r="JB10" s="118"/>
      <c r="JC10" s="118"/>
      <c r="JD10" s="118"/>
      <c r="JE10" s="118"/>
      <c r="JF10" s="118"/>
      <c r="JG10" s="118"/>
      <c r="JH10" s="118"/>
      <c r="JI10" s="118"/>
      <c r="JJ10" s="118"/>
      <c r="JK10" s="118"/>
      <c r="JL10" s="118"/>
      <c r="JM10" s="118"/>
      <c r="JN10" s="118"/>
      <c r="JO10" s="118"/>
      <c r="JP10" s="118"/>
      <c r="JQ10" s="118"/>
      <c r="JR10" s="118"/>
      <c r="JS10" s="118"/>
      <c r="JT10" s="118"/>
      <c r="JU10" s="118"/>
      <c r="JV10" s="118"/>
      <c r="JW10" s="118"/>
      <c r="JX10" s="118"/>
      <c r="JY10" s="118"/>
      <c r="JZ10" s="118"/>
      <c r="KA10" s="118"/>
      <c r="KB10" s="118"/>
      <c r="KC10" s="118"/>
      <c r="KD10" s="118"/>
      <c r="KE10" s="118"/>
      <c r="KF10" s="118"/>
      <c r="KG10" s="118"/>
      <c r="KH10" s="118"/>
      <c r="KI10" s="118"/>
      <c r="KJ10" s="118"/>
      <c r="KK10" s="118"/>
      <c r="KL10" s="118"/>
      <c r="KM10" s="118"/>
      <c r="KN10" s="118"/>
      <c r="KO10" s="118"/>
      <c r="KP10" s="118"/>
      <c r="KQ10" s="118"/>
      <c r="KR10" s="118"/>
      <c r="KS10" s="118"/>
      <c r="KT10" s="118"/>
      <c r="KU10" s="118"/>
      <c r="KV10" s="118"/>
      <c r="KW10" s="118"/>
      <c r="KX10" s="118"/>
      <c r="KY10" s="118"/>
      <c r="KZ10" s="118"/>
      <c r="LA10" s="118"/>
      <c r="LB10" s="118"/>
      <c r="LC10" s="118"/>
      <c r="LD10" s="118"/>
      <c r="LE10" s="118"/>
      <c r="LF10" s="118"/>
      <c r="LG10" s="118"/>
      <c r="LH10" s="118"/>
      <c r="LI10" s="118"/>
      <c r="LJ10" s="118"/>
      <c r="LK10" s="118"/>
      <c r="LL10" s="118"/>
      <c r="LM10" s="118"/>
      <c r="LN10" s="118"/>
      <c r="LO10" s="118"/>
      <c r="LP10" s="118"/>
      <c r="LQ10" s="118"/>
      <c r="LR10" s="118"/>
      <c r="LS10" s="118"/>
      <c r="LT10" s="118"/>
      <c r="LU10" s="118"/>
      <c r="LV10" s="118"/>
      <c r="LW10" s="118"/>
      <c r="LX10" s="118"/>
      <c r="LY10" s="118"/>
      <c r="LZ10" s="118"/>
      <c r="MA10" s="118"/>
      <c r="MB10" s="118"/>
      <c r="MC10" s="118"/>
      <c r="MD10" s="118"/>
      <c r="ME10" s="118"/>
      <c r="MF10" s="118"/>
      <c r="MG10" s="118"/>
      <c r="MH10" s="118"/>
      <c r="MI10" s="118"/>
      <c r="MJ10" s="118"/>
      <c r="MK10" s="118"/>
      <c r="ML10" s="118"/>
      <c r="MM10" s="118"/>
      <c r="MN10" s="118"/>
      <c r="MO10" s="118"/>
      <c r="MP10" s="118"/>
      <c r="MQ10" s="118"/>
      <c r="MR10" s="118"/>
      <c r="MS10" s="118"/>
      <c r="MT10" s="118"/>
      <c r="MU10" s="118"/>
      <c r="MV10" s="118"/>
      <c r="MW10" s="118"/>
      <c r="MX10" s="118"/>
      <c r="MY10" s="118"/>
      <c r="MZ10" s="118"/>
      <c r="NA10" s="118"/>
      <c r="NB10" s="118"/>
      <c r="NC10" s="118"/>
      <c r="ND10" s="118"/>
      <c r="NE10" s="118"/>
      <c r="NF10" s="118"/>
      <c r="NG10" s="118"/>
      <c r="NH10" s="118"/>
      <c r="NI10" s="118"/>
      <c r="NJ10" s="118"/>
      <c r="NK10" s="118"/>
      <c r="NL10" s="118"/>
      <c r="NM10" s="118"/>
      <c r="NN10" s="118"/>
      <c r="NO10" s="118"/>
      <c r="NP10" s="118"/>
      <c r="NQ10" s="118"/>
      <c r="NR10" s="118"/>
      <c r="NS10" s="118"/>
      <c r="NT10" s="118"/>
      <c r="NU10" s="118"/>
      <c r="NV10" s="118"/>
      <c r="NW10" s="118"/>
      <c r="NX10" s="118"/>
      <c r="NY10" s="118"/>
      <c r="NZ10" s="118"/>
      <c r="OA10" s="118"/>
      <c r="OB10" s="118"/>
      <c r="OC10" s="118"/>
      <c r="OD10" s="118"/>
      <c r="OE10" s="118"/>
      <c r="OF10" s="118"/>
      <c r="OG10" s="118"/>
      <c r="OH10" s="118"/>
      <c r="OI10" s="118"/>
      <c r="OJ10" s="118"/>
      <c r="OK10" s="118"/>
      <c r="OL10" s="118"/>
      <c r="OM10" s="118"/>
      <c r="ON10" s="118"/>
      <c r="OO10" s="118"/>
      <c r="OP10" s="118"/>
      <c r="OQ10" s="118"/>
      <c r="OR10" s="118"/>
      <c r="OS10" s="118"/>
      <c r="OT10" s="118"/>
      <c r="OU10" s="118"/>
      <c r="OV10" s="118"/>
      <c r="OW10" s="118"/>
      <c r="OX10" s="118"/>
      <c r="OY10" s="118"/>
      <c r="OZ10" s="118"/>
      <c r="PA10" s="118"/>
      <c r="PB10" s="118"/>
      <c r="PC10" s="118"/>
      <c r="PD10" s="118"/>
      <c r="PE10" s="118"/>
      <c r="PF10" s="118"/>
      <c r="PG10" s="118"/>
      <c r="PH10" s="118"/>
      <c r="PI10" s="118"/>
      <c r="PJ10" s="118"/>
      <c r="PK10" s="118"/>
      <c r="PL10" s="118"/>
      <c r="PM10" s="118"/>
      <c r="PN10" s="118"/>
      <c r="PO10" s="118"/>
      <c r="PP10" s="118"/>
      <c r="PQ10" s="118"/>
      <c r="PR10" s="118"/>
      <c r="PS10" s="118"/>
      <c r="PT10" s="118"/>
      <c r="PU10" s="118"/>
      <c r="PV10" s="118"/>
      <c r="PW10" s="118"/>
      <c r="PX10" s="118"/>
      <c r="PY10" s="118"/>
      <c r="PZ10" s="118"/>
      <c r="QA10" s="118"/>
      <c r="QB10" s="118"/>
      <c r="QC10" s="118"/>
      <c r="QD10" s="118"/>
      <c r="QE10" s="118"/>
      <c r="QF10" s="118"/>
      <c r="QG10" s="118"/>
      <c r="QH10" s="118"/>
      <c r="QI10" s="118"/>
      <c r="QJ10" s="118"/>
      <c r="QK10" s="118"/>
      <c r="QL10" s="118"/>
      <c r="QM10" s="118"/>
      <c r="QN10" s="118"/>
      <c r="QO10" s="118"/>
      <c r="QP10" s="118"/>
      <c r="QQ10" s="118"/>
      <c r="QR10" s="118"/>
      <c r="QS10" s="118"/>
      <c r="QT10" s="118"/>
      <c r="QU10" s="118"/>
      <c r="QV10" s="118"/>
      <c r="QW10" s="118"/>
      <c r="QX10" s="118"/>
      <c r="QY10" s="118"/>
      <c r="QZ10" s="118"/>
      <c r="RA10" s="118"/>
      <c r="RB10" s="118"/>
      <c r="RC10" s="118"/>
      <c r="RD10" s="118"/>
      <c r="RE10" s="118"/>
      <c r="RF10" s="118"/>
      <c r="RG10" s="118"/>
      <c r="RH10" s="118"/>
      <c r="RI10" s="118"/>
      <c r="RJ10" s="118"/>
      <c r="RK10" s="118"/>
      <c r="RL10" s="118"/>
      <c r="RM10" s="118"/>
      <c r="RN10" s="118"/>
      <c r="RO10" s="118"/>
      <c r="RP10" s="118"/>
      <c r="RQ10" s="118"/>
      <c r="RR10" s="118"/>
      <c r="RS10" s="118"/>
      <c r="RT10" s="118"/>
      <c r="RU10" s="118"/>
      <c r="RV10" s="118"/>
      <c r="RW10" s="118"/>
      <c r="RX10" s="118"/>
      <c r="RY10" s="118"/>
      <c r="RZ10" s="118"/>
      <c r="SA10" s="118"/>
      <c r="SB10" s="118"/>
      <c r="SC10" s="118"/>
      <c r="SD10" s="118"/>
      <c r="SE10" s="118"/>
      <c r="SF10" s="118"/>
      <c r="SG10" s="118"/>
      <c r="SH10" s="118"/>
      <c r="SI10" s="118"/>
      <c r="SJ10" s="118"/>
      <c r="SK10" s="118"/>
      <c r="SL10" s="118"/>
      <c r="SM10" s="118"/>
      <c r="SN10" s="118"/>
      <c r="SO10" s="118"/>
      <c r="SP10" s="118"/>
      <c r="SQ10" s="118"/>
      <c r="SR10" s="118"/>
      <c r="SS10" s="118"/>
      <c r="ST10" s="118"/>
      <c r="SU10" s="118"/>
      <c r="SV10" s="118"/>
      <c r="SW10" s="118"/>
      <c r="SX10" s="118"/>
      <c r="SY10" s="118"/>
      <c r="SZ10" s="118"/>
      <c r="TA10" s="118"/>
      <c r="TB10" s="118"/>
      <c r="TC10" s="118"/>
      <c r="TD10" s="118"/>
      <c r="TE10" s="118"/>
      <c r="TF10" s="118"/>
      <c r="TG10" s="118"/>
      <c r="TH10" s="118"/>
      <c r="TI10" s="118"/>
      <c r="TJ10" s="118"/>
      <c r="TK10" s="118"/>
      <c r="TL10" s="118"/>
      <c r="TM10" s="118"/>
      <c r="TN10" s="118"/>
      <c r="TO10" s="118"/>
      <c r="TP10" s="118"/>
      <c r="TQ10" s="118"/>
      <c r="TR10" s="118"/>
      <c r="TS10" s="118"/>
      <c r="TT10" s="118"/>
      <c r="TU10" s="118"/>
      <c r="TV10" s="118"/>
      <c r="TW10" s="118"/>
      <c r="TX10" s="118"/>
      <c r="TY10" s="118"/>
      <c r="TZ10" s="118"/>
      <c r="UA10" s="118"/>
      <c r="UB10" s="118"/>
      <c r="UC10" s="118"/>
      <c r="UD10" s="118"/>
      <c r="UE10" s="118"/>
      <c r="UF10" s="118"/>
      <c r="UG10" s="118"/>
      <c r="UH10" s="118"/>
      <c r="UI10" s="118"/>
      <c r="UJ10" s="118"/>
      <c r="UK10" s="118"/>
      <c r="UL10" s="118"/>
      <c r="UM10" s="118"/>
      <c r="UN10" s="118"/>
      <c r="UO10" s="118"/>
      <c r="UP10" s="118"/>
      <c r="UQ10" s="118"/>
      <c r="UR10" s="118"/>
      <c r="US10" s="118"/>
      <c r="UT10" s="118"/>
      <c r="UU10" s="118"/>
      <c r="UV10" s="118"/>
      <c r="UW10" s="118"/>
      <c r="UX10" s="118"/>
      <c r="UY10" s="118"/>
      <c r="UZ10" s="118"/>
      <c r="VA10" s="118"/>
      <c r="VB10" s="118"/>
      <c r="VC10" s="118"/>
      <c r="VD10" s="118"/>
      <c r="VE10" s="118"/>
      <c r="VF10" s="118"/>
      <c r="VG10" s="118"/>
      <c r="VH10" s="118"/>
      <c r="VI10" s="118"/>
      <c r="VJ10" s="118"/>
      <c r="VK10" s="118"/>
      <c r="VL10" s="118"/>
      <c r="VM10" s="118"/>
      <c r="VN10" s="118"/>
      <c r="VO10" s="118"/>
      <c r="VP10" s="118"/>
      <c r="VQ10" s="118"/>
      <c r="VR10" s="118"/>
      <c r="VS10" s="118"/>
      <c r="VT10" s="118"/>
      <c r="VU10" s="118"/>
      <c r="VV10" s="118"/>
      <c r="VW10" s="118"/>
      <c r="VX10" s="118"/>
      <c r="VY10" s="118"/>
      <c r="VZ10" s="118"/>
      <c r="WA10" s="118"/>
      <c r="WB10" s="118"/>
      <c r="WC10" s="118"/>
      <c r="WD10" s="118"/>
      <c r="WE10" s="118"/>
      <c r="WF10" s="118"/>
      <c r="WG10" s="118"/>
      <c r="WH10" s="118"/>
      <c r="WI10" s="118"/>
      <c r="WJ10" s="118"/>
      <c r="WK10" s="118"/>
      <c r="WL10" s="118"/>
      <c r="WM10" s="118"/>
      <c r="WN10" s="118"/>
      <c r="WO10" s="118"/>
      <c r="WP10" s="118"/>
      <c r="WQ10" s="118"/>
      <c r="WR10" s="118"/>
      <c r="WS10" s="118"/>
      <c r="WT10" s="118"/>
      <c r="WU10" s="118"/>
      <c r="WV10" s="118"/>
      <c r="WW10" s="118"/>
      <c r="WX10" s="118"/>
      <c r="WY10" s="118"/>
      <c r="WZ10" s="118"/>
      <c r="XA10" s="118"/>
      <c r="XB10" s="118"/>
      <c r="XC10" s="118"/>
      <c r="XD10" s="118"/>
      <c r="XE10" s="118"/>
      <c r="XF10" s="118"/>
      <c r="XG10" s="118"/>
      <c r="XH10" s="118"/>
      <c r="XI10" s="118"/>
      <c r="XJ10" s="118"/>
      <c r="XK10" s="118"/>
      <c r="XL10" s="118"/>
      <c r="XM10" s="118"/>
      <c r="XN10" s="118"/>
      <c r="XO10" s="118"/>
      <c r="XP10" s="118"/>
      <c r="XQ10" s="118"/>
      <c r="XR10" s="118"/>
      <c r="XS10" s="118"/>
      <c r="XT10" s="118"/>
      <c r="XU10" s="118"/>
      <c r="XV10" s="118"/>
      <c r="XW10" s="118"/>
      <c r="XX10" s="118"/>
      <c r="XY10" s="118"/>
      <c r="XZ10" s="118"/>
      <c r="YA10" s="118"/>
      <c r="YB10" s="118"/>
      <c r="YC10" s="118"/>
      <c r="YD10" s="118"/>
      <c r="YE10" s="118"/>
      <c r="YF10" s="118"/>
      <c r="YG10" s="118"/>
      <c r="YH10" s="118"/>
      <c r="YI10" s="118"/>
      <c r="YJ10" s="118"/>
      <c r="YK10" s="118"/>
      <c r="YL10" s="118"/>
      <c r="YM10" s="118"/>
      <c r="YN10" s="118"/>
      <c r="YO10" s="118"/>
      <c r="YP10" s="118"/>
      <c r="YQ10" s="118"/>
      <c r="YR10" s="118"/>
      <c r="YS10" s="118"/>
      <c r="YT10" s="118"/>
      <c r="YU10" s="118"/>
      <c r="YV10" s="118"/>
      <c r="YW10" s="118"/>
      <c r="YX10" s="118"/>
      <c r="YY10" s="118"/>
      <c r="YZ10" s="118"/>
      <c r="ZA10" s="118"/>
      <c r="ZB10" s="118"/>
      <c r="ZC10" s="118"/>
      <c r="ZD10" s="118"/>
      <c r="ZE10" s="118"/>
      <c r="ZF10" s="118"/>
      <c r="ZG10" s="118"/>
      <c r="ZH10" s="118"/>
      <c r="ZI10" s="118"/>
      <c r="ZJ10" s="118"/>
      <c r="ZK10" s="118"/>
      <c r="ZL10" s="118"/>
      <c r="ZM10" s="118"/>
      <c r="ZN10" s="118"/>
      <c r="ZO10" s="118"/>
      <c r="ZP10" s="118"/>
      <c r="ZQ10" s="118"/>
      <c r="ZR10" s="118"/>
      <c r="ZS10" s="118"/>
      <c r="ZT10" s="118"/>
      <c r="ZU10" s="118"/>
      <c r="ZV10" s="118"/>
      <c r="ZW10" s="118"/>
      <c r="ZX10" s="118"/>
      <c r="ZY10" s="118"/>
      <c r="ZZ10" s="118"/>
      <c r="AAA10" s="118"/>
      <c r="AAB10" s="118"/>
      <c r="AAC10" s="118"/>
      <c r="AAD10" s="118"/>
      <c r="AAE10" s="118"/>
      <c r="AAF10" s="118"/>
      <c r="AAG10" s="118"/>
      <c r="AAH10" s="118"/>
      <c r="AAI10" s="118"/>
      <c r="AAJ10" s="118"/>
      <c r="AAK10" s="118"/>
      <c r="AAL10" s="118"/>
      <c r="AAM10" s="118"/>
      <c r="AAN10" s="118"/>
      <c r="AAO10" s="118"/>
      <c r="AAP10" s="118"/>
      <c r="AAQ10" s="118"/>
      <c r="AAR10" s="118"/>
      <c r="AAS10" s="118"/>
      <c r="AAT10" s="118"/>
      <c r="AAU10" s="118"/>
      <c r="AAV10" s="118"/>
      <c r="AAW10" s="118"/>
      <c r="AAX10" s="118"/>
      <c r="AAY10" s="118"/>
      <c r="AAZ10" s="118"/>
      <c r="ABA10" s="118"/>
      <c r="ABB10" s="118"/>
      <c r="ABC10" s="118"/>
      <c r="ABD10" s="118"/>
      <c r="ABE10" s="118"/>
      <c r="ABF10" s="118"/>
      <c r="ABG10" s="118"/>
      <c r="ABH10" s="118"/>
      <c r="ABI10" s="118"/>
      <c r="ABJ10" s="118"/>
      <c r="ABK10" s="118"/>
      <c r="ABL10" s="118"/>
      <c r="ABM10" s="118"/>
      <c r="ABN10" s="118"/>
      <c r="ABO10" s="118"/>
      <c r="ABP10" s="118"/>
      <c r="ABQ10" s="118"/>
      <c r="ABR10" s="118"/>
      <c r="ABS10" s="118"/>
      <c r="ABT10" s="118"/>
      <c r="ABU10" s="118"/>
      <c r="ABV10" s="118"/>
      <c r="ABW10" s="118"/>
      <c r="ABX10" s="118"/>
      <c r="ABY10" s="118"/>
      <c r="ABZ10" s="118"/>
      <c r="ACA10" s="118"/>
      <c r="ACB10" s="118"/>
      <c r="ACC10" s="118"/>
      <c r="ACD10" s="118"/>
      <c r="ACE10" s="118"/>
      <c r="ACF10" s="118"/>
      <c r="ACG10" s="118"/>
      <c r="ACH10" s="118"/>
      <c r="ACI10" s="118"/>
      <c r="ACJ10" s="118"/>
      <c r="ACK10" s="118"/>
      <c r="ACL10" s="118"/>
      <c r="ACM10" s="118"/>
      <c r="ACN10" s="118"/>
      <c r="ACO10" s="118"/>
      <c r="ACP10" s="118"/>
      <c r="ACQ10" s="118"/>
      <c r="ACR10" s="118"/>
      <c r="ACS10" s="118"/>
      <c r="ACT10" s="118"/>
      <c r="ACU10" s="118"/>
      <c r="ACV10" s="118"/>
      <c r="ACW10" s="118"/>
      <c r="ACX10" s="118"/>
      <c r="ACY10" s="118"/>
      <c r="ACZ10" s="118"/>
      <c r="ADA10" s="118"/>
      <c r="ADB10" s="118"/>
      <c r="ADC10" s="118"/>
      <c r="ADD10" s="118"/>
      <c r="ADE10" s="118"/>
      <c r="ADF10" s="118"/>
      <c r="ADG10" s="118"/>
      <c r="ADH10" s="118"/>
      <c r="ADI10" s="118"/>
      <c r="ADJ10" s="118"/>
      <c r="ADK10" s="118"/>
      <c r="ADL10" s="118"/>
      <c r="ADM10" s="118"/>
      <c r="ADN10" s="118"/>
      <c r="ADO10" s="118"/>
      <c r="ADP10" s="118"/>
      <c r="ADQ10" s="118"/>
      <c r="ADR10" s="118"/>
      <c r="ADS10" s="118"/>
      <c r="ADT10" s="118"/>
      <c r="ADU10" s="118"/>
      <c r="ADV10" s="118"/>
      <c r="ADW10" s="118"/>
      <c r="ADX10" s="118"/>
      <c r="ADY10" s="118"/>
      <c r="ADZ10" s="118"/>
      <c r="AEA10" s="118"/>
      <c r="AEB10" s="118"/>
      <c r="AEC10" s="118"/>
      <c r="AED10" s="118"/>
      <c r="AEE10" s="118"/>
      <c r="AEF10" s="118"/>
      <c r="AEG10" s="118"/>
      <c r="AEH10" s="118"/>
      <c r="AEI10" s="118"/>
      <c r="AEJ10" s="118"/>
      <c r="AEK10" s="118"/>
      <c r="AEL10" s="118"/>
      <c r="AEM10" s="118"/>
      <c r="AEN10" s="118"/>
      <c r="AEO10" s="118"/>
      <c r="AEP10" s="118"/>
      <c r="AEQ10" s="118"/>
      <c r="AER10" s="118"/>
      <c r="AES10" s="118"/>
      <c r="AET10" s="118"/>
      <c r="AEU10" s="118"/>
      <c r="AEV10" s="118"/>
      <c r="AEW10" s="118"/>
      <c r="AEX10" s="118"/>
      <c r="AEY10" s="118"/>
      <c r="AEZ10" s="118"/>
      <c r="AFA10" s="118"/>
      <c r="AFB10" s="118"/>
      <c r="AFC10" s="118"/>
      <c r="AFD10" s="118"/>
      <c r="AFE10" s="118"/>
      <c r="AFF10" s="118"/>
      <c r="AFG10" s="118"/>
      <c r="AFH10" s="118"/>
      <c r="AFI10" s="118"/>
      <c r="AFJ10" s="118"/>
      <c r="AFK10" s="118"/>
      <c r="AFL10" s="118"/>
      <c r="AFM10" s="118"/>
      <c r="AFN10" s="118"/>
      <c r="AFO10" s="118"/>
      <c r="AFP10" s="118"/>
      <c r="AFQ10" s="118"/>
      <c r="AFR10" s="118"/>
      <c r="AFS10" s="118"/>
      <c r="AFT10" s="118"/>
      <c r="AFU10" s="118"/>
      <c r="AFV10" s="118"/>
      <c r="AFW10" s="118"/>
      <c r="AFX10" s="118"/>
      <c r="AFY10" s="118"/>
      <c r="AFZ10" s="118"/>
      <c r="AGA10" s="118"/>
      <c r="AGB10" s="118"/>
      <c r="AGC10" s="118"/>
      <c r="AGD10" s="118"/>
      <c r="AGE10" s="118"/>
      <c r="AGF10" s="118"/>
      <c r="AGG10" s="118"/>
      <c r="AGH10" s="118"/>
      <c r="AGI10" s="118"/>
      <c r="AGJ10" s="118"/>
      <c r="AGK10" s="118"/>
      <c r="AGL10" s="118"/>
      <c r="AGM10" s="118"/>
      <c r="AGN10" s="118"/>
      <c r="AGO10" s="118"/>
      <c r="AGP10" s="118"/>
      <c r="AGQ10" s="118"/>
      <c r="AGR10" s="118"/>
      <c r="AGS10" s="118"/>
      <c r="AGT10" s="118"/>
      <c r="AGU10" s="118"/>
      <c r="AGV10" s="118"/>
      <c r="AGW10" s="118"/>
      <c r="AGX10" s="118"/>
      <c r="AGY10" s="118"/>
      <c r="AGZ10" s="118"/>
      <c r="AHA10" s="118"/>
      <c r="AHB10" s="118"/>
      <c r="AHC10" s="118"/>
      <c r="AHD10" s="118"/>
      <c r="AHE10" s="118"/>
      <c r="AHF10" s="118"/>
      <c r="AHG10" s="118"/>
      <c r="AHH10" s="118"/>
      <c r="AHI10" s="118"/>
      <c r="AHJ10" s="118"/>
      <c r="AHK10" s="118"/>
      <c r="AHL10" s="118"/>
      <c r="AHM10" s="118"/>
      <c r="AHN10" s="118"/>
      <c r="AHO10" s="118"/>
      <c r="AHP10" s="118"/>
      <c r="AHQ10" s="118"/>
      <c r="AHR10" s="118"/>
      <c r="AHS10" s="118"/>
      <c r="AHT10" s="118"/>
      <c r="AHU10" s="118"/>
      <c r="AHV10" s="118"/>
      <c r="AHW10" s="118"/>
      <c r="AHX10" s="118"/>
      <c r="AHY10" s="118"/>
      <c r="AHZ10" s="118"/>
      <c r="AIA10" s="118"/>
      <c r="AIB10" s="118"/>
      <c r="AIC10" s="118"/>
      <c r="AID10" s="118"/>
      <c r="AIE10" s="118"/>
      <c r="AIF10" s="118"/>
      <c r="AIG10" s="118"/>
      <c r="AIH10" s="118"/>
      <c r="AII10" s="118"/>
      <c r="AIJ10" s="118"/>
      <c r="AIK10" s="118"/>
      <c r="AIL10" s="118"/>
      <c r="AIM10" s="118"/>
      <c r="AIN10" s="118"/>
      <c r="AIO10" s="118"/>
      <c r="AIP10" s="118"/>
      <c r="AIQ10" s="118"/>
      <c r="AIR10" s="118"/>
      <c r="AIS10" s="118"/>
      <c r="AIT10" s="118"/>
      <c r="AIU10" s="118"/>
      <c r="AIV10" s="118"/>
      <c r="AIW10" s="118"/>
      <c r="AIX10" s="118"/>
      <c r="AIY10" s="118"/>
      <c r="AIZ10" s="118"/>
      <c r="AJA10" s="118"/>
      <c r="AJB10" s="118"/>
      <c r="AJC10" s="118"/>
      <c r="AJD10" s="118"/>
      <c r="AJE10" s="118"/>
      <c r="AJF10" s="118"/>
      <c r="AJG10" s="118"/>
      <c r="AJH10" s="118"/>
      <c r="AJI10" s="118"/>
      <c r="AJJ10" s="118"/>
      <c r="AJK10" s="118"/>
      <c r="AJL10" s="118"/>
      <c r="AJM10" s="118"/>
      <c r="AJN10" s="118"/>
      <c r="AJO10" s="118"/>
      <c r="AJP10" s="118"/>
      <c r="AJQ10" s="118"/>
      <c r="AJR10" s="118"/>
      <c r="AJS10" s="118"/>
      <c r="AJT10" s="118"/>
      <c r="AJU10" s="118"/>
      <c r="AJV10" s="118"/>
      <c r="AJW10" s="118"/>
      <c r="AJX10" s="118"/>
      <c r="AJY10" s="118"/>
      <c r="AJZ10" s="118"/>
      <c r="AKA10" s="118"/>
      <c r="AKB10" s="118"/>
      <c r="AKC10" s="118"/>
      <c r="AKD10" s="118"/>
      <c r="AKE10" s="118"/>
      <c r="AKF10" s="118"/>
      <c r="AKG10" s="118"/>
      <c r="AKH10" s="118"/>
      <c r="AKI10" s="118"/>
      <c r="AKJ10" s="118"/>
      <c r="AKK10" s="118"/>
      <c r="AKL10" s="118"/>
      <c r="AKM10" s="118"/>
      <c r="AKN10" s="118"/>
      <c r="AKO10" s="118"/>
      <c r="AKP10" s="118"/>
      <c r="AKQ10" s="118"/>
      <c r="AKR10" s="118"/>
      <c r="AKS10" s="118"/>
      <c r="AKT10" s="118"/>
      <c r="AKU10" s="118"/>
      <c r="AKV10" s="118"/>
      <c r="AKW10" s="118"/>
      <c r="AKX10" s="118"/>
      <c r="AKY10" s="118"/>
      <c r="AKZ10" s="118"/>
      <c r="ALA10" s="118"/>
      <c r="ALB10" s="118"/>
      <c r="ALC10" s="118"/>
      <c r="ALD10" s="118"/>
      <c r="ALE10" s="118"/>
      <c r="ALF10" s="118"/>
      <c r="ALG10" s="118"/>
      <c r="ALH10" s="118"/>
      <c r="ALI10" s="118"/>
      <c r="ALJ10" s="118"/>
      <c r="ALK10" s="118"/>
      <c r="ALL10" s="118"/>
      <c r="ALM10" s="118"/>
      <c r="ALN10" s="118"/>
      <c r="ALO10" s="118"/>
      <c r="ALP10" s="118"/>
      <c r="ALQ10" s="118"/>
      <c r="ALR10" s="118"/>
      <c r="ALS10" s="118"/>
      <c r="ALT10" s="118"/>
      <c r="ALU10" s="118"/>
      <c r="ALV10" s="118"/>
      <c r="ALW10" s="118"/>
      <c r="ALX10" s="118"/>
      <c r="ALY10" s="118"/>
      <c r="ALZ10" s="118"/>
      <c r="AMA10" s="118"/>
      <c r="AMB10" s="118"/>
      <c r="AMC10" s="118"/>
      <c r="AMD10" s="118"/>
      <c r="AME10" s="118"/>
      <c r="AMF10" s="118"/>
      <c r="AMG10" s="118"/>
      <c r="AMH10" s="118"/>
      <c r="AMI10" s="118"/>
      <c r="AMJ10" s="118"/>
      <c r="AMK10" s="118"/>
      <c r="AML10" s="118"/>
      <c r="AMM10" s="118"/>
      <c r="AMN10" s="118"/>
      <c r="AMO10" s="118"/>
      <c r="AMP10" s="118"/>
      <c r="AMQ10" s="118"/>
      <c r="AMR10" s="118"/>
      <c r="AMS10" s="118"/>
      <c r="AMT10" s="118"/>
      <c r="AMU10" s="118"/>
      <c r="AMV10" s="118"/>
      <c r="AMW10" s="118"/>
      <c r="AMX10" s="118"/>
      <c r="AMY10" s="118"/>
      <c r="AMZ10" s="118"/>
      <c r="ANA10" s="118"/>
      <c r="ANB10" s="118"/>
      <c r="ANC10" s="118"/>
      <c r="AND10" s="118"/>
      <c r="ANE10" s="118"/>
      <c r="ANF10" s="118"/>
      <c r="ANG10" s="118"/>
      <c r="ANH10" s="118"/>
      <c r="ANI10" s="118"/>
      <c r="ANJ10" s="118"/>
      <c r="ANK10" s="118"/>
      <c r="ANL10" s="118"/>
      <c r="ANM10" s="118"/>
      <c r="ANN10" s="118"/>
      <c r="ANO10" s="118"/>
      <c r="ANP10" s="118"/>
      <c r="ANQ10" s="118"/>
      <c r="ANR10" s="118"/>
      <c r="ANS10" s="118"/>
      <c r="ANT10" s="118"/>
      <c r="ANU10" s="118"/>
      <c r="ANV10" s="118"/>
      <c r="ANW10" s="118"/>
      <c r="ANX10" s="118"/>
      <c r="ANY10" s="118"/>
      <c r="ANZ10" s="118"/>
      <c r="AOA10" s="118"/>
      <c r="AOB10" s="118"/>
      <c r="AOC10" s="118"/>
      <c r="AOD10" s="118"/>
      <c r="AOE10" s="118"/>
      <c r="AOF10" s="118"/>
      <c r="AOG10" s="118"/>
      <c r="AOH10" s="118"/>
      <c r="AOI10" s="118"/>
      <c r="AOJ10" s="118"/>
      <c r="AOK10" s="118"/>
      <c r="AOL10" s="118"/>
      <c r="AOM10" s="118"/>
      <c r="AON10" s="118"/>
      <c r="AOO10" s="118"/>
      <c r="AOP10" s="118"/>
      <c r="AOQ10" s="118"/>
      <c r="AOR10" s="118"/>
      <c r="AOS10" s="118"/>
      <c r="AOT10" s="118"/>
      <c r="AOU10" s="118"/>
      <c r="AOV10" s="118"/>
      <c r="AOW10" s="118"/>
      <c r="AOX10" s="118"/>
      <c r="AOY10" s="118"/>
      <c r="AOZ10" s="118"/>
      <c r="APA10" s="118"/>
      <c r="APB10" s="118"/>
      <c r="APC10" s="118"/>
      <c r="APD10" s="118"/>
      <c r="APE10" s="118"/>
      <c r="APF10" s="118"/>
      <c r="APG10" s="118"/>
      <c r="APH10" s="118"/>
      <c r="API10" s="118"/>
      <c r="APJ10" s="118"/>
      <c r="APK10" s="118"/>
      <c r="APL10" s="118"/>
      <c r="APM10" s="118"/>
      <c r="APN10" s="118"/>
      <c r="APO10" s="118"/>
      <c r="APP10" s="118"/>
      <c r="APQ10" s="118"/>
      <c r="APR10" s="118"/>
      <c r="APS10" s="118"/>
      <c r="APT10" s="118"/>
      <c r="APU10" s="118"/>
      <c r="APV10" s="118"/>
      <c r="APW10" s="118"/>
      <c r="APX10" s="118"/>
      <c r="APY10" s="118"/>
      <c r="APZ10" s="118"/>
      <c r="AQA10" s="118"/>
      <c r="AQB10" s="118"/>
      <c r="AQC10" s="118"/>
      <c r="AQD10" s="118"/>
      <c r="AQE10" s="118"/>
      <c r="AQF10" s="118"/>
      <c r="AQG10" s="118"/>
      <c r="AQH10" s="118"/>
      <c r="AQI10" s="118"/>
      <c r="AQJ10" s="118"/>
      <c r="AQK10" s="118"/>
      <c r="AQL10" s="118"/>
      <c r="AQM10" s="118"/>
      <c r="AQN10" s="118"/>
      <c r="AQO10" s="118"/>
      <c r="AQP10" s="118"/>
      <c r="AQQ10" s="118"/>
      <c r="AQR10" s="118"/>
      <c r="AQS10" s="118"/>
      <c r="AQT10" s="118"/>
      <c r="AQU10" s="118"/>
      <c r="AQV10" s="118"/>
      <c r="AQW10" s="118"/>
      <c r="AQX10" s="118"/>
      <c r="AQY10" s="118"/>
      <c r="AQZ10" s="118"/>
      <c r="ARA10" s="118"/>
      <c r="ARB10" s="118"/>
      <c r="ARC10" s="118"/>
      <c r="ARD10" s="118"/>
      <c r="ARE10" s="118"/>
      <c r="ARF10" s="118"/>
      <c r="ARG10" s="118"/>
      <c r="ARH10" s="118"/>
      <c r="ARI10" s="118"/>
      <c r="ARJ10" s="118"/>
      <c r="ARK10" s="118"/>
      <c r="ARL10" s="118"/>
      <c r="ARM10" s="118"/>
      <c r="ARN10" s="118"/>
      <c r="ARO10" s="118"/>
      <c r="ARP10" s="118"/>
      <c r="ARQ10" s="118"/>
      <c r="ARR10" s="118"/>
      <c r="ARS10" s="118"/>
      <c r="ART10" s="118"/>
      <c r="ARU10" s="118"/>
      <c r="ARV10" s="118"/>
      <c r="ARW10" s="118"/>
      <c r="ARX10" s="118"/>
      <c r="ARY10" s="118"/>
      <c r="ARZ10" s="118"/>
      <c r="ASA10" s="118"/>
      <c r="ASB10" s="118"/>
      <c r="ASC10" s="118"/>
      <c r="ASD10" s="118"/>
      <c r="ASE10" s="118"/>
      <c r="ASF10" s="118"/>
      <c r="ASG10" s="118"/>
      <c r="ASH10" s="118"/>
      <c r="ASI10" s="118"/>
      <c r="ASJ10" s="118"/>
      <c r="ASK10" s="118"/>
      <c r="ASL10" s="118"/>
      <c r="ASM10" s="118"/>
      <c r="ASN10" s="118"/>
      <c r="ASO10" s="118"/>
      <c r="ASP10" s="118"/>
      <c r="ASQ10" s="118"/>
      <c r="ASR10" s="118"/>
      <c r="ASS10" s="118"/>
      <c r="AST10" s="118"/>
      <c r="ASU10" s="118"/>
      <c r="ASV10" s="118"/>
      <c r="ASW10" s="118"/>
      <c r="ASX10" s="118"/>
      <c r="ASY10" s="118"/>
      <c r="ASZ10" s="118"/>
      <c r="ATA10" s="118"/>
      <c r="ATB10" s="118"/>
      <c r="ATC10" s="118"/>
      <c r="ATD10" s="118"/>
      <c r="ATE10" s="118"/>
      <c r="ATF10" s="118"/>
      <c r="ATG10" s="118"/>
      <c r="ATH10" s="118"/>
      <c r="ATI10" s="118"/>
      <c r="ATJ10" s="118"/>
      <c r="ATK10" s="118"/>
      <c r="ATL10" s="118"/>
      <c r="ATM10" s="118"/>
      <c r="ATN10" s="118"/>
      <c r="ATO10" s="118"/>
      <c r="ATP10" s="118"/>
      <c r="ATQ10" s="118"/>
      <c r="ATR10" s="118"/>
      <c r="ATS10" s="118"/>
      <c r="ATT10" s="118"/>
      <c r="ATU10" s="118"/>
      <c r="ATV10" s="118"/>
      <c r="ATW10" s="118"/>
      <c r="ATX10" s="118"/>
      <c r="ATY10" s="118"/>
      <c r="ATZ10" s="118"/>
      <c r="AUA10" s="118"/>
      <c r="AUB10" s="118"/>
      <c r="AUC10" s="118"/>
      <c r="AUD10" s="118"/>
      <c r="AUE10" s="118"/>
      <c r="AUF10" s="118"/>
      <c r="AUG10" s="118"/>
      <c r="AUH10" s="118"/>
      <c r="AUI10" s="118"/>
      <c r="AUJ10" s="118"/>
      <c r="AUK10" s="118"/>
      <c r="AUL10" s="118"/>
      <c r="AUM10" s="118"/>
      <c r="AUN10" s="118"/>
      <c r="AUO10" s="118"/>
      <c r="AUP10" s="118"/>
      <c r="AUQ10" s="118"/>
      <c r="AUR10" s="118"/>
      <c r="AUS10" s="118"/>
      <c r="AUT10" s="118"/>
      <c r="AUU10" s="118"/>
      <c r="AUV10" s="118"/>
      <c r="AUW10" s="118"/>
      <c r="AUX10" s="118"/>
      <c r="AUY10" s="118"/>
      <c r="AUZ10" s="118"/>
      <c r="AVA10" s="118"/>
      <c r="AVB10" s="118"/>
      <c r="AVC10" s="118"/>
      <c r="AVD10" s="118"/>
      <c r="AVE10" s="118"/>
      <c r="AVF10" s="118"/>
      <c r="AVG10" s="118"/>
      <c r="AVH10" s="118"/>
      <c r="AVI10" s="118"/>
      <c r="AVJ10" s="118"/>
      <c r="AVK10" s="118"/>
      <c r="AVL10" s="118"/>
      <c r="AVM10" s="118"/>
      <c r="AVN10" s="118"/>
      <c r="AVO10" s="118"/>
      <c r="AVP10" s="118"/>
      <c r="AVQ10" s="118"/>
      <c r="AVR10" s="118"/>
      <c r="AVS10" s="118"/>
      <c r="AVT10" s="118"/>
      <c r="AVU10" s="118"/>
      <c r="AVV10" s="118"/>
      <c r="AVW10" s="118"/>
      <c r="AVX10" s="118"/>
      <c r="AVY10" s="118"/>
      <c r="AVZ10" s="118"/>
      <c r="AWA10" s="118"/>
      <c r="AWB10" s="118"/>
      <c r="AWC10" s="118"/>
      <c r="AWD10" s="118"/>
      <c r="AWE10" s="118"/>
      <c r="AWF10" s="118"/>
      <c r="AWG10" s="118"/>
      <c r="AWH10" s="118"/>
      <c r="AWI10" s="118"/>
      <c r="AWJ10" s="118"/>
      <c r="AWK10" s="118"/>
      <c r="AWL10" s="118"/>
      <c r="AWM10" s="118"/>
      <c r="AWN10" s="118"/>
      <c r="AWO10" s="118"/>
      <c r="AWP10" s="118"/>
      <c r="AWQ10" s="118"/>
      <c r="AWR10" s="118"/>
      <c r="AWS10" s="118"/>
      <c r="AWT10" s="118"/>
      <c r="AWU10" s="118"/>
      <c r="AWV10" s="118"/>
      <c r="AWW10" s="118"/>
      <c r="AWX10" s="118"/>
      <c r="AWY10" s="118"/>
      <c r="AWZ10" s="118"/>
      <c r="AXA10" s="118"/>
      <c r="AXB10" s="118"/>
      <c r="AXC10" s="118"/>
      <c r="AXD10" s="118"/>
      <c r="AXE10" s="118"/>
      <c r="AXF10" s="118"/>
      <c r="AXG10" s="118"/>
      <c r="AXH10" s="118"/>
      <c r="AXI10" s="118"/>
      <c r="AXJ10" s="118"/>
      <c r="AXK10" s="118"/>
      <c r="AXL10" s="118"/>
      <c r="AXM10" s="118"/>
      <c r="AXN10" s="118"/>
      <c r="AXO10" s="118"/>
      <c r="AXP10" s="118"/>
      <c r="AXQ10" s="118"/>
      <c r="AXR10" s="118"/>
      <c r="AXS10" s="118"/>
      <c r="AXT10" s="118"/>
      <c r="AXU10" s="118"/>
      <c r="AXV10" s="118"/>
      <c r="AXW10" s="118"/>
      <c r="AXX10" s="118"/>
      <c r="AXY10" s="118"/>
      <c r="AXZ10" s="118"/>
      <c r="AYA10" s="118"/>
      <c r="AYB10" s="118"/>
      <c r="AYC10" s="118"/>
      <c r="AYD10" s="118"/>
      <c r="AYE10" s="118"/>
      <c r="AYF10" s="118"/>
      <c r="AYG10" s="118"/>
      <c r="AYH10" s="118"/>
      <c r="AYI10" s="118"/>
      <c r="AYJ10" s="118"/>
      <c r="AYK10" s="118"/>
      <c r="AYL10" s="118"/>
      <c r="AYM10" s="118"/>
      <c r="AYN10" s="118"/>
      <c r="AYO10" s="118"/>
      <c r="AYP10" s="118"/>
      <c r="AYQ10" s="118"/>
      <c r="AYR10" s="118"/>
      <c r="AYS10" s="118"/>
      <c r="AYT10" s="118"/>
      <c r="AYU10" s="118"/>
      <c r="AYV10" s="118"/>
      <c r="AYW10" s="118"/>
      <c r="AYX10" s="118"/>
      <c r="AYY10" s="118"/>
      <c r="AYZ10" s="118"/>
      <c r="AZA10" s="118"/>
      <c r="AZB10" s="118"/>
      <c r="AZC10" s="118"/>
      <c r="AZD10" s="118"/>
      <c r="AZE10" s="118"/>
      <c r="AZF10" s="118"/>
      <c r="AZG10" s="118"/>
      <c r="AZH10" s="118"/>
      <c r="AZI10" s="118"/>
      <c r="AZJ10" s="118"/>
      <c r="AZK10" s="118"/>
      <c r="AZL10" s="118"/>
      <c r="AZM10" s="118"/>
      <c r="AZN10" s="118"/>
      <c r="AZO10" s="118"/>
      <c r="AZP10" s="118"/>
      <c r="AZQ10" s="118"/>
      <c r="AZR10" s="118"/>
      <c r="AZS10" s="118"/>
      <c r="AZT10" s="118"/>
      <c r="AZU10" s="118"/>
      <c r="AZV10" s="118"/>
      <c r="AZW10" s="118"/>
      <c r="AZX10" s="118"/>
      <c r="AZY10" s="118"/>
      <c r="AZZ10" s="118"/>
      <c r="BAA10" s="118"/>
      <c r="BAB10" s="118"/>
      <c r="BAC10" s="118"/>
      <c r="BAD10" s="118"/>
      <c r="BAE10" s="118"/>
      <c r="BAF10" s="118"/>
      <c r="BAG10" s="118"/>
      <c r="BAH10" s="118"/>
      <c r="BAI10" s="118"/>
      <c r="BAJ10" s="118"/>
      <c r="BAK10" s="118"/>
      <c r="BAL10" s="118"/>
      <c r="BAM10" s="118"/>
      <c r="BAN10" s="118"/>
      <c r="BAO10" s="118"/>
      <c r="BAP10" s="118"/>
      <c r="BAQ10" s="118"/>
      <c r="BAR10" s="118"/>
      <c r="BAS10" s="118"/>
      <c r="BAT10" s="118"/>
      <c r="BAU10" s="118"/>
      <c r="BAV10" s="118"/>
      <c r="BAW10" s="118"/>
      <c r="BAX10" s="118"/>
      <c r="BAY10" s="118"/>
      <c r="BAZ10" s="118"/>
      <c r="BBA10" s="118"/>
      <c r="BBB10" s="118"/>
      <c r="BBC10" s="118"/>
      <c r="BBD10" s="118"/>
      <c r="BBE10" s="118"/>
      <c r="BBF10" s="118"/>
      <c r="BBG10" s="118"/>
      <c r="BBH10" s="118"/>
      <c r="BBI10" s="118"/>
      <c r="BBJ10" s="118"/>
      <c r="BBK10" s="118"/>
      <c r="BBL10" s="118"/>
      <c r="BBM10" s="118"/>
      <c r="BBN10" s="118"/>
      <c r="BBO10" s="118"/>
      <c r="BBP10" s="118"/>
      <c r="BBQ10" s="118"/>
      <c r="BBR10" s="118"/>
      <c r="BBS10" s="118"/>
      <c r="BBT10" s="118"/>
      <c r="BBU10" s="118"/>
      <c r="BBV10" s="118"/>
      <c r="BBW10" s="118"/>
      <c r="BBX10" s="118"/>
      <c r="BBY10" s="118"/>
      <c r="BBZ10" s="118"/>
      <c r="BCA10" s="118"/>
      <c r="BCB10" s="118"/>
      <c r="BCC10" s="118"/>
      <c r="BCD10" s="118"/>
      <c r="BCE10" s="118"/>
      <c r="BCF10" s="118"/>
      <c r="BCG10" s="118"/>
      <c r="BCH10" s="118"/>
      <c r="BCI10" s="118"/>
      <c r="BCJ10" s="118"/>
      <c r="BCK10" s="118"/>
      <c r="BCL10" s="118"/>
      <c r="BCM10" s="118"/>
      <c r="BCN10" s="118"/>
      <c r="BCO10" s="118"/>
      <c r="BCP10" s="118"/>
      <c r="BCQ10" s="118"/>
      <c r="BCR10" s="118"/>
      <c r="BCS10" s="118"/>
      <c r="BCT10" s="118"/>
      <c r="BCU10" s="118"/>
      <c r="BCV10" s="118"/>
      <c r="BCW10" s="118"/>
      <c r="BCX10" s="118"/>
      <c r="BCY10" s="118"/>
      <c r="BCZ10" s="118"/>
      <c r="BDA10" s="118"/>
      <c r="BDB10" s="118"/>
      <c r="BDC10" s="118"/>
      <c r="BDD10" s="118"/>
      <c r="BDE10" s="118"/>
      <c r="BDF10" s="118"/>
      <c r="BDG10" s="118"/>
      <c r="BDH10" s="118"/>
      <c r="BDI10" s="118"/>
      <c r="BDJ10" s="118"/>
      <c r="BDK10" s="118"/>
      <c r="BDL10" s="118"/>
      <c r="BDM10" s="118"/>
      <c r="BDN10" s="118"/>
      <c r="BDO10" s="118"/>
      <c r="BDP10" s="118"/>
      <c r="BDQ10" s="118"/>
      <c r="BDR10" s="118"/>
      <c r="BDS10" s="118"/>
      <c r="BDT10" s="118"/>
      <c r="BDU10" s="118"/>
      <c r="BDV10" s="118"/>
      <c r="BDW10" s="118"/>
      <c r="BDX10" s="118"/>
      <c r="BDY10" s="118"/>
      <c r="BDZ10" s="118"/>
      <c r="BEA10" s="118"/>
      <c r="BEB10" s="118"/>
      <c r="BEC10" s="118"/>
      <c r="BED10" s="118"/>
      <c r="BEE10" s="118"/>
      <c r="BEF10" s="118"/>
      <c r="BEG10" s="118"/>
      <c r="BEH10" s="118"/>
      <c r="BEI10" s="118"/>
      <c r="BEJ10" s="118"/>
      <c r="BEK10" s="118"/>
      <c r="BEL10" s="118"/>
      <c r="BEM10" s="118"/>
      <c r="BEN10" s="118"/>
      <c r="BEO10" s="118"/>
      <c r="BEP10" s="118"/>
      <c r="BEQ10" s="118"/>
      <c r="BER10" s="118"/>
      <c r="BES10" s="118"/>
      <c r="BET10" s="118"/>
      <c r="BEU10" s="118"/>
      <c r="BEV10" s="118"/>
      <c r="BEW10" s="118"/>
      <c r="BEX10" s="118"/>
      <c r="BEY10" s="118"/>
      <c r="BEZ10" s="118"/>
      <c r="BFA10" s="118"/>
      <c r="BFB10" s="118"/>
      <c r="BFC10" s="118"/>
      <c r="BFD10" s="118"/>
      <c r="BFE10" s="118"/>
      <c r="BFF10" s="118"/>
      <c r="BFG10" s="118"/>
      <c r="BFH10" s="118"/>
      <c r="BFI10" s="118"/>
      <c r="BFJ10" s="118"/>
      <c r="BFK10" s="118"/>
      <c r="BFL10" s="118"/>
      <c r="BFM10" s="118"/>
      <c r="BFN10" s="118"/>
      <c r="BFO10" s="118"/>
      <c r="BFP10" s="118"/>
      <c r="BFQ10" s="118"/>
      <c r="BFR10" s="118"/>
      <c r="BFS10" s="118"/>
      <c r="BFT10" s="118"/>
      <c r="BFU10" s="118"/>
      <c r="BFV10" s="118"/>
      <c r="BFW10" s="118"/>
      <c r="BFX10" s="118"/>
      <c r="BFY10" s="118"/>
      <c r="BFZ10" s="118"/>
      <c r="BGA10" s="118"/>
      <c r="BGB10" s="118"/>
      <c r="BGC10" s="118"/>
      <c r="BGD10" s="118"/>
      <c r="BGE10" s="118"/>
      <c r="BGF10" s="118"/>
      <c r="BGG10" s="118"/>
      <c r="BGH10" s="118"/>
      <c r="BGI10" s="118"/>
      <c r="BGJ10" s="118"/>
      <c r="BGK10" s="118"/>
      <c r="BGL10" s="118"/>
      <c r="BGM10" s="118"/>
      <c r="BGN10" s="118"/>
      <c r="BGO10" s="118"/>
      <c r="BGP10" s="118"/>
      <c r="BGQ10" s="118"/>
      <c r="BGR10" s="118"/>
      <c r="BGS10" s="118"/>
      <c r="BGT10" s="118"/>
      <c r="BGU10" s="118"/>
      <c r="BGV10" s="118"/>
      <c r="BGW10" s="118"/>
      <c r="BGX10" s="118"/>
      <c r="BGY10" s="118"/>
      <c r="BGZ10" s="118"/>
      <c r="BHA10" s="118"/>
      <c r="BHB10" s="118"/>
      <c r="BHC10" s="118"/>
      <c r="BHD10" s="118"/>
      <c r="BHE10" s="118"/>
      <c r="BHF10" s="118"/>
      <c r="BHG10" s="118"/>
      <c r="BHH10" s="118"/>
      <c r="BHI10" s="118"/>
      <c r="BHJ10" s="118"/>
      <c r="BHK10" s="118"/>
      <c r="BHL10" s="118"/>
      <c r="BHM10" s="118"/>
      <c r="BHN10" s="118"/>
      <c r="BHO10" s="118"/>
      <c r="BHP10" s="118"/>
      <c r="BHQ10" s="118"/>
      <c r="BHR10" s="118"/>
      <c r="BHS10" s="118"/>
      <c r="BHT10" s="118"/>
      <c r="BHU10" s="118"/>
      <c r="BHV10" s="118"/>
      <c r="BHW10" s="118"/>
      <c r="BHX10" s="118"/>
      <c r="BHY10" s="118"/>
      <c r="BHZ10" s="118"/>
      <c r="BIA10" s="118"/>
      <c r="BIB10" s="118"/>
      <c r="BIC10" s="118"/>
      <c r="BID10" s="118"/>
      <c r="BIE10" s="118"/>
      <c r="BIF10" s="118"/>
      <c r="BIG10" s="118"/>
      <c r="BIH10" s="118"/>
      <c r="BII10" s="118"/>
      <c r="BIJ10" s="118"/>
      <c r="BIK10" s="118"/>
      <c r="BIL10" s="118"/>
      <c r="BIM10" s="118"/>
      <c r="BIN10" s="118"/>
      <c r="BIO10" s="118"/>
      <c r="BIP10" s="118"/>
      <c r="BIQ10" s="118"/>
      <c r="BIR10" s="118"/>
      <c r="BIS10" s="118"/>
      <c r="BIT10" s="118"/>
      <c r="BIU10" s="118"/>
      <c r="BIV10" s="118"/>
      <c r="BIW10" s="118"/>
      <c r="BIX10" s="118"/>
      <c r="BIY10" s="118"/>
      <c r="BIZ10" s="118"/>
      <c r="BJA10" s="118"/>
      <c r="BJB10" s="118"/>
      <c r="BJC10" s="118"/>
      <c r="BJD10" s="118"/>
      <c r="BJE10" s="118"/>
      <c r="BJF10" s="118"/>
      <c r="BJG10" s="118"/>
      <c r="BJH10" s="118"/>
      <c r="BJI10" s="118"/>
      <c r="BJJ10" s="118"/>
      <c r="BJK10" s="118"/>
      <c r="BJL10" s="118"/>
      <c r="BJM10" s="118"/>
      <c r="BJN10" s="118"/>
      <c r="BJO10" s="118"/>
      <c r="BJP10" s="118"/>
      <c r="BJQ10" s="118"/>
      <c r="BJR10" s="118"/>
      <c r="BJS10" s="118"/>
      <c r="BJT10" s="118"/>
      <c r="BJU10" s="118"/>
      <c r="BJV10" s="118"/>
      <c r="BJW10" s="118"/>
      <c r="BJX10" s="118"/>
      <c r="BJY10" s="118"/>
      <c r="BJZ10" s="118"/>
      <c r="BKA10" s="118"/>
      <c r="BKB10" s="118"/>
      <c r="BKC10" s="118"/>
      <c r="BKD10" s="118"/>
      <c r="BKE10" s="118"/>
      <c r="BKF10" s="118"/>
      <c r="BKG10" s="118"/>
      <c r="BKH10" s="118"/>
      <c r="BKI10" s="118"/>
      <c r="BKJ10" s="118"/>
      <c r="BKK10" s="118"/>
      <c r="BKL10" s="118"/>
      <c r="BKM10" s="118"/>
      <c r="BKN10" s="118"/>
      <c r="BKO10" s="118"/>
      <c r="BKP10" s="118"/>
      <c r="BKQ10" s="118"/>
      <c r="BKR10" s="118"/>
      <c r="BKS10" s="118"/>
      <c r="BKT10" s="118"/>
      <c r="BKU10" s="118"/>
      <c r="BKV10" s="118"/>
      <c r="BKW10" s="118"/>
      <c r="BKX10" s="118"/>
      <c r="BKY10" s="118"/>
      <c r="BKZ10" s="118"/>
      <c r="BLA10" s="118"/>
      <c r="BLB10" s="118"/>
      <c r="BLC10" s="118"/>
      <c r="BLD10" s="118"/>
      <c r="BLE10" s="118"/>
      <c r="BLF10" s="118"/>
      <c r="BLG10" s="118"/>
      <c r="BLH10" s="118"/>
      <c r="BLI10" s="118"/>
      <c r="BLJ10" s="118"/>
      <c r="BLK10" s="118"/>
      <c r="BLL10" s="118"/>
      <c r="BLM10" s="118"/>
      <c r="BLN10" s="118"/>
      <c r="BLO10" s="118"/>
      <c r="BLP10" s="118"/>
      <c r="BLQ10" s="118"/>
      <c r="BLR10" s="118"/>
      <c r="BLS10" s="118"/>
      <c r="BLT10" s="118"/>
      <c r="BLU10" s="118"/>
      <c r="BLV10" s="118"/>
      <c r="BLW10" s="118"/>
      <c r="BLX10" s="118"/>
      <c r="BLY10" s="118"/>
      <c r="BLZ10" s="118"/>
      <c r="BMA10" s="118"/>
      <c r="BMB10" s="118"/>
      <c r="BMC10" s="118"/>
      <c r="BMD10" s="118"/>
      <c r="BME10" s="118"/>
      <c r="BMF10" s="118"/>
      <c r="BMG10" s="118"/>
      <c r="BMH10" s="118"/>
      <c r="BMI10" s="118"/>
      <c r="BMJ10" s="118"/>
      <c r="BMK10" s="118"/>
      <c r="BML10" s="118"/>
      <c r="BMM10" s="118"/>
      <c r="BMN10" s="118"/>
      <c r="BMO10" s="118"/>
      <c r="BMP10" s="118"/>
      <c r="BMQ10" s="118"/>
      <c r="BMR10" s="118"/>
      <c r="BMS10" s="118"/>
      <c r="BMT10" s="118"/>
      <c r="BMU10" s="118"/>
      <c r="BMV10" s="118"/>
      <c r="BMW10" s="118"/>
      <c r="BMX10" s="118"/>
      <c r="BMY10" s="118"/>
      <c r="BMZ10" s="118"/>
      <c r="BNA10" s="118"/>
      <c r="BNB10" s="118"/>
      <c r="BNC10" s="118"/>
      <c r="BND10" s="118"/>
      <c r="BNE10" s="118"/>
      <c r="BNF10" s="118"/>
      <c r="BNG10" s="118"/>
      <c r="BNH10" s="118"/>
      <c r="BNI10" s="118"/>
      <c r="BNJ10" s="118"/>
      <c r="BNK10" s="118"/>
      <c r="BNL10" s="118"/>
      <c r="BNM10" s="118"/>
      <c r="BNN10" s="118"/>
      <c r="BNO10" s="118"/>
      <c r="BNP10" s="118"/>
      <c r="BNQ10" s="118"/>
      <c r="BNR10" s="118"/>
      <c r="BNS10" s="118"/>
      <c r="BNT10" s="118"/>
      <c r="BNU10" s="118"/>
      <c r="BNV10" s="118"/>
      <c r="BNW10" s="118"/>
      <c r="BNX10" s="118"/>
      <c r="BNY10" s="118"/>
      <c r="BNZ10" s="118"/>
      <c r="BOA10" s="118"/>
      <c r="BOB10" s="118"/>
      <c r="BOC10" s="118"/>
      <c r="BOD10" s="118"/>
      <c r="BOE10" s="118"/>
      <c r="BOF10" s="118"/>
      <c r="BOG10" s="118"/>
      <c r="BOH10" s="118"/>
      <c r="BOI10" s="118"/>
      <c r="BOJ10" s="118"/>
      <c r="BOK10" s="118"/>
      <c r="BOL10" s="118"/>
      <c r="BOM10" s="118"/>
      <c r="BON10" s="118"/>
      <c r="BOO10" s="118"/>
      <c r="BOP10" s="118"/>
      <c r="BOQ10" s="118"/>
      <c r="BOR10" s="118"/>
      <c r="BOS10" s="118"/>
      <c r="BOT10" s="118"/>
      <c r="BOU10" s="118"/>
      <c r="BOV10" s="118"/>
      <c r="BOW10" s="118"/>
      <c r="BOX10" s="118"/>
      <c r="BOY10" s="118"/>
      <c r="BOZ10" s="118"/>
      <c r="BPA10" s="118"/>
      <c r="BPB10" s="118"/>
      <c r="BPC10" s="118"/>
      <c r="BPD10" s="118"/>
      <c r="BPE10" s="118"/>
      <c r="BPF10" s="118"/>
      <c r="BPG10" s="118"/>
      <c r="BPH10" s="118"/>
      <c r="BPI10" s="118"/>
      <c r="BPJ10" s="118"/>
      <c r="BPK10" s="118"/>
      <c r="BPL10" s="118"/>
      <c r="BPM10" s="118"/>
      <c r="BPN10" s="118"/>
      <c r="BPO10" s="118"/>
      <c r="BPP10" s="118"/>
      <c r="BPQ10" s="118"/>
      <c r="BPR10" s="118"/>
      <c r="BPS10" s="118"/>
      <c r="BPT10" s="118"/>
      <c r="BPU10" s="118"/>
      <c r="BPV10" s="118"/>
      <c r="BPW10" s="118"/>
      <c r="BPX10" s="118"/>
      <c r="BPY10" s="118"/>
      <c r="BPZ10" s="118"/>
      <c r="BQA10" s="118"/>
      <c r="BQB10" s="118"/>
      <c r="BQC10" s="118"/>
      <c r="BQD10" s="118"/>
      <c r="BQE10" s="118"/>
      <c r="BQF10" s="118"/>
      <c r="BQG10" s="118"/>
      <c r="BQH10" s="118"/>
      <c r="BQI10" s="118"/>
      <c r="BQJ10" s="118"/>
      <c r="BQK10" s="118"/>
      <c r="BQL10" s="118"/>
      <c r="BQM10" s="118"/>
      <c r="BQN10" s="118"/>
      <c r="BQO10" s="118"/>
      <c r="BQP10" s="118"/>
      <c r="BQQ10" s="118"/>
      <c r="BQR10" s="118"/>
      <c r="BQS10" s="118"/>
      <c r="BQT10" s="118"/>
      <c r="BQU10" s="118"/>
      <c r="BQV10" s="118"/>
      <c r="BQW10" s="118"/>
      <c r="BQX10" s="118"/>
      <c r="BQY10" s="118"/>
      <c r="BQZ10" s="118"/>
      <c r="BRA10" s="118"/>
      <c r="BRB10" s="118"/>
      <c r="BRC10" s="118"/>
      <c r="BRD10" s="118"/>
      <c r="BRE10" s="118"/>
      <c r="BRF10" s="118"/>
      <c r="BRG10" s="118"/>
      <c r="BRH10" s="118"/>
      <c r="BRI10" s="118"/>
      <c r="BRJ10" s="118"/>
      <c r="BRK10" s="118"/>
      <c r="BRL10" s="118"/>
      <c r="BRM10" s="118"/>
      <c r="BRN10" s="118"/>
      <c r="BRO10" s="118"/>
      <c r="BRP10" s="118"/>
      <c r="BRQ10" s="118"/>
      <c r="BRR10" s="118"/>
      <c r="BRS10" s="118"/>
      <c r="BRT10" s="118"/>
      <c r="BRU10" s="118"/>
      <c r="BRV10" s="118"/>
      <c r="BRW10" s="118"/>
      <c r="BRX10" s="118"/>
      <c r="BRY10" s="118"/>
      <c r="BRZ10" s="118"/>
      <c r="BSA10" s="118"/>
      <c r="BSB10" s="118"/>
      <c r="BSC10" s="118"/>
      <c r="BSD10" s="118"/>
      <c r="BSE10" s="118"/>
      <c r="BSF10" s="118"/>
      <c r="BSG10" s="118"/>
      <c r="BSH10" s="118"/>
      <c r="BSI10" s="118"/>
      <c r="BSJ10" s="118"/>
      <c r="BSK10" s="118"/>
      <c r="BSL10" s="118"/>
      <c r="BSM10" s="118"/>
      <c r="BSN10" s="118"/>
      <c r="BSO10" s="118"/>
      <c r="BSP10" s="118"/>
      <c r="BSQ10" s="118"/>
      <c r="BSR10" s="118"/>
      <c r="BSS10" s="118"/>
      <c r="BST10" s="118"/>
      <c r="BSU10" s="118"/>
      <c r="BSV10" s="118"/>
      <c r="BSW10" s="118"/>
      <c r="BSX10" s="118"/>
      <c r="BSY10" s="118"/>
      <c r="BSZ10" s="118"/>
      <c r="BTA10" s="118"/>
      <c r="BTB10" s="118"/>
      <c r="BTC10" s="118"/>
      <c r="BTD10" s="118"/>
      <c r="BTE10" s="118"/>
      <c r="BTF10" s="118"/>
      <c r="BTG10" s="118"/>
      <c r="BTH10" s="118"/>
      <c r="BTI10" s="118"/>
      <c r="BTJ10" s="118"/>
      <c r="BTK10" s="118"/>
      <c r="BTL10" s="118"/>
      <c r="BTM10" s="118"/>
      <c r="BTN10" s="118"/>
      <c r="BTO10" s="118"/>
      <c r="BTP10" s="118"/>
      <c r="BTQ10" s="118"/>
      <c r="BTR10" s="118"/>
      <c r="BTS10" s="118"/>
      <c r="BTT10" s="118"/>
      <c r="BTU10" s="118"/>
      <c r="BTV10" s="118"/>
      <c r="BTW10" s="118"/>
      <c r="BTX10" s="118"/>
      <c r="BTY10" s="118"/>
      <c r="BTZ10" s="118"/>
      <c r="BUA10" s="118"/>
      <c r="BUB10" s="118"/>
      <c r="BUC10" s="118"/>
      <c r="BUD10" s="118"/>
      <c r="BUE10" s="118"/>
      <c r="BUF10" s="118"/>
      <c r="BUG10" s="118"/>
      <c r="BUH10" s="118"/>
      <c r="BUI10" s="118"/>
      <c r="BUJ10" s="118"/>
      <c r="BUK10" s="118"/>
      <c r="BUL10" s="118"/>
      <c r="BUM10" s="118"/>
      <c r="BUN10" s="118"/>
      <c r="BUO10" s="118"/>
      <c r="BUP10" s="118"/>
      <c r="BUQ10" s="118"/>
      <c r="BUR10" s="118"/>
      <c r="BUS10" s="118"/>
      <c r="BUT10" s="118"/>
      <c r="BUU10" s="118"/>
      <c r="BUV10" s="118"/>
      <c r="BUW10" s="118"/>
      <c r="BUX10" s="118"/>
      <c r="BUY10" s="118"/>
      <c r="BUZ10" s="118"/>
      <c r="BVA10" s="118"/>
      <c r="BVB10" s="118"/>
      <c r="BVC10" s="118"/>
      <c r="BVD10" s="118"/>
      <c r="BVE10" s="118"/>
      <c r="BVF10" s="118"/>
      <c r="BVG10" s="118"/>
      <c r="BVH10" s="118"/>
      <c r="BVI10" s="118"/>
      <c r="BVJ10" s="118"/>
      <c r="BVK10" s="118"/>
      <c r="BVL10" s="118"/>
      <c r="BVM10" s="118"/>
      <c r="BVN10" s="118"/>
      <c r="BVO10" s="118"/>
      <c r="BVP10" s="118"/>
      <c r="BVQ10" s="118"/>
      <c r="BVR10" s="118"/>
      <c r="BVS10" s="118"/>
      <c r="BVT10" s="118"/>
      <c r="BVU10" s="118"/>
      <c r="BVV10" s="118"/>
      <c r="BVW10" s="118"/>
      <c r="BVX10" s="118"/>
      <c r="BVY10" s="118"/>
      <c r="BVZ10" s="118"/>
      <c r="BWA10" s="118"/>
      <c r="BWB10" s="118"/>
      <c r="BWC10" s="118"/>
      <c r="BWD10" s="118"/>
      <c r="BWE10" s="118"/>
      <c r="BWF10" s="118"/>
      <c r="BWG10" s="118"/>
      <c r="BWH10" s="118"/>
      <c r="BWI10" s="118"/>
      <c r="BWJ10" s="118"/>
      <c r="BWK10" s="118"/>
      <c r="BWL10" s="118"/>
      <c r="BWM10" s="118"/>
      <c r="BWN10" s="118"/>
      <c r="BWO10" s="118"/>
      <c r="BWP10" s="118"/>
      <c r="BWQ10" s="118"/>
      <c r="BWR10" s="118"/>
      <c r="BWS10" s="118"/>
      <c r="BWT10" s="118"/>
      <c r="BWU10" s="118"/>
      <c r="BWV10" s="118"/>
      <c r="BWW10" s="118"/>
      <c r="BWX10" s="118"/>
      <c r="BWY10" s="118"/>
      <c r="BWZ10" s="118"/>
      <c r="BXA10" s="118"/>
      <c r="BXB10" s="118"/>
      <c r="BXC10" s="118"/>
      <c r="BXD10" s="118"/>
      <c r="BXE10" s="118"/>
      <c r="BXF10" s="118"/>
      <c r="BXG10" s="118"/>
      <c r="BXH10" s="118"/>
      <c r="BXI10" s="118"/>
      <c r="BXJ10" s="118"/>
      <c r="BXK10" s="118"/>
      <c r="BXL10" s="118"/>
      <c r="BXM10" s="118"/>
      <c r="BXN10" s="118"/>
      <c r="BXO10" s="118"/>
      <c r="BXP10" s="118"/>
      <c r="BXQ10" s="118"/>
      <c r="BXR10" s="118"/>
      <c r="BXS10" s="118"/>
      <c r="BXT10" s="118"/>
      <c r="BXU10" s="118"/>
      <c r="BXV10" s="118"/>
      <c r="BXW10" s="118"/>
      <c r="BXX10" s="118"/>
      <c r="BXY10" s="118"/>
      <c r="BXZ10" s="118"/>
      <c r="BYA10" s="118"/>
      <c r="BYB10" s="118"/>
      <c r="BYC10" s="118"/>
      <c r="BYD10" s="118"/>
      <c r="BYE10" s="118"/>
      <c r="BYF10" s="118"/>
      <c r="BYG10" s="118"/>
      <c r="BYH10" s="118"/>
      <c r="BYI10" s="118"/>
      <c r="BYJ10" s="118"/>
      <c r="BYK10" s="118"/>
      <c r="BYL10" s="118"/>
      <c r="BYM10" s="118"/>
      <c r="BYN10" s="118"/>
      <c r="BYO10" s="118"/>
      <c r="BYP10" s="118"/>
      <c r="BYQ10" s="118"/>
      <c r="BYR10" s="118"/>
      <c r="BYS10" s="118"/>
      <c r="BYT10" s="118"/>
      <c r="BYU10" s="118"/>
      <c r="BYV10" s="118"/>
      <c r="BYW10" s="118"/>
      <c r="BYX10" s="118"/>
      <c r="BYY10" s="118"/>
      <c r="BYZ10" s="118"/>
      <c r="BZA10" s="118"/>
      <c r="BZB10" s="118"/>
      <c r="BZC10" s="118"/>
      <c r="BZD10" s="118"/>
      <c r="BZE10" s="118"/>
      <c r="BZF10" s="118"/>
      <c r="BZG10" s="118"/>
      <c r="BZH10" s="118"/>
      <c r="BZI10" s="118"/>
      <c r="BZJ10" s="118"/>
      <c r="BZK10" s="118"/>
      <c r="BZL10" s="118"/>
      <c r="BZM10" s="118"/>
      <c r="BZN10" s="118"/>
      <c r="BZO10" s="118"/>
      <c r="BZP10" s="118"/>
      <c r="BZQ10" s="118"/>
      <c r="BZR10" s="118"/>
      <c r="BZS10" s="118"/>
      <c r="BZT10" s="118"/>
      <c r="BZU10" s="118"/>
      <c r="BZV10" s="118"/>
      <c r="BZW10" s="118"/>
      <c r="BZX10" s="118"/>
      <c r="BZY10" s="118"/>
      <c r="BZZ10" s="118"/>
      <c r="CAA10" s="118"/>
      <c r="CAB10" s="118"/>
      <c r="CAC10" s="118"/>
      <c r="CAD10" s="118"/>
      <c r="CAE10" s="118"/>
      <c r="CAF10" s="118"/>
      <c r="CAG10" s="118"/>
      <c r="CAH10" s="118"/>
      <c r="CAI10" s="118"/>
      <c r="CAJ10" s="118"/>
      <c r="CAK10" s="118"/>
      <c r="CAL10" s="118"/>
      <c r="CAM10" s="118"/>
      <c r="CAN10" s="118"/>
      <c r="CAO10" s="118"/>
      <c r="CAP10" s="118"/>
      <c r="CAQ10" s="118"/>
      <c r="CAR10" s="118"/>
      <c r="CAS10" s="118"/>
      <c r="CAT10" s="118"/>
      <c r="CAU10" s="118"/>
      <c r="CAV10" s="118"/>
      <c r="CAW10" s="118"/>
      <c r="CAX10" s="118"/>
      <c r="CAY10" s="118"/>
      <c r="CAZ10" s="118"/>
      <c r="CBA10" s="118"/>
      <c r="CBB10" s="118"/>
      <c r="CBC10" s="118"/>
      <c r="CBD10" s="118"/>
      <c r="CBE10" s="118"/>
      <c r="CBF10" s="118"/>
      <c r="CBG10" s="118"/>
      <c r="CBH10" s="118"/>
      <c r="CBI10" s="118"/>
      <c r="CBJ10" s="118"/>
      <c r="CBK10" s="118"/>
      <c r="CBL10" s="118"/>
      <c r="CBM10" s="118"/>
      <c r="CBN10" s="118"/>
      <c r="CBO10" s="118"/>
      <c r="CBP10" s="118"/>
      <c r="CBQ10" s="118"/>
      <c r="CBR10" s="118"/>
      <c r="CBS10" s="118"/>
      <c r="CBT10" s="118"/>
      <c r="CBU10" s="118"/>
      <c r="CBV10" s="118"/>
      <c r="CBW10" s="118"/>
      <c r="CBX10" s="118"/>
      <c r="CBY10" s="118"/>
      <c r="CBZ10" s="118"/>
      <c r="CCA10" s="118"/>
      <c r="CCB10" s="118"/>
      <c r="CCC10" s="118"/>
      <c r="CCD10" s="118"/>
      <c r="CCE10" s="118"/>
      <c r="CCF10" s="118"/>
      <c r="CCG10" s="118"/>
      <c r="CCH10" s="118"/>
      <c r="CCI10" s="118"/>
      <c r="CCJ10" s="118"/>
      <c r="CCK10" s="118"/>
      <c r="CCL10" s="118"/>
      <c r="CCM10" s="118"/>
      <c r="CCN10" s="118"/>
      <c r="CCO10" s="118"/>
      <c r="CCP10" s="118"/>
      <c r="CCQ10" s="118"/>
      <c r="CCR10" s="118"/>
      <c r="CCS10" s="118"/>
      <c r="CCT10" s="118"/>
      <c r="CCU10" s="118"/>
      <c r="CCV10" s="118"/>
      <c r="CCW10" s="118"/>
      <c r="CCX10" s="118"/>
      <c r="CCY10" s="118"/>
      <c r="CCZ10" s="118"/>
      <c r="CDA10" s="118"/>
      <c r="CDB10" s="118"/>
      <c r="CDC10" s="118"/>
      <c r="CDD10" s="118"/>
      <c r="CDE10" s="118"/>
      <c r="CDF10" s="118"/>
      <c r="CDG10" s="118"/>
      <c r="CDH10" s="118"/>
      <c r="CDI10" s="118"/>
      <c r="CDJ10" s="118"/>
      <c r="CDK10" s="118"/>
      <c r="CDL10" s="118"/>
      <c r="CDM10" s="118"/>
      <c r="CDN10" s="118"/>
      <c r="CDO10" s="118"/>
      <c r="CDP10" s="118"/>
      <c r="CDQ10" s="118"/>
      <c r="CDR10" s="118"/>
      <c r="CDS10" s="118"/>
      <c r="CDT10" s="118"/>
      <c r="CDU10" s="118"/>
      <c r="CDV10" s="118"/>
      <c r="CDW10" s="118"/>
      <c r="CDX10" s="118"/>
      <c r="CDY10" s="118"/>
      <c r="CDZ10" s="118"/>
      <c r="CEA10" s="118"/>
      <c r="CEB10" s="118"/>
      <c r="CEC10" s="118"/>
      <c r="CED10" s="118"/>
      <c r="CEE10" s="118"/>
      <c r="CEF10" s="118"/>
      <c r="CEG10" s="118"/>
      <c r="CEH10" s="118"/>
      <c r="CEI10" s="118"/>
      <c r="CEJ10" s="118"/>
      <c r="CEK10" s="118"/>
      <c r="CEL10" s="118"/>
      <c r="CEM10" s="118"/>
      <c r="CEN10" s="118"/>
      <c r="CEO10" s="118"/>
      <c r="CEP10" s="118"/>
      <c r="CEQ10" s="118"/>
      <c r="CER10" s="118"/>
      <c r="CES10" s="118"/>
      <c r="CET10" s="118"/>
      <c r="CEU10" s="118"/>
      <c r="CEV10" s="118"/>
      <c r="CEW10" s="118"/>
      <c r="CEX10" s="118"/>
      <c r="CEY10" s="118"/>
      <c r="CEZ10" s="118"/>
      <c r="CFA10" s="118"/>
      <c r="CFB10" s="118"/>
      <c r="CFC10" s="118"/>
      <c r="CFD10" s="118"/>
      <c r="CFE10" s="118"/>
      <c r="CFF10" s="118"/>
      <c r="CFG10" s="118"/>
      <c r="CFH10" s="118"/>
      <c r="CFI10" s="118"/>
      <c r="CFJ10" s="118"/>
      <c r="CFK10" s="118"/>
      <c r="CFL10" s="118"/>
      <c r="CFM10" s="118"/>
      <c r="CFN10" s="118"/>
      <c r="CFO10" s="118"/>
      <c r="CFP10" s="118"/>
      <c r="CFQ10" s="118"/>
      <c r="CFR10" s="118"/>
      <c r="CFS10" s="118"/>
      <c r="CFT10" s="118"/>
      <c r="CFU10" s="118"/>
      <c r="CFV10" s="118"/>
      <c r="CFW10" s="118"/>
      <c r="CFX10" s="118"/>
      <c r="CFY10" s="118"/>
      <c r="CFZ10" s="118"/>
      <c r="CGA10" s="118"/>
      <c r="CGB10" s="118"/>
      <c r="CGC10" s="118"/>
      <c r="CGD10" s="118"/>
      <c r="CGE10" s="118"/>
      <c r="CGF10" s="118"/>
      <c r="CGG10" s="118"/>
      <c r="CGH10" s="118"/>
      <c r="CGI10" s="118"/>
      <c r="CGJ10" s="118"/>
      <c r="CGK10" s="118"/>
      <c r="CGL10" s="118"/>
      <c r="CGM10" s="118"/>
      <c r="CGN10" s="118"/>
      <c r="CGO10" s="118"/>
      <c r="CGP10" s="118"/>
      <c r="CGQ10" s="118"/>
      <c r="CGR10" s="118"/>
      <c r="CGS10" s="118"/>
      <c r="CGT10" s="118"/>
      <c r="CGU10" s="118"/>
      <c r="CGV10" s="118"/>
      <c r="CGW10" s="118"/>
      <c r="CGX10" s="118"/>
      <c r="CGY10" s="118"/>
      <c r="CGZ10" s="118"/>
      <c r="CHA10" s="118"/>
      <c r="CHB10" s="118"/>
      <c r="CHC10" s="118"/>
      <c r="CHD10" s="118"/>
      <c r="CHE10" s="118"/>
      <c r="CHF10" s="118"/>
      <c r="CHG10" s="118"/>
      <c r="CHH10" s="118"/>
      <c r="CHI10" s="118"/>
      <c r="CHJ10" s="118"/>
      <c r="CHK10" s="118"/>
      <c r="CHL10" s="118"/>
      <c r="CHM10" s="118"/>
      <c r="CHN10" s="118"/>
      <c r="CHO10" s="118"/>
      <c r="CHP10" s="118"/>
      <c r="CHQ10" s="118"/>
      <c r="CHR10" s="118"/>
      <c r="CHS10" s="118"/>
      <c r="CHT10" s="118"/>
      <c r="CHU10" s="118"/>
      <c r="CHV10" s="118"/>
      <c r="CHW10" s="118"/>
      <c r="CHX10" s="118"/>
      <c r="CHY10" s="118"/>
      <c r="CHZ10" s="118"/>
      <c r="CIA10" s="118"/>
      <c r="CIB10" s="118"/>
      <c r="CIC10" s="118"/>
      <c r="CID10" s="118"/>
      <c r="CIE10" s="118"/>
      <c r="CIF10" s="118"/>
      <c r="CIG10" s="118"/>
      <c r="CIH10" s="118"/>
      <c r="CII10" s="118"/>
      <c r="CIJ10" s="118"/>
      <c r="CIK10" s="118"/>
      <c r="CIL10" s="118"/>
      <c r="CIM10" s="118"/>
      <c r="CIN10" s="118"/>
      <c r="CIO10" s="118"/>
      <c r="CIP10" s="118"/>
      <c r="CIQ10" s="118"/>
      <c r="CIR10" s="118"/>
      <c r="CIS10" s="118"/>
      <c r="CIT10" s="118"/>
      <c r="CIU10" s="118"/>
      <c r="CIV10" s="118"/>
      <c r="CIW10" s="118"/>
      <c r="CIX10" s="118"/>
      <c r="CIY10" s="118"/>
      <c r="CIZ10" s="118"/>
      <c r="CJA10" s="118"/>
      <c r="CJB10" s="118"/>
      <c r="CJC10" s="118"/>
      <c r="CJD10" s="118"/>
      <c r="CJE10" s="118"/>
      <c r="CJF10" s="118"/>
      <c r="CJG10" s="118"/>
      <c r="CJH10" s="118"/>
      <c r="CJI10" s="118"/>
      <c r="CJJ10" s="118"/>
      <c r="CJK10" s="118"/>
      <c r="CJL10" s="118"/>
      <c r="CJM10" s="118"/>
      <c r="CJN10" s="118"/>
      <c r="CJO10" s="118"/>
      <c r="CJP10" s="118"/>
      <c r="CJQ10" s="118"/>
      <c r="CJR10" s="118"/>
      <c r="CJS10" s="118"/>
      <c r="CJT10" s="118"/>
      <c r="CJU10" s="118"/>
      <c r="CJV10" s="118"/>
      <c r="CJW10" s="118"/>
      <c r="CJX10" s="118"/>
      <c r="CJY10" s="118"/>
      <c r="CJZ10" s="118"/>
      <c r="CKA10" s="118"/>
      <c r="CKB10" s="118"/>
      <c r="CKC10" s="118"/>
      <c r="CKD10" s="118"/>
      <c r="CKE10" s="118"/>
      <c r="CKF10" s="118"/>
      <c r="CKG10" s="118"/>
      <c r="CKH10" s="118"/>
      <c r="CKI10" s="118"/>
      <c r="CKJ10" s="118"/>
      <c r="CKK10" s="118"/>
      <c r="CKL10" s="118"/>
      <c r="CKM10" s="118"/>
      <c r="CKN10" s="118"/>
      <c r="CKO10" s="118"/>
      <c r="CKP10" s="118"/>
      <c r="CKQ10" s="118"/>
      <c r="CKR10" s="118"/>
      <c r="CKS10" s="118"/>
      <c r="CKT10" s="118"/>
      <c r="CKU10" s="118"/>
      <c r="CKV10" s="118"/>
      <c r="CKW10" s="118"/>
      <c r="CKX10" s="118"/>
      <c r="CKY10" s="118"/>
      <c r="CKZ10" s="118"/>
      <c r="CLA10" s="118"/>
      <c r="CLB10" s="118"/>
      <c r="CLC10" s="118"/>
      <c r="CLD10" s="118"/>
      <c r="CLE10" s="118"/>
      <c r="CLF10" s="118"/>
      <c r="CLG10" s="118"/>
      <c r="CLH10" s="118"/>
      <c r="CLI10" s="118"/>
      <c r="CLJ10" s="118"/>
      <c r="CLK10" s="118"/>
      <c r="CLL10" s="118"/>
      <c r="CLM10" s="118"/>
      <c r="CLN10" s="118"/>
      <c r="CLO10" s="118"/>
      <c r="CLP10" s="118"/>
      <c r="CLQ10" s="118"/>
      <c r="CLR10" s="118"/>
      <c r="CLS10" s="118"/>
      <c r="CLT10" s="118"/>
      <c r="CLU10" s="118"/>
      <c r="CLV10" s="118"/>
      <c r="CLW10" s="118"/>
      <c r="CLX10" s="118"/>
      <c r="CLY10" s="118"/>
      <c r="CLZ10" s="118"/>
      <c r="CMA10" s="118"/>
      <c r="CMB10" s="118"/>
      <c r="CMC10" s="118"/>
      <c r="CMD10" s="118"/>
      <c r="CME10" s="118"/>
      <c r="CMF10" s="118"/>
      <c r="CMG10" s="118"/>
      <c r="CMH10" s="118"/>
      <c r="CMI10" s="118"/>
      <c r="CMJ10" s="118"/>
      <c r="CMK10" s="118"/>
      <c r="CML10" s="118"/>
      <c r="CMM10" s="118"/>
      <c r="CMN10" s="118"/>
      <c r="CMO10" s="118"/>
      <c r="CMP10" s="118"/>
      <c r="CMQ10" s="118"/>
      <c r="CMR10" s="118"/>
      <c r="CMS10" s="118"/>
      <c r="CMT10" s="118"/>
      <c r="CMU10" s="118"/>
      <c r="CMV10" s="118"/>
      <c r="CMW10" s="118"/>
      <c r="CMX10" s="118"/>
      <c r="CMY10" s="118"/>
      <c r="CMZ10" s="118"/>
      <c r="CNA10" s="118"/>
      <c r="CNB10" s="118"/>
      <c r="CNC10" s="118"/>
      <c r="CND10" s="118"/>
      <c r="CNE10" s="118"/>
      <c r="CNF10" s="118"/>
      <c r="CNG10" s="118"/>
      <c r="CNH10" s="118"/>
      <c r="CNI10" s="118"/>
      <c r="CNJ10" s="118"/>
      <c r="CNK10" s="118"/>
      <c r="CNL10" s="118"/>
      <c r="CNM10" s="118"/>
      <c r="CNN10" s="118"/>
      <c r="CNO10" s="118"/>
      <c r="CNP10" s="118"/>
      <c r="CNQ10" s="118"/>
      <c r="CNR10" s="118"/>
      <c r="CNS10" s="118"/>
      <c r="CNT10" s="118"/>
      <c r="CNU10" s="118"/>
      <c r="CNV10" s="118"/>
      <c r="CNW10" s="118"/>
      <c r="CNX10" s="118"/>
      <c r="CNY10" s="118"/>
      <c r="CNZ10" s="118"/>
      <c r="COA10" s="118"/>
      <c r="COB10" s="118"/>
      <c r="COC10" s="118"/>
      <c r="COD10" s="118"/>
      <c r="COE10" s="118"/>
      <c r="COF10" s="118"/>
      <c r="COG10" s="118"/>
      <c r="COH10" s="118"/>
      <c r="COI10" s="118"/>
      <c r="COJ10" s="118"/>
      <c r="COK10" s="118"/>
      <c r="COL10" s="118"/>
      <c r="COM10" s="118"/>
      <c r="CON10" s="118"/>
      <c r="COO10" s="118"/>
      <c r="COP10" s="118"/>
      <c r="COQ10" s="118"/>
      <c r="COR10" s="118"/>
      <c r="COS10" s="118"/>
      <c r="COT10" s="118"/>
      <c r="COU10" s="118"/>
      <c r="COV10" s="118"/>
      <c r="COW10" s="118"/>
      <c r="COX10" s="118"/>
      <c r="COY10" s="118"/>
      <c r="COZ10" s="118"/>
      <c r="CPA10" s="118"/>
      <c r="CPB10" s="118"/>
      <c r="CPC10" s="118"/>
      <c r="CPD10" s="118"/>
      <c r="CPE10" s="118"/>
      <c r="CPF10" s="118"/>
      <c r="CPG10" s="118"/>
      <c r="CPH10" s="118"/>
      <c r="CPI10" s="118"/>
      <c r="CPJ10" s="118"/>
      <c r="CPK10" s="118"/>
      <c r="CPL10" s="118"/>
      <c r="CPM10" s="118"/>
      <c r="CPN10" s="118"/>
      <c r="CPO10" s="118"/>
      <c r="CPP10" s="118"/>
      <c r="CPQ10" s="118"/>
      <c r="CPR10" s="118"/>
      <c r="CPS10" s="118"/>
      <c r="CPT10" s="118"/>
      <c r="CPU10" s="118"/>
      <c r="CPV10" s="118"/>
      <c r="CPW10" s="118"/>
      <c r="CPX10" s="118"/>
      <c r="CPY10" s="118"/>
      <c r="CPZ10" s="118"/>
      <c r="CQA10" s="118"/>
      <c r="CQB10" s="118"/>
      <c r="CQC10" s="118"/>
      <c r="CQD10" s="118"/>
      <c r="CQE10" s="118"/>
      <c r="CQF10" s="118"/>
      <c r="CQG10" s="118"/>
      <c r="CQH10" s="118"/>
      <c r="CQI10" s="118"/>
      <c r="CQJ10" s="118"/>
      <c r="CQK10" s="118"/>
      <c r="CQL10" s="118"/>
      <c r="CQM10" s="118"/>
      <c r="CQN10" s="118"/>
      <c r="CQO10" s="118"/>
      <c r="CQP10" s="118"/>
      <c r="CQQ10" s="118"/>
      <c r="CQR10" s="118"/>
      <c r="CQS10" s="118"/>
      <c r="CQT10" s="118"/>
      <c r="CQU10" s="118"/>
      <c r="CQV10" s="118"/>
      <c r="CQW10" s="118"/>
      <c r="CQX10" s="118"/>
      <c r="CQY10" s="118"/>
      <c r="CQZ10" s="118"/>
      <c r="CRA10" s="118"/>
      <c r="CRB10" s="118"/>
      <c r="CRC10" s="118"/>
      <c r="CRD10" s="118"/>
      <c r="CRE10" s="118"/>
      <c r="CRF10" s="118"/>
      <c r="CRG10" s="118"/>
      <c r="CRH10" s="118"/>
      <c r="CRI10" s="118"/>
      <c r="CRJ10" s="118"/>
      <c r="CRK10" s="118"/>
      <c r="CRL10" s="118"/>
      <c r="CRM10" s="118"/>
      <c r="CRN10" s="118"/>
      <c r="CRO10" s="118"/>
      <c r="CRP10" s="118"/>
      <c r="CRQ10" s="118"/>
      <c r="CRR10" s="118"/>
      <c r="CRS10" s="118"/>
      <c r="CRT10" s="118"/>
      <c r="CRU10" s="118"/>
      <c r="CRV10" s="118"/>
      <c r="CRW10" s="118"/>
      <c r="CRX10" s="118"/>
      <c r="CRY10" s="118"/>
      <c r="CRZ10" s="118"/>
      <c r="CSA10" s="118"/>
      <c r="CSB10" s="118"/>
      <c r="CSC10" s="118"/>
      <c r="CSD10" s="118"/>
      <c r="CSE10" s="118"/>
      <c r="CSF10" s="118"/>
      <c r="CSG10" s="118"/>
      <c r="CSH10" s="118"/>
      <c r="CSI10" s="118"/>
      <c r="CSJ10" s="118"/>
      <c r="CSK10" s="118"/>
      <c r="CSL10" s="118"/>
      <c r="CSM10" s="118"/>
      <c r="CSN10" s="118"/>
      <c r="CSO10" s="118"/>
      <c r="CSP10" s="118"/>
      <c r="CSQ10" s="118"/>
      <c r="CSR10" s="118"/>
      <c r="CSS10" s="118"/>
      <c r="CST10" s="118"/>
      <c r="CSU10" s="118"/>
      <c r="CSV10" s="118"/>
      <c r="CSW10" s="118"/>
      <c r="CSX10" s="118"/>
      <c r="CSY10" s="118"/>
      <c r="CSZ10" s="118"/>
      <c r="CTA10" s="118"/>
      <c r="CTB10" s="118"/>
      <c r="CTC10" s="118"/>
      <c r="CTD10" s="118"/>
      <c r="CTE10" s="118"/>
      <c r="CTF10" s="118"/>
      <c r="CTG10" s="118"/>
      <c r="CTH10" s="118"/>
      <c r="CTI10" s="118"/>
      <c r="CTJ10" s="118"/>
      <c r="CTK10" s="118"/>
      <c r="CTL10" s="118"/>
      <c r="CTM10" s="118"/>
      <c r="CTN10" s="118"/>
      <c r="CTO10" s="118"/>
      <c r="CTP10" s="118"/>
      <c r="CTQ10" s="118"/>
      <c r="CTR10" s="118"/>
      <c r="CTS10" s="118"/>
      <c r="CTT10" s="118"/>
      <c r="CTU10" s="118"/>
      <c r="CTV10" s="118"/>
      <c r="CTW10" s="118"/>
      <c r="CTX10" s="118"/>
      <c r="CTY10" s="118"/>
      <c r="CTZ10" s="118"/>
      <c r="CUA10" s="118"/>
      <c r="CUB10" s="118"/>
      <c r="CUC10" s="118"/>
      <c r="CUD10" s="118"/>
      <c r="CUE10" s="118"/>
      <c r="CUF10" s="118"/>
      <c r="CUG10" s="118"/>
      <c r="CUH10" s="118"/>
      <c r="CUI10" s="118"/>
      <c r="CUJ10" s="118"/>
      <c r="CUK10" s="118"/>
      <c r="CUL10" s="118"/>
      <c r="CUM10" s="118"/>
      <c r="CUN10" s="118"/>
      <c r="CUO10" s="118"/>
      <c r="CUP10" s="118"/>
      <c r="CUQ10" s="118"/>
      <c r="CUR10" s="118"/>
      <c r="CUS10" s="118"/>
      <c r="CUT10" s="118"/>
      <c r="CUU10" s="118"/>
      <c r="CUV10" s="118"/>
      <c r="CUW10" s="118"/>
      <c r="CUX10" s="118"/>
      <c r="CUY10" s="118"/>
      <c r="CUZ10" s="118"/>
      <c r="CVA10" s="118"/>
      <c r="CVB10" s="118"/>
      <c r="CVC10" s="118"/>
      <c r="CVD10" s="118"/>
      <c r="CVE10" s="118"/>
      <c r="CVF10" s="118"/>
      <c r="CVG10" s="118"/>
      <c r="CVH10" s="118"/>
      <c r="CVI10" s="118"/>
      <c r="CVJ10" s="118"/>
      <c r="CVK10" s="118"/>
      <c r="CVL10" s="118"/>
      <c r="CVM10" s="118"/>
      <c r="CVN10" s="118"/>
      <c r="CVO10" s="118"/>
      <c r="CVP10" s="118"/>
      <c r="CVQ10" s="118"/>
      <c r="CVR10" s="118"/>
      <c r="CVS10" s="118"/>
      <c r="CVT10" s="118"/>
      <c r="CVU10" s="118"/>
      <c r="CVV10" s="118"/>
      <c r="CVW10" s="118"/>
      <c r="CVX10" s="118"/>
      <c r="CVY10" s="118"/>
      <c r="CVZ10" s="118"/>
      <c r="CWA10" s="118"/>
      <c r="CWB10" s="118"/>
      <c r="CWC10" s="118"/>
      <c r="CWD10" s="118"/>
      <c r="CWE10" s="118"/>
      <c r="CWF10" s="118"/>
      <c r="CWG10" s="118"/>
      <c r="CWH10" s="118"/>
      <c r="CWI10" s="118"/>
      <c r="CWJ10" s="118"/>
      <c r="CWK10" s="118"/>
      <c r="CWL10" s="118"/>
      <c r="CWM10" s="118"/>
      <c r="CWN10" s="118"/>
      <c r="CWO10" s="118"/>
      <c r="CWP10" s="118"/>
      <c r="CWQ10" s="118"/>
      <c r="CWR10" s="118"/>
      <c r="CWS10" s="118"/>
      <c r="CWT10" s="118"/>
      <c r="CWU10" s="118"/>
      <c r="CWV10" s="118"/>
      <c r="CWW10" s="118"/>
      <c r="CWX10" s="118"/>
      <c r="CWY10" s="118"/>
      <c r="CWZ10" s="118"/>
      <c r="CXA10" s="118"/>
      <c r="CXB10" s="118"/>
      <c r="CXC10" s="118"/>
      <c r="CXD10" s="118"/>
      <c r="CXE10" s="118"/>
      <c r="CXF10" s="118"/>
      <c r="CXG10" s="118"/>
      <c r="CXH10" s="118"/>
      <c r="CXI10" s="118"/>
      <c r="CXJ10" s="118"/>
      <c r="CXK10" s="118"/>
      <c r="CXL10" s="118"/>
      <c r="CXM10" s="118"/>
      <c r="CXN10" s="118"/>
      <c r="CXO10" s="118"/>
      <c r="CXP10" s="118"/>
      <c r="CXQ10" s="118"/>
      <c r="CXR10" s="118"/>
      <c r="CXS10" s="118"/>
      <c r="CXT10" s="118"/>
      <c r="CXU10" s="118"/>
      <c r="CXV10" s="118"/>
      <c r="CXW10" s="118"/>
      <c r="CXX10" s="118"/>
      <c r="CXY10" s="118"/>
      <c r="CXZ10" s="118"/>
      <c r="CYA10" s="118"/>
      <c r="CYB10" s="118"/>
      <c r="CYC10" s="118"/>
      <c r="CYD10" s="118"/>
      <c r="CYE10" s="118"/>
      <c r="CYF10" s="118"/>
      <c r="CYG10" s="118"/>
      <c r="CYH10" s="118"/>
      <c r="CYI10" s="118"/>
      <c r="CYJ10" s="118"/>
      <c r="CYK10" s="118"/>
      <c r="CYL10" s="118"/>
      <c r="CYM10" s="118"/>
      <c r="CYN10" s="118"/>
      <c r="CYO10" s="118"/>
      <c r="CYP10" s="118"/>
      <c r="CYQ10" s="118"/>
      <c r="CYR10" s="118"/>
      <c r="CYS10" s="118"/>
      <c r="CYT10" s="118"/>
      <c r="CYU10" s="118"/>
      <c r="CYV10" s="118"/>
      <c r="CYW10" s="118"/>
      <c r="CYX10" s="118"/>
      <c r="CYY10" s="118"/>
      <c r="CYZ10" s="118"/>
      <c r="CZA10" s="118"/>
      <c r="CZB10" s="118"/>
      <c r="CZC10" s="118"/>
      <c r="CZD10" s="118"/>
      <c r="CZE10" s="118"/>
      <c r="CZF10" s="118"/>
      <c r="CZG10" s="118"/>
      <c r="CZH10" s="118"/>
      <c r="CZI10" s="118"/>
      <c r="CZJ10" s="118"/>
      <c r="CZK10" s="118"/>
      <c r="CZL10" s="118"/>
      <c r="CZM10" s="118"/>
      <c r="CZN10" s="118"/>
      <c r="CZO10" s="118"/>
      <c r="CZP10" s="118"/>
      <c r="CZQ10" s="118"/>
      <c r="CZR10" s="118"/>
      <c r="CZS10" s="118"/>
      <c r="CZT10" s="118"/>
      <c r="CZU10" s="118"/>
      <c r="CZV10" s="118"/>
      <c r="CZW10" s="118"/>
      <c r="CZX10" s="118"/>
      <c r="CZY10" s="118"/>
      <c r="CZZ10" s="118"/>
      <c r="DAA10" s="118"/>
      <c r="DAB10" s="118"/>
      <c r="DAC10" s="118"/>
      <c r="DAD10" s="118"/>
      <c r="DAE10" s="118"/>
      <c r="DAF10" s="118"/>
      <c r="DAG10" s="118"/>
      <c r="DAH10" s="118"/>
      <c r="DAI10" s="118"/>
      <c r="DAJ10" s="118"/>
      <c r="DAK10" s="118"/>
      <c r="DAL10" s="118"/>
      <c r="DAM10" s="118"/>
      <c r="DAN10" s="118"/>
      <c r="DAO10" s="118"/>
      <c r="DAP10" s="118"/>
      <c r="DAQ10" s="118"/>
      <c r="DAR10" s="118"/>
      <c r="DAS10" s="118"/>
      <c r="DAT10" s="118"/>
      <c r="DAU10" s="118"/>
      <c r="DAV10" s="118"/>
      <c r="DAW10" s="118"/>
      <c r="DAX10" s="118"/>
      <c r="DAY10" s="118"/>
      <c r="DAZ10" s="118"/>
      <c r="DBA10" s="118"/>
      <c r="DBB10" s="118"/>
      <c r="DBC10" s="118"/>
      <c r="DBD10" s="118"/>
      <c r="DBE10" s="118"/>
      <c r="DBF10" s="118"/>
      <c r="DBG10" s="118"/>
      <c r="DBH10" s="118"/>
      <c r="DBI10" s="118"/>
      <c r="DBJ10" s="118"/>
      <c r="DBK10" s="118"/>
      <c r="DBL10" s="118"/>
      <c r="DBM10" s="118"/>
      <c r="DBN10" s="118"/>
      <c r="DBO10" s="118"/>
      <c r="DBP10" s="118"/>
      <c r="DBQ10" s="118"/>
      <c r="DBR10" s="118"/>
      <c r="DBS10" s="118"/>
      <c r="DBT10" s="118"/>
      <c r="DBU10" s="118"/>
      <c r="DBV10" s="118"/>
      <c r="DBW10" s="118"/>
      <c r="DBX10" s="118"/>
      <c r="DBY10" s="118"/>
      <c r="DBZ10" s="118"/>
      <c r="DCA10" s="118"/>
      <c r="DCB10" s="118"/>
      <c r="DCC10" s="118"/>
      <c r="DCD10" s="118"/>
      <c r="DCE10" s="118"/>
      <c r="DCF10" s="118"/>
      <c r="DCG10" s="118"/>
      <c r="DCH10" s="118"/>
      <c r="DCI10" s="118"/>
      <c r="DCJ10" s="118"/>
      <c r="DCK10" s="118"/>
      <c r="DCL10" s="118"/>
      <c r="DCM10" s="118"/>
      <c r="DCN10" s="118"/>
      <c r="DCO10" s="118"/>
      <c r="DCP10" s="118"/>
      <c r="DCQ10" s="118"/>
      <c r="DCR10" s="118"/>
      <c r="DCS10" s="118"/>
      <c r="DCT10" s="118"/>
      <c r="DCU10" s="118"/>
      <c r="DCV10" s="118"/>
      <c r="DCW10" s="118"/>
      <c r="DCX10" s="118"/>
      <c r="DCY10" s="118"/>
      <c r="DCZ10" s="118"/>
      <c r="DDA10" s="118"/>
      <c r="DDB10" s="118"/>
      <c r="DDC10" s="118"/>
      <c r="DDD10" s="118"/>
      <c r="DDE10" s="118"/>
      <c r="DDF10" s="118"/>
      <c r="DDG10" s="118"/>
      <c r="DDH10" s="118"/>
      <c r="DDI10" s="118"/>
      <c r="DDJ10" s="118"/>
      <c r="DDK10" s="118"/>
      <c r="DDL10" s="118"/>
      <c r="DDM10" s="118"/>
      <c r="DDN10" s="118"/>
      <c r="DDO10" s="118"/>
      <c r="DDP10" s="118"/>
      <c r="DDQ10" s="118"/>
      <c r="DDR10" s="118"/>
      <c r="DDS10" s="118"/>
      <c r="DDT10" s="118"/>
      <c r="DDU10" s="118"/>
      <c r="DDV10" s="118"/>
      <c r="DDW10" s="118"/>
      <c r="DDX10" s="118"/>
      <c r="DDY10" s="118"/>
      <c r="DDZ10" s="118"/>
      <c r="DEA10" s="118"/>
      <c r="DEB10" s="118"/>
      <c r="DEC10" s="118"/>
      <c r="DED10" s="118"/>
      <c r="DEE10" s="118"/>
      <c r="DEF10" s="118"/>
      <c r="DEG10" s="118"/>
      <c r="DEH10" s="118"/>
      <c r="DEI10" s="118"/>
      <c r="DEJ10" s="118"/>
      <c r="DEK10" s="118"/>
      <c r="DEL10" s="118"/>
      <c r="DEM10" s="118"/>
      <c r="DEN10" s="118"/>
      <c r="DEO10" s="118"/>
      <c r="DEP10" s="118"/>
      <c r="DEQ10" s="118"/>
      <c r="DER10" s="118"/>
      <c r="DES10" s="118"/>
      <c r="DET10" s="118"/>
      <c r="DEU10" s="118"/>
      <c r="DEV10" s="118"/>
      <c r="DEW10" s="118"/>
      <c r="DEX10" s="118"/>
      <c r="DEY10" s="118"/>
      <c r="DEZ10" s="118"/>
      <c r="DFA10" s="118"/>
      <c r="DFB10" s="118"/>
      <c r="DFC10" s="118"/>
      <c r="DFD10" s="118"/>
      <c r="DFE10" s="118"/>
      <c r="DFF10" s="118"/>
      <c r="DFG10" s="118"/>
      <c r="DFH10" s="118"/>
      <c r="DFI10" s="118"/>
      <c r="DFJ10" s="118"/>
      <c r="DFK10" s="118"/>
      <c r="DFL10" s="118"/>
      <c r="DFM10" s="118"/>
      <c r="DFN10" s="118"/>
      <c r="DFO10" s="118"/>
      <c r="DFP10" s="118"/>
      <c r="DFQ10" s="118"/>
      <c r="DFR10" s="118"/>
      <c r="DFS10" s="118"/>
      <c r="DFT10" s="118"/>
      <c r="DFU10" s="118"/>
      <c r="DFV10" s="118"/>
      <c r="DFW10" s="118"/>
      <c r="DFX10" s="118"/>
      <c r="DFY10" s="118"/>
      <c r="DFZ10" s="118"/>
      <c r="DGA10" s="118"/>
      <c r="DGB10" s="118"/>
      <c r="DGC10" s="118"/>
      <c r="DGD10" s="118"/>
      <c r="DGE10" s="118"/>
      <c r="DGF10" s="118"/>
      <c r="DGG10" s="118"/>
      <c r="DGH10" s="118"/>
      <c r="DGI10" s="118"/>
      <c r="DGJ10" s="118"/>
      <c r="DGK10" s="118"/>
      <c r="DGL10" s="118"/>
      <c r="DGM10" s="118"/>
      <c r="DGN10" s="118"/>
      <c r="DGO10" s="118"/>
      <c r="DGP10" s="118"/>
      <c r="DGQ10" s="118"/>
      <c r="DGR10" s="118"/>
      <c r="DGS10" s="118"/>
      <c r="DGT10" s="118"/>
      <c r="DGU10" s="118"/>
      <c r="DGV10" s="118"/>
      <c r="DGW10" s="118"/>
      <c r="DGX10" s="118"/>
      <c r="DGY10" s="118"/>
      <c r="DGZ10" s="118"/>
      <c r="DHA10" s="118"/>
      <c r="DHB10" s="118"/>
      <c r="DHC10" s="118"/>
      <c r="DHD10" s="118"/>
      <c r="DHE10" s="118"/>
      <c r="DHF10" s="118"/>
      <c r="DHG10" s="118"/>
      <c r="DHH10" s="118"/>
      <c r="DHI10" s="118"/>
      <c r="DHJ10" s="118"/>
      <c r="DHK10" s="118"/>
      <c r="DHL10" s="118"/>
      <c r="DHM10" s="118"/>
      <c r="DHN10" s="118"/>
      <c r="DHO10" s="118"/>
      <c r="DHP10" s="118"/>
      <c r="DHQ10" s="118"/>
      <c r="DHR10" s="118"/>
      <c r="DHS10" s="118"/>
      <c r="DHT10" s="118"/>
      <c r="DHU10" s="118"/>
      <c r="DHV10" s="118"/>
      <c r="DHW10" s="118"/>
      <c r="DHX10" s="118"/>
      <c r="DHY10" s="118"/>
      <c r="DHZ10" s="118"/>
      <c r="DIA10" s="118"/>
      <c r="DIB10" s="118"/>
      <c r="DIC10" s="118"/>
      <c r="DID10" s="118"/>
      <c r="DIE10" s="118"/>
      <c r="DIF10" s="118"/>
      <c r="DIG10" s="118"/>
      <c r="DIH10" s="118"/>
      <c r="DII10" s="118"/>
      <c r="DIJ10" s="118"/>
      <c r="DIK10" s="118"/>
      <c r="DIL10" s="118"/>
      <c r="DIM10" s="118"/>
      <c r="DIN10" s="118"/>
      <c r="DIO10" s="118"/>
      <c r="DIP10" s="118"/>
      <c r="DIQ10" s="118"/>
      <c r="DIR10" s="118"/>
      <c r="DIS10" s="118"/>
      <c r="DIT10" s="118"/>
      <c r="DIU10" s="118"/>
      <c r="DIV10" s="118"/>
      <c r="DIW10" s="118"/>
      <c r="DIX10" s="118"/>
      <c r="DIY10" s="118"/>
      <c r="DIZ10" s="118"/>
      <c r="DJA10" s="118"/>
      <c r="DJB10" s="118"/>
      <c r="DJC10" s="118"/>
      <c r="DJD10" s="118"/>
      <c r="DJE10" s="118"/>
      <c r="DJF10" s="118"/>
      <c r="DJG10" s="118"/>
      <c r="DJH10" s="118"/>
      <c r="DJI10" s="118"/>
      <c r="DJJ10" s="118"/>
      <c r="DJK10" s="118"/>
      <c r="DJL10" s="118"/>
      <c r="DJM10" s="118"/>
      <c r="DJN10" s="118"/>
      <c r="DJO10" s="118"/>
      <c r="DJP10" s="118"/>
      <c r="DJQ10" s="118"/>
      <c r="DJR10" s="118"/>
      <c r="DJS10" s="118"/>
      <c r="DJT10" s="118"/>
      <c r="DJU10" s="118"/>
      <c r="DJV10" s="118"/>
      <c r="DJW10" s="118"/>
      <c r="DJX10" s="118"/>
      <c r="DJY10" s="118"/>
      <c r="DJZ10" s="118"/>
      <c r="DKA10" s="118"/>
      <c r="DKB10" s="118"/>
      <c r="DKC10" s="118"/>
      <c r="DKD10" s="118"/>
      <c r="DKE10" s="118"/>
      <c r="DKF10" s="118"/>
      <c r="DKG10" s="118"/>
      <c r="DKH10" s="118"/>
      <c r="DKI10" s="118"/>
      <c r="DKJ10" s="118"/>
      <c r="DKK10" s="118"/>
      <c r="DKL10" s="118"/>
      <c r="DKM10" s="118"/>
      <c r="DKN10" s="118"/>
      <c r="DKO10" s="118"/>
      <c r="DKP10" s="118"/>
      <c r="DKQ10" s="118"/>
      <c r="DKR10" s="118"/>
      <c r="DKS10" s="118"/>
      <c r="DKT10" s="118"/>
      <c r="DKU10" s="118"/>
      <c r="DKV10" s="118"/>
      <c r="DKW10" s="118"/>
      <c r="DKX10" s="118"/>
      <c r="DKY10" s="118"/>
      <c r="DKZ10" s="118"/>
      <c r="DLA10" s="118"/>
      <c r="DLB10" s="118"/>
      <c r="DLC10" s="118"/>
      <c r="DLD10" s="118"/>
      <c r="DLE10" s="118"/>
      <c r="DLF10" s="118"/>
      <c r="DLG10" s="118"/>
      <c r="DLH10" s="118"/>
      <c r="DLI10" s="118"/>
      <c r="DLJ10" s="118"/>
      <c r="DLK10" s="118"/>
      <c r="DLL10" s="118"/>
      <c r="DLM10" s="118"/>
      <c r="DLN10" s="118"/>
      <c r="DLO10" s="118"/>
      <c r="DLP10" s="118"/>
      <c r="DLQ10" s="118"/>
      <c r="DLR10" s="118"/>
      <c r="DLS10" s="118"/>
      <c r="DLT10" s="118"/>
      <c r="DLU10" s="118"/>
      <c r="DLV10" s="118"/>
      <c r="DLW10" s="118"/>
      <c r="DLX10" s="118"/>
      <c r="DLY10" s="118"/>
      <c r="DLZ10" s="118"/>
      <c r="DMA10" s="118"/>
      <c r="DMB10" s="118"/>
      <c r="DMC10" s="118"/>
      <c r="DMD10" s="118"/>
      <c r="DME10" s="118"/>
      <c r="DMF10" s="118"/>
      <c r="DMG10" s="118"/>
      <c r="DMH10" s="118"/>
      <c r="DMI10" s="118"/>
      <c r="DMJ10" s="118"/>
      <c r="DMK10" s="118"/>
      <c r="DML10" s="118"/>
      <c r="DMM10" s="118"/>
      <c r="DMN10" s="118"/>
      <c r="DMO10" s="118"/>
      <c r="DMP10" s="118"/>
      <c r="DMQ10" s="118"/>
      <c r="DMR10" s="118"/>
      <c r="DMS10" s="118"/>
      <c r="DMT10" s="118"/>
      <c r="DMU10" s="118"/>
      <c r="DMV10" s="118"/>
      <c r="DMW10" s="118"/>
      <c r="DMX10" s="118"/>
      <c r="DMY10" s="118"/>
      <c r="DMZ10" s="118"/>
      <c r="DNA10" s="118"/>
      <c r="DNB10" s="118"/>
      <c r="DNC10" s="118"/>
      <c r="DND10" s="118"/>
      <c r="DNE10" s="118"/>
      <c r="DNF10" s="118"/>
      <c r="DNG10" s="118"/>
      <c r="DNH10" s="118"/>
      <c r="DNI10" s="118"/>
      <c r="DNJ10" s="118"/>
      <c r="DNK10" s="118"/>
      <c r="DNL10" s="118"/>
      <c r="DNM10" s="118"/>
      <c r="DNN10" s="118"/>
      <c r="DNO10" s="118"/>
      <c r="DNP10" s="118"/>
      <c r="DNQ10" s="118"/>
      <c r="DNR10" s="118"/>
      <c r="DNS10" s="118"/>
      <c r="DNT10" s="118"/>
      <c r="DNU10" s="118"/>
      <c r="DNV10" s="118"/>
      <c r="DNW10" s="118"/>
      <c r="DNX10" s="118"/>
      <c r="DNY10" s="118"/>
      <c r="DNZ10" s="118"/>
      <c r="DOA10" s="118"/>
      <c r="DOB10" s="118"/>
      <c r="DOC10" s="118"/>
      <c r="DOD10" s="118"/>
      <c r="DOE10" s="118"/>
      <c r="DOF10" s="118"/>
      <c r="DOG10" s="118"/>
      <c r="DOH10" s="118"/>
      <c r="DOI10" s="118"/>
      <c r="DOJ10" s="118"/>
      <c r="DOK10" s="118"/>
      <c r="DOL10" s="118"/>
      <c r="DOM10" s="118"/>
      <c r="DON10" s="118"/>
      <c r="DOO10" s="118"/>
      <c r="DOP10" s="118"/>
      <c r="DOQ10" s="118"/>
      <c r="DOR10" s="118"/>
      <c r="DOS10" s="118"/>
      <c r="DOT10" s="118"/>
      <c r="DOU10" s="118"/>
      <c r="DOV10" s="118"/>
      <c r="DOW10" s="118"/>
      <c r="DOX10" s="118"/>
      <c r="DOY10" s="118"/>
      <c r="DOZ10" s="118"/>
      <c r="DPA10" s="118"/>
      <c r="DPB10" s="118"/>
      <c r="DPC10" s="118"/>
      <c r="DPD10" s="118"/>
      <c r="DPE10" s="118"/>
      <c r="DPF10" s="118"/>
      <c r="DPG10" s="118"/>
      <c r="DPH10" s="118"/>
      <c r="DPI10" s="118"/>
      <c r="DPJ10" s="118"/>
      <c r="DPK10" s="118"/>
      <c r="DPL10" s="118"/>
      <c r="DPM10" s="118"/>
      <c r="DPN10" s="118"/>
      <c r="DPO10" s="118"/>
      <c r="DPP10" s="118"/>
      <c r="DPQ10" s="118"/>
      <c r="DPR10" s="118"/>
      <c r="DPS10" s="118"/>
      <c r="DPT10" s="118"/>
      <c r="DPU10" s="118"/>
      <c r="DPV10" s="118"/>
      <c r="DPW10" s="118"/>
      <c r="DPX10" s="118"/>
      <c r="DPY10" s="118"/>
      <c r="DPZ10" s="118"/>
      <c r="DQA10" s="118"/>
      <c r="DQB10" s="118"/>
      <c r="DQC10" s="118"/>
      <c r="DQD10" s="118"/>
      <c r="DQE10" s="118"/>
      <c r="DQF10" s="118"/>
      <c r="DQG10" s="118"/>
      <c r="DQH10" s="118"/>
      <c r="DQI10" s="118"/>
      <c r="DQJ10" s="118"/>
      <c r="DQK10" s="118"/>
      <c r="DQL10" s="118"/>
      <c r="DQM10" s="118"/>
      <c r="DQN10" s="118"/>
      <c r="DQO10" s="118"/>
      <c r="DQP10" s="118"/>
      <c r="DQQ10" s="118"/>
      <c r="DQR10" s="118"/>
      <c r="DQS10" s="118"/>
      <c r="DQT10" s="118"/>
      <c r="DQU10" s="118"/>
      <c r="DQV10" s="118"/>
      <c r="DQW10" s="118"/>
      <c r="DQX10" s="118"/>
      <c r="DQY10" s="118"/>
      <c r="DQZ10" s="118"/>
      <c r="DRA10" s="118"/>
      <c r="DRB10" s="118"/>
      <c r="DRC10" s="118"/>
      <c r="DRD10" s="118"/>
      <c r="DRE10" s="118"/>
      <c r="DRF10" s="118"/>
      <c r="DRG10" s="118"/>
      <c r="DRH10" s="118"/>
      <c r="DRI10" s="118"/>
      <c r="DRJ10" s="118"/>
      <c r="DRK10" s="118"/>
      <c r="DRL10" s="118"/>
      <c r="DRM10" s="118"/>
      <c r="DRN10" s="118"/>
      <c r="DRO10" s="118"/>
      <c r="DRP10" s="118"/>
      <c r="DRQ10" s="118"/>
      <c r="DRR10" s="118"/>
      <c r="DRS10" s="118"/>
      <c r="DRT10" s="118"/>
      <c r="DRU10" s="118"/>
      <c r="DRV10" s="118"/>
      <c r="DRW10" s="118"/>
      <c r="DRX10" s="118"/>
      <c r="DRY10" s="118"/>
      <c r="DRZ10" s="118"/>
      <c r="DSA10" s="118"/>
      <c r="DSB10" s="118"/>
      <c r="DSC10" s="118"/>
      <c r="DSD10" s="118"/>
      <c r="DSE10" s="118"/>
      <c r="DSF10" s="118"/>
      <c r="DSG10" s="118"/>
      <c r="DSH10" s="118"/>
      <c r="DSI10" s="118"/>
      <c r="DSJ10" s="118"/>
      <c r="DSK10" s="118"/>
      <c r="DSL10" s="118"/>
      <c r="DSM10" s="118"/>
      <c r="DSN10" s="118"/>
      <c r="DSO10" s="118"/>
      <c r="DSP10" s="118"/>
      <c r="DSQ10" s="118"/>
      <c r="DSR10" s="118"/>
      <c r="DSS10" s="118"/>
      <c r="DST10" s="118"/>
      <c r="DSU10" s="118"/>
      <c r="DSV10" s="118"/>
      <c r="DSW10" s="118"/>
      <c r="DSX10" s="118"/>
      <c r="DSY10" s="118"/>
      <c r="DSZ10" s="118"/>
      <c r="DTA10" s="118"/>
      <c r="DTB10" s="118"/>
      <c r="DTC10" s="118"/>
      <c r="DTD10" s="118"/>
      <c r="DTE10" s="118"/>
      <c r="DTF10" s="118"/>
      <c r="DTG10" s="118"/>
      <c r="DTH10" s="118"/>
      <c r="DTI10" s="118"/>
      <c r="DTJ10" s="118"/>
      <c r="DTK10" s="118"/>
      <c r="DTL10" s="118"/>
      <c r="DTM10" s="118"/>
      <c r="DTN10" s="118"/>
      <c r="DTO10" s="118"/>
      <c r="DTP10" s="118"/>
      <c r="DTQ10" s="118"/>
      <c r="DTR10" s="118"/>
      <c r="DTS10" s="118"/>
      <c r="DTT10" s="118"/>
      <c r="DTU10" s="118"/>
      <c r="DTV10" s="118"/>
      <c r="DTW10" s="118"/>
      <c r="DTX10" s="118"/>
      <c r="DTY10" s="118"/>
      <c r="DTZ10" s="118"/>
      <c r="DUA10" s="118"/>
      <c r="DUB10" s="118"/>
      <c r="DUC10" s="118"/>
      <c r="DUD10" s="118"/>
      <c r="DUE10" s="118"/>
      <c r="DUF10" s="118"/>
      <c r="DUG10" s="118"/>
      <c r="DUH10" s="118"/>
      <c r="DUI10" s="118"/>
      <c r="DUJ10" s="118"/>
      <c r="DUK10" s="118"/>
      <c r="DUL10" s="118"/>
      <c r="DUM10" s="118"/>
      <c r="DUN10" s="118"/>
      <c r="DUO10" s="118"/>
      <c r="DUP10" s="118"/>
      <c r="DUQ10" s="118"/>
      <c r="DUR10" s="118"/>
      <c r="DUS10" s="118"/>
      <c r="DUT10" s="118"/>
      <c r="DUU10" s="118"/>
      <c r="DUV10" s="118"/>
      <c r="DUW10" s="118"/>
      <c r="DUX10" s="118"/>
      <c r="DUY10" s="118"/>
      <c r="DUZ10" s="118"/>
      <c r="DVA10" s="118"/>
      <c r="DVB10" s="118"/>
      <c r="DVC10" s="118"/>
      <c r="DVD10" s="118"/>
      <c r="DVE10" s="118"/>
      <c r="DVF10" s="118"/>
      <c r="DVG10" s="118"/>
      <c r="DVH10" s="118"/>
      <c r="DVI10" s="118"/>
      <c r="DVJ10" s="118"/>
      <c r="DVK10" s="118"/>
      <c r="DVL10" s="118"/>
      <c r="DVM10" s="118"/>
      <c r="DVN10" s="118"/>
      <c r="DVO10" s="118"/>
      <c r="DVP10" s="118"/>
      <c r="DVQ10" s="118"/>
      <c r="DVR10" s="118"/>
      <c r="DVS10" s="118"/>
      <c r="DVT10" s="118"/>
      <c r="DVU10" s="118"/>
      <c r="DVV10" s="118"/>
      <c r="DVW10" s="118"/>
      <c r="DVX10" s="118"/>
      <c r="DVY10" s="118"/>
      <c r="DVZ10" s="118"/>
      <c r="DWA10" s="118"/>
      <c r="DWB10" s="118"/>
      <c r="DWC10" s="118"/>
      <c r="DWD10" s="118"/>
      <c r="DWE10" s="118"/>
      <c r="DWF10" s="118"/>
      <c r="DWG10" s="118"/>
      <c r="DWH10" s="118"/>
      <c r="DWI10" s="118"/>
      <c r="DWJ10" s="118"/>
      <c r="DWK10" s="118"/>
      <c r="DWL10" s="118"/>
      <c r="DWM10" s="118"/>
      <c r="DWN10" s="118"/>
      <c r="DWO10" s="118"/>
      <c r="DWP10" s="118"/>
      <c r="DWQ10" s="118"/>
      <c r="DWR10" s="118"/>
      <c r="DWS10" s="118"/>
      <c r="DWT10" s="118"/>
      <c r="DWU10" s="118"/>
      <c r="DWV10" s="118"/>
      <c r="DWW10" s="118"/>
      <c r="DWX10" s="118"/>
      <c r="DWY10" s="118"/>
      <c r="DWZ10" s="118"/>
      <c r="DXA10" s="118"/>
      <c r="DXB10" s="118"/>
      <c r="DXC10" s="118"/>
      <c r="DXD10" s="118"/>
      <c r="DXE10" s="118"/>
      <c r="DXF10" s="118"/>
      <c r="DXG10" s="118"/>
      <c r="DXH10" s="118"/>
      <c r="DXI10" s="118"/>
      <c r="DXJ10" s="118"/>
      <c r="DXK10" s="118"/>
      <c r="DXL10" s="118"/>
      <c r="DXM10" s="118"/>
      <c r="DXN10" s="118"/>
      <c r="DXO10" s="118"/>
      <c r="DXP10" s="118"/>
      <c r="DXQ10" s="118"/>
      <c r="DXR10" s="118"/>
      <c r="DXS10" s="118"/>
      <c r="DXT10" s="118"/>
      <c r="DXU10" s="118"/>
      <c r="DXV10" s="118"/>
      <c r="DXW10" s="118"/>
      <c r="DXX10" s="118"/>
      <c r="DXY10" s="118"/>
      <c r="DXZ10" s="118"/>
      <c r="DYA10" s="118"/>
      <c r="DYB10" s="118"/>
      <c r="DYC10" s="118"/>
      <c r="DYD10" s="118"/>
      <c r="DYE10" s="118"/>
      <c r="DYF10" s="118"/>
      <c r="DYG10" s="118"/>
      <c r="DYH10" s="118"/>
      <c r="DYI10" s="118"/>
      <c r="DYJ10" s="118"/>
      <c r="DYK10" s="118"/>
      <c r="DYL10" s="118"/>
      <c r="DYM10" s="118"/>
      <c r="DYN10" s="118"/>
      <c r="DYO10" s="118"/>
      <c r="DYP10" s="118"/>
      <c r="DYQ10" s="118"/>
      <c r="DYR10" s="118"/>
      <c r="DYS10" s="118"/>
      <c r="DYT10" s="118"/>
      <c r="DYU10" s="118"/>
      <c r="DYV10" s="118"/>
      <c r="DYW10" s="118"/>
      <c r="DYX10" s="118"/>
      <c r="DYY10" s="118"/>
      <c r="DYZ10" s="118"/>
      <c r="DZA10" s="118"/>
      <c r="DZB10" s="118"/>
      <c r="DZC10" s="118"/>
      <c r="DZD10" s="118"/>
      <c r="DZE10" s="118"/>
      <c r="DZF10" s="118"/>
      <c r="DZG10" s="118"/>
      <c r="DZH10" s="118"/>
      <c r="DZI10" s="118"/>
      <c r="DZJ10" s="118"/>
      <c r="DZK10" s="118"/>
      <c r="DZL10" s="118"/>
      <c r="DZM10" s="118"/>
      <c r="DZN10" s="118"/>
      <c r="DZO10" s="118"/>
      <c r="DZP10" s="118"/>
      <c r="DZQ10" s="118"/>
      <c r="DZR10" s="118"/>
      <c r="DZS10" s="118"/>
      <c r="DZT10" s="118"/>
      <c r="DZU10" s="118"/>
      <c r="DZV10" s="118"/>
      <c r="DZW10" s="118"/>
      <c r="DZX10" s="118"/>
      <c r="DZY10" s="118"/>
      <c r="DZZ10" s="118"/>
      <c r="EAA10" s="118"/>
      <c r="EAB10" s="118"/>
      <c r="EAC10" s="118"/>
      <c r="EAD10" s="118"/>
      <c r="EAE10" s="118"/>
      <c r="EAF10" s="118"/>
      <c r="EAG10" s="118"/>
      <c r="EAH10" s="118"/>
      <c r="EAI10" s="118"/>
      <c r="EAJ10" s="118"/>
      <c r="EAK10" s="118"/>
      <c r="EAL10" s="118"/>
      <c r="EAM10" s="118"/>
      <c r="EAN10" s="118"/>
      <c r="EAO10" s="118"/>
      <c r="EAP10" s="118"/>
      <c r="EAQ10" s="118"/>
      <c r="EAR10" s="118"/>
      <c r="EAS10" s="118"/>
      <c r="EAT10" s="118"/>
      <c r="EAU10" s="118"/>
      <c r="EAV10" s="118"/>
      <c r="EAW10" s="118"/>
      <c r="EAX10" s="118"/>
      <c r="EAY10" s="118"/>
      <c r="EAZ10" s="118"/>
      <c r="EBA10" s="118"/>
      <c r="EBB10" s="118"/>
      <c r="EBC10" s="118"/>
      <c r="EBD10" s="118"/>
      <c r="EBE10" s="118"/>
      <c r="EBF10" s="118"/>
      <c r="EBG10" s="118"/>
      <c r="EBH10" s="118"/>
      <c r="EBI10" s="118"/>
      <c r="EBJ10" s="118"/>
      <c r="EBK10" s="118"/>
      <c r="EBL10" s="118"/>
      <c r="EBM10" s="118"/>
      <c r="EBN10" s="118"/>
      <c r="EBO10" s="118"/>
      <c r="EBP10" s="118"/>
      <c r="EBQ10" s="118"/>
      <c r="EBR10" s="118"/>
      <c r="EBS10" s="118"/>
      <c r="EBT10" s="118"/>
      <c r="EBU10" s="118"/>
      <c r="EBV10" s="118"/>
      <c r="EBW10" s="118"/>
      <c r="EBX10" s="118"/>
      <c r="EBY10" s="118"/>
      <c r="EBZ10" s="118"/>
      <c r="ECA10" s="118"/>
      <c r="ECB10" s="118"/>
      <c r="ECC10" s="118"/>
      <c r="ECD10" s="118"/>
      <c r="ECE10" s="118"/>
      <c r="ECF10" s="118"/>
      <c r="ECG10" s="118"/>
      <c r="ECH10" s="118"/>
      <c r="ECI10" s="118"/>
      <c r="ECJ10" s="118"/>
      <c r="ECK10" s="118"/>
      <c r="ECL10" s="118"/>
      <c r="ECM10" s="118"/>
      <c r="ECN10" s="118"/>
      <c r="ECO10" s="118"/>
      <c r="ECP10" s="118"/>
      <c r="ECQ10" s="118"/>
      <c r="ECR10" s="118"/>
      <c r="ECS10" s="118"/>
      <c r="ECT10" s="118"/>
      <c r="ECU10" s="118"/>
      <c r="ECV10" s="118"/>
      <c r="ECW10" s="118"/>
      <c r="ECX10" s="118"/>
      <c r="ECY10" s="118"/>
      <c r="ECZ10" s="118"/>
      <c r="EDA10" s="118"/>
      <c r="EDB10" s="118"/>
      <c r="EDC10" s="118"/>
      <c r="EDD10" s="118"/>
      <c r="EDE10" s="118"/>
      <c r="EDF10" s="118"/>
      <c r="EDG10" s="118"/>
      <c r="EDH10" s="118"/>
      <c r="EDI10" s="118"/>
      <c r="EDJ10" s="118"/>
      <c r="EDK10" s="118"/>
      <c r="EDL10" s="118"/>
      <c r="EDM10" s="118"/>
      <c r="EDN10" s="118"/>
      <c r="EDO10" s="118"/>
      <c r="EDP10" s="118"/>
      <c r="EDQ10" s="118"/>
      <c r="EDR10" s="118"/>
      <c r="EDS10" s="118"/>
      <c r="EDT10" s="118"/>
      <c r="EDU10" s="118"/>
      <c r="EDV10" s="118"/>
      <c r="EDW10" s="118"/>
      <c r="EDX10" s="118"/>
      <c r="EDY10" s="118"/>
      <c r="EDZ10" s="118"/>
      <c r="EEA10" s="118"/>
      <c r="EEB10" s="118"/>
      <c r="EEC10" s="118"/>
      <c r="EED10" s="118"/>
      <c r="EEE10" s="118"/>
      <c r="EEF10" s="118"/>
      <c r="EEG10" s="118"/>
      <c r="EEH10" s="118"/>
      <c r="EEI10" s="118"/>
      <c r="EEJ10" s="118"/>
      <c r="EEK10" s="118"/>
      <c r="EEL10" s="118"/>
      <c r="EEM10" s="118"/>
      <c r="EEN10" s="118"/>
      <c r="EEO10" s="118"/>
      <c r="EEP10" s="118"/>
      <c r="EEQ10" s="118"/>
      <c r="EER10" s="118"/>
      <c r="EES10" s="118"/>
      <c r="EET10" s="118"/>
      <c r="EEU10" s="118"/>
      <c r="EEV10" s="118"/>
      <c r="EEW10" s="118"/>
      <c r="EEX10" s="118"/>
      <c r="EEY10" s="118"/>
      <c r="EEZ10" s="118"/>
      <c r="EFA10" s="118"/>
      <c r="EFB10" s="118"/>
      <c r="EFC10" s="118"/>
      <c r="EFD10" s="118"/>
      <c r="EFE10" s="118"/>
      <c r="EFF10" s="118"/>
      <c r="EFG10" s="118"/>
      <c r="EFH10" s="118"/>
      <c r="EFI10" s="118"/>
      <c r="EFJ10" s="118"/>
      <c r="EFK10" s="118"/>
      <c r="EFL10" s="118"/>
      <c r="EFM10" s="118"/>
      <c r="EFN10" s="118"/>
      <c r="EFO10" s="118"/>
      <c r="EFP10" s="118"/>
      <c r="EFQ10" s="118"/>
      <c r="EFR10" s="118"/>
      <c r="EFS10" s="118"/>
      <c r="EFT10" s="118"/>
      <c r="EFU10" s="118"/>
      <c r="EFV10" s="118"/>
      <c r="EFW10" s="118"/>
      <c r="EFX10" s="118"/>
      <c r="EFY10" s="118"/>
      <c r="EFZ10" s="118"/>
      <c r="EGA10" s="118"/>
      <c r="EGB10" s="118"/>
      <c r="EGC10" s="118"/>
      <c r="EGD10" s="118"/>
      <c r="EGE10" s="118"/>
      <c r="EGF10" s="118"/>
      <c r="EGG10" s="118"/>
      <c r="EGH10" s="118"/>
      <c r="EGI10" s="118"/>
      <c r="EGJ10" s="118"/>
      <c r="EGK10" s="118"/>
      <c r="EGL10" s="118"/>
      <c r="EGM10" s="118"/>
      <c r="EGN10" s="118"/>
      <c r="EGO10" s="118"/>
      <c r="EGP10" s="118"/>
      <c r="EGQ10" s="118"/>
      <c r="EGR10" s="118"/>
      <c r="EGS10" s="118"/>
      <c r="EGT10" s="118"/>
      <c r="EGU10" s="118"/>
      <c r="EGV10" s="118"/>
      <c r="EGW10" s="118"/>
      <c r="EGX10" s="118"/>
      <c r="EGY10" s="118"/>
      <c r="EGZ10" s="118"/>
      <c r="EHA10" s="118"/>
      <c r="EHB10" s="118"/>
      <c r="EHC10" s="118"/>
      <c r="EHD10" s="118"/>
      <c r="EHE10" s="118"/>
      <c r="EHF10" s="118"/>
      <c r="EHG10" s="118"/>
      <c r="EHH10" s="118"/>
      <c r="EHI10" s="118"/>
      <c r="EHJ10" s="118"/>
      <c r="EHK10" s="118"/>
      <c r="EHL10" s="118"/>
      <c r="EHM10" s="118"/>
      <c r="EHN10" s="118"/>
      <c r="EHO10" s="118"/>
      <c r="EHP10" s="118"/>
      <c r="EHQ10" s="118"/>
      <c r="EHR10" s="118"/>
      <c r="EHS10" s="118"/>
      <c r="EHT10" s="118"/>
      <c r="EHU10" s="118"/>
      <c r="EHV10" s="118"/>
      <c r="EHW10" s="118"/>
      <c r="EHX10" s="118"/>
      <c r="EHY10" s="118"/>
      <c r="EHZ10" s="118"/>
      <c r="EIA10" s="118"/>
      <c r="EIB10" s="118"/>
      <c r="EIC10" s="118"/>
      <c r="EID10" s="118"/>
      <c r="EIE10" s="118"/>
      <c r="EIF10" s="118"/>
      <c r="EIG10" s="118"/>
      <c r="EIH10" s="118"/>
      <c r="EII10" s="118"/>
      <c r="EIJ10" s="118"/>
      <c r="EIK10" s="118"/>
      <c r="EIL10" s="118"/>
      <c r="EIM10" s="118"/>
      <c r="EIN10" s="118"/>
      <c r="EIO10" s="118"/>
      <c r="EIP10" s="118"/>
      <c r="EIQ10" s="118"/>
      <c r="EIR10" s="118"/>
      <c r="EIS10" s="118"/>
      <c r="EIT10" s="118"/>
      <c r="EIU10" s="118"/>
      <c r="EIV10" s="118"/>
      <c r="EIW10" s="118"/>
      <c r="EIX10" s="118"/>
      <c r="EIY10" s="118"/>
      <c r="EIZ10" s="118"/>
      <c r="EJA10" s="118"/>
      <c r="EJB10" s="118"/>
      <c r="EJC10" s="118"/>
      <c r="EJD10" s="118"/>
      <c r="EJE10" s="118"/>
      <c r="EJF10" s="118"/>
      <c r="EJG10" s="118"/>
      <c r="EJH10" s="118"/>
      <c r="EJI10" s="118"/>
      <c r="EJJ10" s="118"/>
      <c r="EJK10" s="118"/>
      <c r="EJL10" s="118"/>
      <c r="EJM10" s="118"/>
      <c r="EJN10" s="118"/>
      <c r="EJO10" s="118"/>
      <c r="EJP10" s="118"/>
      <c r="EJQ10" s="118"/>
      <c r="EJR10" s="118"/>
      <c r="EJS10" s="118"/>
      <c r="EJT10" s="118"/>
      <c r="EJU10" s="118"/>
      <c r="EJV10" s="118"/>
      <c r="EJW10" s="118"/>
      <c r="EJX10" s="118"/>
      <c r="EJY10" s="118"/>
      <c r="EJZ10" s="118"/>
      <c r="EKA10" s="118"/>
      <c r="EKB10" s="118"/>
      <c r="EKC10" s="118"/>
      <c r="EKD10" s="118"/>
      <c r="EKE10" s="118"/>
      <c r="EKF10" s="118"/>
      <c r="EKG10" s="118"/>
      <c r="EKH10" s="118"/>
      <c r="EKI10" s="118"/>
      <c r="EKJ10" s="118"/>
      <c r="EKK10" s="118"/>
      <c r="EKL10" s="118"/>
      <c r="EKM10" s="118"/>
      <c r="EKN10" s="118"/>
      <c r="EKO10" s="118"/>
      <c r="EKP10" s="118"/>
      <c r="EKQ10" s="118"/>
      <c r="EKR10" s="118"/>
      <c r="EKS10" s="118"/>
      <c r="EKT10" s="118"/>
      <c r="EKU10" s="118"/>
      <c r="EKV10" s="118"/>
      <c r="EKW10" s="118"/>
      <c r="EKX10" s="118"/>
      <c r="EKY10" s="118"/>
      <c r="EKZ10" s="118"/>
      <c r="ELA10" s="118"/>
      <c r="ELB10" s="118"/>
      <c r="ELC10" s="118"/>
      <c r="ELD10" s="118"/>
      <c r="ELE10" s="118"/>
      <c r="ELF10" s="118"/>
      <c r="ELG10" s="118"/>
      <c r="ELH10" s="118"/>
      <c r="ELI10" s="118"/>
      <c r="ELJ10" s="118"/>
      <c r="ELK10" s="118"/>
      <c r="ELL10" s="118"/>
      <c r="ELM10" s="118"/>
      <c r="ELN10" s="118"/>
      <c r="ELO10" s="118"/>
      <c r="ELP10" s="118"/>
      <c r="ELQ10" s="118"/>
      <c r="ELR10" s="118"/>
      <c r="ELS10" s="118"/>
      <c r="ELT10" s="118"/>
      <c r="ELU10" s="118"/>
      <c r="ELV10" s="118"/>
      <c r="ELW10" s="118"/>
      <c r="ELX10" s="118"/>
      <c r="ELY10" s="118"/>
      <c r="ELZ10" s="118"/>
      <c r="EMA10" s="118"/>
      <c r="EMB10" s="118"/>
      <c r="EMC10" s="118"/>
      <c r="EMD10" s="118"/>
      <c r="EME10" s="118"/>
      <c r="EMF10" s="118"/>
      <c r="EMG10" s="118"/>
      <c r="EMH10" s="118"/>
      <c r="EMI10" s="118"/>
      <c r="EMJ10" s="118"/>
      <c r="EMK10" s="118"/>
      <c r="EML10" s="118"/>
      <c r="EMM10" s="118"/>
      <c r="EMN10" s="118"/>
      <c r="EMO10" s="118"/>
      <c r="EMP10" s="118"/>
      <c r="EMQ10" s="118"/>
      <c r="EMR10" s="118"/>
      <c r="EMS10" s="118"/>
      <c r="EMT10" s="118"/>
      <c r="EMU10" s="118"/>
      <c r="EMV10" s="118"/>
      <c r="EMW10" s="118"/>
      <c r="EMX10" s="118"/>
      <c r="EMY10" s="118"/>
      <c r="EMZ10" s="118"/>
      <c r="ENA10" s="118"/>
      <c r="ENB10" s="118"/>
      <c r="ENC10" s="118"/>
      <c r="END10" s="118"/>
      <c r="ENE10" s="118"/>
      <c r="ENF10" s="118"/>
      <c r="ENG10" s="118"/>
      <c r="ENH10" s="118"/>
      <c r="ENI10" s="118"/>
      <c r="ENJ10" s="118"/>
      <c r="ENK10" s="118"/>
      <c r="ENL10" s="118"/>
      <c r="ENM10" s="118"/>
      <c r="ENN10" s="118"/>
      <c r="ENO10" s="118"/>
      <c r="ENP10" s="118"/>
      <c r="ENQ10" s="118"/>
      <c r="ENR10" s="118"/>
      <c r="ENS10" s="118"/>
      <c r="ENT10" s="118"/>
      <c r="ENU10" s="118"/>
      <c r="ENV10" s="118"/>
      <c r="ENW10" s="118"/>
      <c r="ENX10" s="118"/>
      <c r="ENY10" s="118"/>
      <c r="ENZ10" s="118"/>
      <c r="EOA10" s="118"/>
      <c r="EOB10" s="118"/>
      <c r="EOC10" s="118"/>
      <c r="EOD10" s="118"/>
      <c r="EOE10" s="118"/>
      <c r="EOF10" s="118"/>
      <c r="EOG10" s="118"/>
      <c r="EOH10" s="118"/>
      <c r="EOI10" s="118"/>
      <c r="EOJ10" s="118"/>
      <c r="EOK10" s="118"/>
      <c r="EOL10" s="118"/>
      <c r="EOM10" s="118"/>
      <c r="EON10" s="118"/>
      <c r="EOO10" s="118"/>
      <c r="EOP10" s="118"/>
      <c r="EOQ10" s="118"/>
      <c r="EOR10" s="118"/>
      <c r="EOS10" s="118"/>
      <c r="EOT10" s="118"/>
      <c r="EOU10" s="118"/>
      <c r="EOV10" s="118"/>
      <c r="EOW10" s="118"/>
      <c r="EOX10" s="118"/>
      <c r="EOY10" s="118"/>
      <c r="EOZ10" s="118"/>
      <c r="EPA10" s="118"/>
      <c r="EPB10" s="118"/>
      <c r="EPC10" s="118"/>
      <c r="EPD10" s="118"/>
      <c r="EPE10" s="118"/>
      <c r="EPF10" s="118"/>
      <c r="EPG10" s="118"/>
      <c r="EPH10" s="118"/>
      <c r="EPI10" s="118"/>
      <c r="EPJ10" s="118"/>
      <c r="EPK10" s="118"/>
      <c r="EPL10" s="118"/>
      <c r="EPM10" s="118"/>
      <c r="EPN10" s="118"/>
      <c r="EPO10" s="118"/>
      <c r="EPP10" s="118"/>
      <c r="EPQ10" s="118"/>
      <c r="EPR10" s="118"/>
      <c r="EPS10" s="118"/>
      <c r="EPT10" s="118"/>
      <c r="EPU10" s="118"/>
      <c r="EPV10" s="118"/>
      <c r="EPW10" s="118"/>
      <c r="EPX10" s="118"/>
      <c r="EPY10" s="118"/>
      <c r="EPZ10" s="118"/>
      <c r="EQA10" s="118"/>
      <c r="EQB10" s="118"/>
      <c r="EQC10" s="118"/>
      <c r="EQD10" s="118"/>
      <c r="EQE10" s="118"/>
      <c r="EQF10" s="118"/>
      <c r="EQG10" s="118"/>
      <c r="EQH10" s="118"/>
      <c r="EQI10" s="118"/>
      <c r="EQJ10" s="118"/>
      <c r="EQK10" s="118"/>
      <c r="EQL10" s="118"/>
      <c r="EQM10" s="118"/>
      <c r="EQN10" s="118"/>
      <c r="EQO10" s="118"/>
      <c r="EQP10" s="118"/>
      <c r="EQQ10" s="118"/>
      <c r="EQR10" s="118"/>
      <c r="EQS10" s="118"/>
      <c r="EQT10" s="118"/>
      <c r="EQU10" s="118"/>
      <c r="EQV10" s="118"/>
      <c r="EQW10" s="118"/>
      <c r="EQX10" s="118"/>
      <c r="EQY10" s="118"/>
      <c r="EQZ10" s="118"/>
      <c r="ERA10" s="118"/>
      <c r="ERB10" s="118"/>
      <c r="ERC10" s="118"/>
      <c r="ERD10" s="118"/>
      <c r="ERE10" s="118"/>
      <c r="ERF10" s="118"/>
      <c r="ERG10" s="118"/>
      <c r="ERH10" s="118"/>
      <c r="ERI10" s="118"/>
      <c r="ERJ10" s="118"/>
      <c r="ERK10" s="118"/>
      <c r="ERL10" s="118"/>
      <c r="ERM10" s="118"/>
      <c r="ERN10" s="118"/>
      <c r="ERO10" s="118"/>
      <c r="ERP10" s="118"/>
      <c r="ERQ10" s="118"/>
      <c r="ERR10" s="118"/>
      <c r="ERS10" s="118"/>
      <c r="ERT10" s="118"/>
      <c r="ERU10" s="118"/>
      <c r="ERV10" s="118"/>
      <c r="ERW10" s="118"/>
      <c r="ERX10" s="118"/>
      <c r="ERY10" s="118"/>
      <c r="ERZ10" s="118"/>
      <c r="ESA10" s="118"/>
      <c r="ESB10" s="118"/>
      <c r="ESC10" s="118"/>
      <c r="ESD10" s="118"/>
      <c r="ESE10" s="118"/>
      <c r="ESF10" s="118"/>
      <c r="ESG10" s="118"/>
      <c r="ESH10" s="118"/>
      <c r="ESI10" s="118"/>
      <c r="ESJ10" s="118"/>
      <c r="ESK10" s="118"/>
      <c r="ESL10" s="118"/>
      <c r="ESM10" s="118"/>
      <c r="ESN10" s="118"/>
      <c r="ESO10" s="118"/>
      <c r="ESP10" s="118"/>
      <c r="ESQ10" s="118"/>
      <c r="ESR10" s="118"/>
      <c r="ESS10" s="118"/>
      <c r="EST10" s="118"/>
      <c r="ESU10" s="118"/>
      <c r="ESV10" s="118"/>
      <c r="ESW10" s="118"/>
      <c r="ESX10" s="118"/>
      <c r="ESY10" s="118"/>
      <c r="ESZ10" s="118"/>
      <c r="ETA10" s="118"/>
      <c r="ETB10" s="118"/>
      <c r="ETC10" s="118"/>
      <c r="ETD10" s="118"/>
      <c r="ETE10" s="118"/>
      <c r="ETF10" s="118"/>
      <c r="ETG10" s="118"/>
      <c r="ETH10" s="118"/>
      <c r="ETI10" s="118"/>
      <c r="ETJ10" s="118"/>
      <c r="ETK10" s="118"/>
      <c r="ETL10" s="118"/>
      <c r="ETM10" s="118"/>
      <c r="ETN10" s="118"/>
      <c r="ETO10" s="118"/>
      <c r="ETP10" s="118"/>
      <c r="ETQ10" s="118"/>
      <c r="ETR10" s="118"/>
      <c r="ETS10" s="118"/>
      <c r="ETT10" s="118"/>
      <c r="ETU10" s="118"/>
      <c r="ETV10" s="118"/>
      <c r="ETW10" s="118"/>
      <c r="ETX10" s="118"/>
      <c r="ETY10" s="118"/>
      <c r="ETZ10" s="118"/>
      <c r="EUA10" s="118"/>
      <c r="EUB10" s="118"/>
      <c r="EUC10" s="118"/>
      <c r="EUD10" s="118"/>
      <c r="EUE10" s="118"/>
      <c r="EUF10" s="118"/>
      <c r="EUG10" s="118"/>
      <c r="EUH10" s="118"/>
      <c r="EUI10" s="118"/>
      <c r="EUJ10" s="118"/>
      <c r="EUK10" s="118"/>
      <c r="EUL10" s="118"/>
      <c r="EUM10" s="118"/>
      <c r="EUN10" s="118"/>
      <c r="EUO10" s="118"/>
      <c r="EUP10" s="118"/>
      <c r="EUQ10" s="118"/>
      <c r="EUR10" s="118"/>
      <c r="EUS10" s="118"/>
      <c r="EUT10" s="118"/>
      <c r="EUU10" s="118"/>
      <c r="EUV10" s="118"/>
      <c r="EUW10" s="118"/>
      <c r="EUX10" s="118"/>
      <c r="EUY10" s="118"/>
      <c r="EUZ10" s="118"/>
      <c r="EVA10" s="118"/>
      <c r="EVB10" s="118"/>
      <c r="EVC10" s="118"/>
      <c r="EVD10" s="118"/>
      <c r="EVE10" s="118"/>
      <c r="EVF10" s="118"/>
      <c r="EVG10" s="118"/>
      <c r="EVH10" s="118"/>
      <c r="EVI10" s="118"/>
      <c r="EVJ10" s="118"/>
      <c r="EVK10" s="118"/>
      <c r="EVL10" s="118"/>
      <c r="EVM10" s="118"/>
      <c r="EVN10" s="118"/>
      <c r="EVO10" s="118"/>
      <c r="EVP10" s="118"/>
      <c r="EVQ10" s="118"/>
      <c r="EVR10" s="118"/>
      <c r="EVS10" s="118"/>
      <c r="EVT10" s="118"/>
      <c r="EVU10" s="118"/>
      <c r="EVV10" s="118"/>
      <c r="EVW10" s="118"/>
      <c r="EVX10" s="118"/>
      <c r="EVY10" s="118"/>
      <c r="EVZ10" s="118"/>
      <c r="EWA10" s="118"/>
      <c r="EWB10" s="118"/>
      <c r="EWC10" s="118"/>
      <c r="EWD10" s="118"/>
      <c r="EWE10" s="118"/>
      <c r="EWF10" s="118"/>
      <c r="EWG10" s="118"/>
      <c r="EWH10" s="118"/>
      <c r="EWI10" s="118"/>
      <c r="EWJ10" s="118"/>
      <c r="EWK10" s="118"/>
      <c r="EWL10" s="118"/>
      <c r="EWM10" s="118"/>
      <c r="EWN10" s="118"/>
      <c r="EWO10" s="118"/>
      <c r="EWP10" s="118"/>
      <c r="EWQ10" s="118"/>
      <c r="EWR10" s="118"/>
      <c r="EWS10" s="118"/>
      <c r="EWT10" s="118"/>
      <c r="EWU10" s="118"/>
      <c r="EWV10" s="118"/>
      <c r="EWW10" s="118"/>
      <c r="EWX10" s="118"/>
      <c r="EWY10" s="118"/>
      <c r="EWZ10" s="118"/>
      <c r="EXA10" s="118"/>
      <c r="EXB10" s="118"/>
      <c r="EXC10" s="118"/>
      <c r="EXD10" s="118"/>
      <c r="EXE10" s="118"/>
      <c r="EXF10" s="118"/>
      <c r="EXG10" s="118"/>
      <c r="EXH10" s="118"/>
      <c r="EXI10" s="118"/>
      <c r="EXJ10" s="118"/>
      <c r="EXK10" s="118"/>
      <c r="EXL10" s="118"/>
      <c r="EXM10" s="118"/>
      <c r="EXN10" s="118"/>
      <c r="EXO10" s="118"/>
      <c r="EXP10" s="118"/>
      <c r="EXQ10" s="118"/>
      <c r="EXR10" s="118"/>
      <c r="EXS10" s="118"/>
      <c r="EXT10" s="118"/>
      <c r="EXU10" s="118"/>
      <c r="EXV10" s="118"/>
      <c r="EXW10" s="118"/>
      <c r="EXX10" s="118"/>
      <c r="EXY10" s="118"/>
      <c r="EXZ10" s="118"/>
      <c r="EYA10" s="118"/>
      <c r="EYB10" s="118"/>
      <c r="EYC10" s="118"/>
      <c r="EYD10" s="118"/>
      <c r="EYE10" s="118"/>
      <c r="EYF10" s="118"/>
      <c r="EYG10" s="118"/>
      <c r="EYH10" s="118"/>
      <c r="EYI10" s="118"/>
      <c r="EYJ10" s="118"/>
      <c r="EYK10" s="118"/>
      <c r="EYL10" s="118"/>
      <c r="EYM10" s="118"/>
      <c r="EYN10" s="118"/>
      <c r="EYO10" s="118"/>
      <c r="EYP10" s="118"/>
      <c r="EYQ10" s="118"/>
      <c r="EYR10" s="118"/>
      <c r="EYS10" s="118"/>
      <c r="EYT10" s="118"/>
      <c r="EYU10" s="118"/>
      <c r="EYV10" s="118"/>
      <c r="EYW10" s="118"/>
      <c r="EYX10" s="118"/>
      <c r="EYY10" s="118"/>
      <c r="EYZ10" s="118"/>
      <c r="EZA10" s="118"/>
      <c r="EZB10" s="118"/>
      <c r="EZC10" s="118"/>
      <c r="EZD10" s="118"/>
      <c r="EZE10" s="118"/>
      <c r="EZF10" s="118"/>
      <c r="EZG10" s="118"/>
      <c r="EZH10" s="118"/>
      <c r="EZI10" s="118"/>
      <c r="EZJ10" s="118"/>
      <c r="EZK10" s="118"/>
      <c r="EZL10" s="118"/>
      <c r="EZM10" s="118"/>
      <c r="EZN10" s="118"/>
      <c r="EZO10" s="118"/>
      <c r="EZP10" s="118"/>
      <c r="EZQ10" s="118"/>
      <c r="EZR10" s="118"/>
      <c r="EZS10" s="118"/>
      <c r="EZT10" s="118"/>
      <c r="EZU10" s="118"/>
      <c r="EZV10" s="118"/>
      <c r="EZW10" s="118"/>
      <c r="EZX10" s="118"/>
      <c r="EZY10" s="118"/>
      <c r="EZZ10" s="118"/>
      <c r="FAA10" s="118"/>
      <c r="FAB10" s="118"/>
      <c r="FAC10" s="118"/>
      <c r="FAD10" s="118"/>
      <c r="FAE10" s="118"/>
      <c r="FAF10" s="118"/>
      <c r="FAG10" s="118"/>
      <c r="FAH10" s="118"/>
      <c r="FAI10" s="118"/>
      <c r="FAJ10" s="118"/>
      <c r="FAK10" s="118"/>
      <c r="FAL10" s="118"/>
      <c r="FAM10" s="118"/>
      <c r="FAN10" s="118"/>
      <c r="FAO10" s="118"/>
      <c r="FAP10" s="118"/>
      <c r="FAQ10" s="118"/>
      <c r="FAR10" s="118"/>
      <c r="FAS10" s="118"/>
      <c r="FAT10" s="118"/>
      <c r="FAU10" s="118"/>
      <c r="FAV10" s="118"/>
      <c r="FAW10" s="118"/>
      <c r="FAX10" s="118"/>
      <c r="FAY10" s="118"/>
      <c r="FAZ10" s="118"/>
      <c r="FBA10" s="118"/>
      <c r="FBB10" s="118"/>
      <c r="FBC10" s="118"/>
      <c r="FBD10" s="118"/>
      <c r="FBE10" s="118"/>
      <c r="FBF10" s="118"/>
      <c r="FBG10" s="118"/>
      <c r="FBH10" s="118"/>
      <c r="FBI10" s="118"/>
      <c r="FBJ10" s="118"/>
      <c r="FBK10" s="118"/>
      <c r="FBL10" s="118"/>
      <c r="FBM10" s="118"/>
      <c r="FBN10" s="118"/>
      <c r="FBO10" s="118"/>
      <c r="FBP10" s="118"/>
      <c r="FBQ10" s="118"/>
      <c r="FBR10" s="118"/>
      <c r="FBS10" s="118"/>
      <c r="FBT10" s="118"/>
      <c r="FBU10" s="118"/>
      <c r="FBV10" s="118"/>
      <c r="FBW10" s="118"/>
      <c r="FBX10" s="118"/>
      <c r="FBY10" s="118"/>
      <c r="FBZ10" s="118"/>
      <c r="FCA10" s="118"/>
      <c r="FCB10" s="118"/>
      <c r="FCC10" s="118"/>
      <c r="FCD10" s="118"/>
      <c r="FCE10" s="118"/>
      <c r="FCF10" s="118"/>
      <c r="FCG10" s="118"/>
      <c r="FCH10" s="118"/>
      <c r="FCI10" s="118"/>
      <c r="FCJ10" s="118"/>
      <c r="FCK10" s="118"/>
      <c r="FCL10" s="118"/>
      <c r="FCM10" s="118"/>
      <c r="FCN10" s="118"/>
      <c r="FCO10" s="118"/>
      <c r="FCP10" s="118"/>
      <c r="FCQ10" s="118"/>
      <c r="FCR10" s="118"/>
      <c r="FCS10" s="118"/>
      <c r="FCT10" s="118"/>
      <c r="FCU10" s="118"/>
      <c r="FCV10" s="118"/>
      <c r="FCW10" s="118"/>
      <c r="FCX10" s="118"/>
      <c r="FCY10" s="118"/>
      <c r="FCZ10" s="118"/>
      <c r="FDA10" s="118"/>
      <c r="FDB10" s="118"/>
      <c r="FDC10" s="118"/>
      <c r="FDD10" s="118"/>
      <c r="FDE10" s="118"/>
      <c r="FDF10" s="118"/>
      <c r="FDG10" s="118"/>
      <c r="FDH10" s="118"/>
      <c r="FDI10" s="118"/>
      <c r="FDJ10" s="118"/>
      <c r="FDK10" s="118"/>
      <c r="FDL10" s="118"/>
      <c r="FDM10" s="118"/>
      <c r="FDN10" s="118"/>
      <c r="FDO10" s="118"/>
      <c r="FDP10" s="118"/>
      <c r="FDQ10" s="118"/>
      <c r="FDR10" s="118"/>
      <c r="FDS10" s="118"/>
      <c r="FDT10" s="118"/>
      <c r="FDU10" s="118"/>
      <c r="FDV10" s="118"/>
      <c r="FDW10" s="118"/>
      <c r="FDX10" s="118"/>
      <c r="FDY10" s="118"/>
      <c r="FDZ10" s="118"/>
      <c r="FEA10" s="118"/>
      <c r="FEB10" s="118"/>
      <c r="FEC10" s="118"/>
      <c r="FED10" s="118"/>
      <c r="FEE10" s="118"/>
      <c r="FEF10" s="118"/>
      <c r="FEG10" s="118"/>
      <c r="FEH10" s="118"/>
      <c r="FEI10" s="118"/>
      <c r="FEJ10" s="118"/>
      <c r="FEK10" s="118"/>
      <c r="FEL10" s="118"/>
      <c r="FEM10" s="118"/>
      <c r="FEN10" s="118"/>
      <c r="FEO10" s="118"/>
      <c r="FEP10" s="118"/>
      <c r="FEQ10" s="118"/>
      <c r="FER10" s="118"/>
      <c r="FES10" s="118"/>
      <c r="FET10" s="118"/>
      <c r="FEU10" s="118"/>
      <c r="FEV10" s="118"/>
      <c r="FEW10" s="118"/>
      <c r="FEX10" s="118"/>
      <c r="FEY10" s="118"/>
      <c r="FEZ10" s="118"/>
      <c r="FFA10" s="118"/>
      <c r="FFB10" s="118"/>
      <c r="FFC10" s="118"/>
      <c r="FFD10" s="118"/>
      <c r="FFE10" s="118"/>
      <c r="FFF10" s="118"/>
      <c r="FFG10" s="118"/>
      <c r="FFH10" s="118"/>
      <c r="FFI10" s="118"/>
      <c r="FFJ10" s="118"/>
      <c r="FFK10" s="118"/>
      <c r="FFL10" s="118"/>
      <c r="FFM10" s="118"/>
      <c r="FFN10" s="118"/>
      <c r="FFO10" s="118"/>
      <c r="FFP10" s="118"/>
      <c r="FFQ10" s="118"/>
      <c r="FFR10" s="118"/>
      <c r="FFS10" s="118"/>
      <c r="FFT10" s="118"/>
      <c r="FFU10" s="118"/>
      <c r="FFV10" s="118"/>
      <c r="FFW10" s="118"/>
      <c r="FFX10" s="118"/>
      <c r="FFY10" s="118"/>
      <c r="FFZ10" s="118"/>
      <c r="FGA10" s="118"/>
      <c r="FGB10" s="118"/>
      <c r="FGC10" s="118"/>
      <c r="FGD10" s="118"/>
      <c r="FGE10" s="118"/>
      <c r="FGF10" s="118"/>
      <c r="FGG10" s="118"/>
      <c r="FGH10" s="118"/>
      <c r="FGI10" s="118"/>
      <c r="FGJ10" s="118"/>
      <c r="FGK10" s="118"/>
      <c r="FGL10" s="118"/>
      <c r="FGM10" s="118"/>
      <c r="FGN10" s="118"/>
      <c r="FGO10" s="118"/>
      <c r="FGP10" s="118"/>
      <c r="FGQ10" s="118"/>
      <c r="FGR10" s="118"/>
      <c r="FGS10" s="118"/>
      <c r="FGT10" s="118"/>
      <c r="FGU10" s="118"/>
      <c r="FGV10" s="118"/>
      <c r="FGW10" s="118"/>
      <c r="FGX10" s="118"/>
      <c r="FGY10" s="118"/>
      <c r="FGZ10" s="118"/>
      <c r="FHA10" s="118"/>
      <c r="FHB10" s="118"/>
      <c r="FHC10" s="118"/>
      <c r="FHD10" s="118"/>
      <c r="FHE10" s="118"/>
      <c r="FHF10" s="118"/>
      <c r="FHG10" s="118"/>
      <c r="FHH10" s="118"/>
      <c r="FHI10" s="118"/>
      <c r="FHJ10" s="118"/>
      <c r="FHK10" s="118"/>
      <c r="FHL10" s="118"/>
      <c r="FHM10" s="118"/>
      <c r="FHN10" s="118"/>
      <c r="FHO10" s="118"/>
      <c r="FHP10" s="118"/>
      <c r="FHQ10" s="118"/>
      <c r="FHR10" s="118"/>
      <c r="FHS10" s="118"/>
      <c r="FHT10" s="118"/>
      <c r="FHU10" s="118"/>
      <c r="FHV10" s="118"/>
      <c r="FHW10" s="118"/>
      <c r="FHX10" s="118"/>
      <c r="FHY10" s="118"/>
      <c r="FHZ10" s="118"/>
      <c r="FIA10" s="118"/>
      <c r="FIB10" s="118"/>
      <c r="FIC10" s="118"/>
      <c r="FID10" s="118"/>
      <c r="FIE10" s="118"/>
      <c r="FIF10" s="118"/>
      <c r="FIG10" s="118"/>
      <c r="FIH10" s="118"/>
      <c r="FII10" s="118"/>
      <c r="FIJ10" s="118"/>
      <c r="FIK10" s="118"/>
      <c r="FIL10" s="118"/>
      <c r="FIM10" s="118"/>
      <c r="FIN10" s="118"/>
      <c r="FIO10" s="118"/>
      <c r="FIP10" s="118"/>
      <c r="FIQ10" s="118"/>
      <c r="FIR10" s="118"/>
      <c r="FIS10" s="118"/>
      <c r="FIT10" s="118"/>
      <c r="FIU10" s="118"/>
      <c r="FIV10" s="118"/>
      <c r="FIW10" s="118"/>
      <c r="FIX10" s="118"/>
      <c r="FIY10" s="118"/>
      <c r="FIZ10" s="118"/>
      <c r="FJA10" s="118"/>
      <c r="FJB10" s="118"/>
      <c r="FJC10" s="118"/>
      <c r="FJD10" s="118"/>
      <c r="FJE10" s="118"/>
      <c r="FJF10" s="118"/>
      <c r="FJG10" s="118"/>
      <c r="FJH10" s="118"/>
      <c r="FJI10" s="118"/>
      <c r="FJJ10" s="118"/>
      <c r="FJK10" s="118"/>
      <c r="FJL10" s="118"/>
      <c r="FJM10" s="118"/>
      <c r="FJN10" s="118"/>
      <c r="FJO10" s="118"/>
      <c r="FJP10" s="118"/>
      <c r="FJQ10" s="118"/>
      <c r="FJR10" s="118"/>
      <c r="FJS10" s="118"/>
      <c r="FJT10" s="118"/>
      <c r="FJU10" s="118"/>
      <c r="FJV10" s="118"/>
      <c r="FJW10" s="118"/>
      <c r="FJX10" s="118"/>
      <c r="FJY10" s="118"/>
      <c r="FJZ10" s="118"/>
      <c r="FKA10" s="118"/>
      <c r="FKB10" s="118"/>
      <c r="FKC10" s="118"/>
      <c r="FKD10" s="118"/>
      <c r="FKE10" s="118"/>
      <c r="FKF10" s="118"/>
      <c r="FKG10" s="118"/>
      <c r="FKH10" s="118"/>
      <c r="FKI10" s="118"/>
      <c r="FKJ10" s="118"/>
      <c r="FKK10" s="118"/>
      <c r="FKL10" s="118"/>
      <c r="FKM10" s="118"/>
      <c r="FKN10" s="118"/>
      <c r="FKO10" s="118"/>
      <c r="FKP10" s="118"/>
      <c r="FKQ10" s="118"/>
      <c r="FKR10" s="118"/>
      <c r="FKS10" s="118"/>
      <c r="FKT10" s="118"/>
      <c r="FKU10" s="118"/>
      <c r="FKV10" s="118"/>
      <c r="FKW10" s="118"/>
      <c r="FKX10" s="118"/>
      <c r="FKY10" s="118"/>
      <c r="FKZ10" s="118"/>
      <c r="FLA10" s="118"/>
      <c r="FLB10" s="118"/>
      <c r="FLC10" s="118"/>
      <c r="FLD10" s="118"/>
      <c r="FLE10" s="118"/>
      <c r="FLF10" s="118"/>
      <c r="FLG10" s="118"/>
      <c r="FLH10" s="118"/>
      <c r="FLI10" s="118"/>
      <c r="FLJ10" s="118"/>
      <c r="FLK10" s="118"/>
      <c r="FLL10" s="118"/>
      <c r="FLM10" s="118"/>
      <c r="FLN10" s="118"/>
      <c r="FLO10" s="118"/>
      <c r="FLP10" s="118"/>
      <c r="FLQ10" s="118"/>
      <c r="FLR10" s="118"/>
      <c r="FLS10" s="118"/>
      <c r="FLT10" s="118"/>
      <c r="FLU10" s="118"/>
      <c r="FLV10" s="118"/>
      <c r="FLW10" s="118"/>
      <c r="FLX10" s="118"/>
      <c r="FLY10" s="118"/>
      <c r="FLZ10" s="118"/>
      <c r="FMA10" s="118"/>
      <c r="FMB10" s="118"/>
      <c r="FMC10" s="118"/>
      <c r="FMD10" s="118"/>
      <c r="FME10" s="118"/>
      <c r="FMF10" s="118"/>
      <c r="FMG10" s="118"/>
      <c r="FMH10" s="118"/>
      <c r="FMI10" s="118"/>
      <c r="FMJ10" s="118"/>
      <c r="FMK10" s="118"/>
      <c r="FML10" s="118"/>
      <c r="FMM10" s="118"/>
      <c r="FMN10" s="118"/>
      <c r="FMO10" s="118"/>
      <c r="FMP10" s="118"/>
      <c r="FMQ10" s="118"/>
      <c r="FMR10" s="118"/>
      <c r="FMS10" s="118"/>
      <c r="FMT10" s="118"/>
      <c r="FMU10" s="118"/>
      <c r="FMV10" s="118"/>
      <c r="FMW10" s="118"/>
      <c r="FMX10" s="118"/>
      <c r="FMY10" s="118"/>
      <c r="FMZ10" s="118"/>
      <c r="FNA10" s="118"/>
      <c r="FNB10" s="118"/>
      <c r="FNC10" s="118"/>
      <c r="FND10" s="118"/>
      <c r="FNE10" s="118"/>
      <c r="FNF10" s="118"/>
      <c r="FNG10" s="118"/>
      <c r="FNH10" s="118"/>
      <c r="FNI10" s="118"/>
      <c r="FNJ10" s="118"/>
      <c r="FNK10" s="118"/>
      <c r="FNL10" s="118"/>
      <c r="FNM10" s="118"/>
      <c r="FNN10" s="118"/>
      <c r="FNO10" s="118"/>
      <c r="FNP10" s="118"/>
      <c r="FNQ10" s="118"/>
      <c r="FNR10" s="118"/>
      <c r="FNS10" s="118"/>
      <c r="FNT10" s="118"/>
      <c r="FNU10" s="118"/>
      <c r="FNV10" s="118"/>
      <c r="FNW10" s="118"/>
      <c r="FNX10" s="118"/>
      <c r="FNY10" s="118"/>
      <c r="FNZ10" s="118"/>
      <c r="FOA10" s="118"/>
      <c r="FOB10" s="118"/>
      <c r="FOC10" s="118"/>
      <c r="FOD10" s="118"/>
      <c r="FOE10" s="118"/>
      <c r="FOF10" s="118"/>
      <c r="FOG10" s="118"/>
      <c r="FOH10" s="118"/>
      <c r="FOI10" s="118"/>
      <c r="FOJ10" s="118"/>
      <c r="FOK10" s="118"/>
      <c r="FOL10" s="118"/>
      <c r="FOM10" s="118"/>
      <c r="FON10" s="118"/>
      <c r="FOO10" s="118"/>
      <c r="FOP10" s="118"/>
      <c r="FOQ10" s="118"/>
      <c r="FOR10" s="118"/>
      <c r="FOS10" s="118"/>
      <c r="FOT10" s="118"/>
      <c r="FOU10" s="118"/>
      <c r="FOV10" s="118"/>
      <c r="FOW10" s="118"/>
      <c r="FOX10" s="118"/>
      <c r="FOY10" s="118"/>
      <c r="FOZ10" s="118"/>
      <c r="FPA10" s="118"/>
      <c r="FPB10" s="118"/>
      <c r="FPC10" s="118"/>
      <c r="FPD10" s="118"/>
      <c r="FPE10" s="118"/>
      <c r="FPF10" s="118"/>
      <c r="FPG10" s="118"/>
      <c r="FPH10" s="118"/>
      <c r="FPI10" s="118"/>
      <c r="FPJ10" s="118"/>
      <c r="FPK10" s="118"/>
      <c r="FPL10" s="118"/>
      <c r="FPM10" s="118"/>
      <c r="FPN10" s="118"/>
      <c r="FPO10" s="118"/>
      <c r="FPP10" s="118"/>
      <c r="FPQ10" s="118"/>
      <c r="FPR10" s="118"/>
      <c r="FPS10" s="118"/>
      <c r="FPT10" s="118"/>
      <c r="FPU10" s="118"/>
      <c r="FPV10" s="118"/>
      <c r="FPW10" s="118"/>
      <c r="FPX10" s="118"/>
      <c r="FPY10" s="118"/>
      <c r="FPZ10" s="118"/>
      <c r="FQA10" s="118"/>
      <c r="FQB10" s="118"/>
      <c r="FQC10" s="118"/>
      <c r="FQD10" s="118"/>
      <c r="FQE10" s="118"/>
      <c r="FQF10" s="118"/>
      <c r="FQG10" s="118"/>
      <c r="FQH10" s="118"/>
      <c r="FQI10" s="118"/>
      <c r="FQJ10" s="118"/>
      <c r="FQK10" s="118"/>
      <c r="FQL10" s="118"/>
      <c r="FQM10" s="118"/>
      <c r="FQN10" s="118"/>
      <c r="FQO10" s="118"/>
      <c r="FQP10" s="118"/>
      <c r="FQQ10" s="118"/>
      <c r="FQR10" s="118"/>
      <c r="FQS10" s="118"/>
      <c r="FQT10" s="118"/>
      <c r="FQU10" s="118"/>
      <c r="FQV10" s="118"/>
      <c r="FQW10" s="118"/>
      <c r="FQX10" s="118"/>
      <c r="FQY10" s="118"/>
      <c r="FQZ10" s="118"/>
      <c r="FRA10" s="118"/>
      <c r="FRB10" s="118"/>
      <c r="FRC10" s="118"/>
      <c r="FRD10" s="118"/>
      <c r="FRE10" s="118"/>
      <c r="FRF10" s="118"/>
      <c r="FRG10" s="118"/>
      <c r="FRH10" s="118"/>
      <c r="FRI10" s="118"/>
      <c r="FRJ10" s="118"/>
      <c r="FRK10" s="118"/>
      <c r="FRL10" s="118"/>
      <c r="FRM10" s="118"/>
      <c r="FRN10" s="118"/>
      <c r="FRO10" s="118"/>
      <c r="FRP10" s="118"/>
      <c r="FRQ10" s="118"/>
      <c r="FRR10" s="118"/>
      <c r="FRS10" s="118"/>
      <c r="FRT10" s="118"/>
      <c r="FRU10" s="118"/>
      <c r="FRV10" s="118"/>
      <c r="FRW10" s="118"/>
      <c r="FRX10" s="118"/>
      <c r="FRY10" s="118"/>
      <c r="FRZ10" s="118"/>
      <c r="FSA10" s="118"/>
      <c r="FSB10" s="118"/>
      <c r="FSC10" s="118"/>
      <c r="FSD10" s="118"/>
      <c r="FSE10" s="118"/>
      <c r="FSF10" s="118"/>
      <c r="FSG10" s="118"/>
      <c r="FSH10" s="118"/>
      <c r="FSI10" s="118"/>
      <c r="FSJ10" s="118"/>
      <c r="FSK10" s="118"/>
      <c r="FSL10" s="118"/>
      <c r="FSM10" s="118"/>
      <c r="FSN10" s="118"/>
      <c r="FSO10" s="118"/>
      <c r="FSP10" s="118"/>
      <c r="FSQ10" s="118"/>
      <c r="FSR10" s="118"/>
      <c r="FSS10" s="118"/>
      <c r="FST10" s="118"/>
      <c r="FSU10" s="118"/>
      <c r="FSV10" s="118"/>
      <c r="FSW10" s="118"/>
      <c r="FSX10" s="118"/>
      <c r="FSY10" s="118"/>
      <c r="FSZ10" s="118"/>
      <c r="FTA10" s="118"/>
      <c r="FTB10" s="118"/>
      <c r="FTC10" s="118"/>
      <c r="FTD10" s="118"/>
      <c r="FTE10" s="118"/>
      <c r="FTF10" s="118"/>
      <c r="FTG10" s="118"/>
      <c r="FTH10" s="118"/>
      <c r="FTI10" s="118"/>
      <c r="FTJ10" s="118"/>
      <c r="FTK10" s="118"/>
      <c r="FTL10" s="118"/>
      <c r="FTM10" s="118"/>
      <c r="FTN10" s="118"/>
      <c r="FTO10" s="118"/>
      <c r="FTP10" s="118"/>
      <c r="FTQ10" s="118"/>
      <c r="FTR10" s="118"/>
      <c r="FTS10" s="118"/>
      <c r="FTT10" s="118"/>
      <c r="FTU10" s="118"/>
      <c r="FTV10" s="118"/>
      <c r="FTW10" s="118"/>
      <c r="FTX10" s="118"/>
      <c r="FTY10" s="118"/>
      <c r="FTZ10" s="118"/>
      <c r="FUA10" s="118"/>
      <c r="FUB10" s="118"/>
      <c r="FUC10" s="118"/>
      <c r="FUD10" s="118"/>
      <c r="FUE10" s="118"/>
      <c r="FUF10" s="118"/>
      <c r="FUG10" s="118"/>
      <c r="FUH10" s="118"/>
      <c r="FUI10" s="118"/>
      <c r="FUJ10" s="118"/>
      <c r="FUK10" s="118"/>
      <c r="FUL10" s="118"/>
      <c r="FUM10" s="118"/>
      <c r="FUN10" s="118"/>
      <c r="FUO10" s="118"/>
      <c r="FUP10" s="118"/>
      <c r="FUQ10" s="118"/>
      <c r="FUR10" s="118"/>
      <c r="FUS10" s="118"/>
      <c r="FUT10" s="118"/>
      <c r="FUU10" s="118"/>
      <c r="FUV10" s="118"/>
      <c r="FUW10" s="118"/>
      <c r="FUX10" s="118"/>
      <c r="FUY10" s="118"/>
      <c r="FUZ10" s="118"/>
      <c r="FVA10" s="118"/>
      <c r="FVB10" s="118"/>
      <c r="FVC10" s="118"/>
      <c r="FVD10" s="118"/>
      <c r="FVE10" s="118"/>
      <c r="FVF10" s="118"/>
      <c r="FVG10" s="118"/>
      <c r="FVH10" s="118"/>
      <c r="FVI10" s="118"/>
      <c r="FVJ10" s="118"/>
      <c r="FVK10" s="118"/>
      <c r="FVL10" s="118"/>
      <c r="FVM10" s="118"/>
      <c r="FVN10" s="118"/>
      <c r="FVO10" s="118"/>
      <c r="FVP10" s="118"/>
      <c r="FVQ10" s="118"/>
      <c r="FVR10" s="118"/>
      <c r="FVS10" s="118"/>
      <c r="FVT10" s="118"/>
      <c r="FVU10" s="118"/>
      <c r="FVV10" s="118"/>
      <c r="FVW10" s="118"/>
      <c r="FVX10" s="118"/>
      <c r="FVY10" s="118"/>
      <c r="FVZ10" s="118"/>
      <c r="FWA10" s="118"/>
      <c r="FWB10" s="118"/>
      <c r="FWC10" s="118"/>
      <c r="FWD10" s="118"/>
      <c r="FWE10" s="118"/>
      <c r="FWF10" s="118"/>
      <c r="FWG10" s="118"/>
      <c r="FWH10" s="118"/>
      <c r="FWI10" s="118"/>
      <c r="FWJ10" s="118"/>
      <c r="FWK10" s="118"/>
      <c r="FWL10" s="118"/>
      <c r="FWM10" s="118"/>
      <c r="FWN10" s="118"/>
      <c r="FWO10" s="118"/>
      <c r="FWP10" s="118"/>
      <c r="FWQ10" s="118"/>
      <c r="FWR10" s="118"/>
      <c r="FWS10" s="118"/>
      <c r="FWT10" s="118"/>
      <c r="FWU10" s="118"/>
      <c r="FWV10" s="118"/>
      <c r="FWW10" s="118"/>
      <c r="FWX10" s="118"/>
      <c r="FWY10" s="118"/>
      <c r="FWZ10" s="118"/>
      <c r="FXA10" s="118"/>
      <c r="FXB10" s="118"/>
      <c r="FXC10" s="118"/>
      <c r="FXD10" s="118"/>
      <c r="FXE10" s="118"/>
      <c r="FXF10" s="118"/>
      <c r="FXG10" s="118"/>
      <c r="FXH10" s="118"/>
      <c r="FXI10" s="118"/>
      <c r="FXJ10" s="118"/>
      <c r="FXK10" s="118"/>
      <c r="FXL10" s="118"/>
      <c r="FXM10" s="118"/>
      <c r="FXN10" s="118"/>
      <c r="FXO10" s="118"/>
      <c r="FXP10" s="118"/>
      <c r="FXQ10" s="118"/>
      <c r="FXR10" s="118"/>
      <c r="FXS10" s="118"/>
      <c r="FXT10" s="118"/>
      <c r="FXU10" s="118"/>
      <c r="FXV10" s="118"/>
      <c r="FXW10" s="118"/>
      <c r="FXX10" s="118"/>
      <c r="FXY10" s="118"/>
      <c r="FXZ10" s="118"/>
      <c r="FYA10" s="118"/>
      <c r="FYB10" s="118"/>
      <c r="FYC10" s="118"/>
      <c r="FYD10" s="118"/>
      <c r="FYE10" s="118"/>
      <c r="FYF10" s="118"/>
      <c r="FYG10" s="118"/>
      <c r="FYH10" s="118"/>
      <c r="FYI10" s="118"/>
      <c r="FYJ10" s="118"/>
      <c r="FYK10" s="118"/>
      <c r="FYL10" s="118"/>
      <c r="FYM10" s="118"/>
      <c r="FYN10" s="118"/>
      <c r="FYO10" s="118"/>
      <c r="FYP10" s="118"/>
      <c r="FYQ10" s="118"/>
      <c r="FYR10" s="118"/>
      <c r="FYS10" s="118"/>
      <c r="FYT10" s="118"/>
      <c r="FYU10" s="118"/>
      <c r="FYV10" s="118"/>
      <c r="FYW10" s="118"/>
      <c r="FYX10" s="118"/>
      <c r="FYY10" s="118"/>
      <c r="FYZ10" s="118"/>
      <c r="FZA10" s="118"/>
      <c r="FZB10" s="118"/>
      <c r="FZC10" s="118"/>
      <c r="FZD10" s="118"/>
      <c r="FZE10" s="118"/>
      <c r="FZF10" s="118"/>
      <c r="FZG10" s="118"/>
      <c r="FZH10" s="118"/>
      <c r="FZI10" s="118"/>
      <c r="FZJ10" s="118"/>
      <c r="FZK10" s="118"/>
      <c r="FZL10" s="118"/>
      <c r="FZM10" s="118"/>
      <c r="FZN10" s="118"/>
      <c r="FZO10" s="118"/>
      <c r="FZP10" s="118"/>
      <c r="FZQ10" s="118"/>
      <c r="FZR10" s="118"/>
      <c r="FZS10" s="118"/>
      <c r="FZT10" s="118"/>
      <c r="FZU10" s="118"/>
      <c r="FZV10" s="118"/>
      <c r="FZW10" s="118"/>
      <c r="FZX10" s="118"/>
      <c r="FZY10" s="118"/>
      <c r="FZZ10" s="118"/>
      <c r="GAA10" s="118"/>
      <c r="GAB10" s="118"/>
      <c r="GAC10" s="118"/>
      <c r="GAD10" s="118"/>
      <c r="GAE10" s="118"/>
      <c r="GAF10" s="118"/>
      <c r="GAG10" s="118"/>
      <c r="GAH10" s="118"/>
      <c r="GAI10" s="118"/>
      <c r="GAJ10" s="118"/>
      <c r="GAK10" s="118"/>
      <c r="GAL10" s="118"/>
      <c r="GAM10" s="118"/>
      <c r="GAN10" s="118"/>
      <c r="GAO10" s="118"/>
      <c r="GAP10" s="118"/>
      <c r="GAQ10" s="118"/>
      <c r="GAR10" s="118"/>
      <c r="GAS10" s="118"/>
      <c r="GAT10" s="118"/>
      <c r="GAU10" s="118"/>
      <c r="GAV10" s="118"/>
      <c r="GAW10" s="118"/>
      <c r="GAX10" s="118"/>
      <c r="GAY10" s="118"/>
      <c r="GAZ10" s="118"/>
      <c r="GBA10" s="118"/>
      <c r="GBB10" s="118"/>
      <c r="GBC10" s="118"/>
      <c r="GBD10" s="118"/>
      <c r="GBE10" s="118"/>
      <c r="GBF10" s="118"/>
      <c r="GBG10" s="118"/>
      <c r="GBH10" s="118"/>
      <c r="GBI10" s="118"/>
      <c r="GBJ10" s="118"/>
      <c r="GBK10" s="118"/>
      <c r="GBL10" s="118"/>
      <c r="GBM10" s="118"/>
      <c r="GBN10" s="118"/>
      <c r="GBO10" s="118"/>
      <c r="GBP10" s="118"/>
      <c r="GBQ10" s="118"/>
      <c r="GBR10" s="118"/>
      <c r="GBS10" s="118"/>
      <c r="GBT10" s="118"/>
      <c r="GBU10" s="118"/>
      <c r="GBV10" s="118"/>
      <c r="GBW10" s="118"/>
      <c r="GBX10" s="118"/>
      <c r="GBY10" s="118"/>
      <c r="GBZ10" s="118"/>
      <c r="GCA10" s="118"/>
      <c r="GCB10" s="118"/>
      <c r="GCC10" s="118"/>
      <c r="GCD10" s="118"/>
      <c r="GCE10" s="118"/>
      <c r="GCF10" s="118"/>
      <c r="GCG10" s="118"/>
      <c r="GCH10" s="118"/>
      <c r="GCI10" s="118"/>
      <c r="GCJ10" s="118"/>
      <c r="GCK10" s="118"/>
      <c r="GCL10" s="118"/>
      <c r="GCM10" s="118"/>
      <c r="GCN10" s="118"/>
      <c r="GCO10" s="118"/>
      <c r="GCP10" s="118"/>
      <c r="GCQ10" s="118"/>
      <c r="GCR10" s="118"/>
      <c r="GCS10" s="118"/>
      <c r="GCT10" s="118"/>
      <c r="GCU10" s="118"/>
      <c r="GCV10" s="118"/>
      <c r="GCW10" s="118"/>
      <c r="GCX10" s="118"/>
      <c r="GCY10" s="118"/>
      <c r="GCZ10" s="118"/>
      <c r="GDA10" s="118"/>
      <c r="GDB10" s="118"/>
      <c r="GDC10" s="118"/>
      <c r="GDD10" s="118"/>
      <c r="GDE10" s="118"/>
      <c r="GDF10" s="118"/>
      <c r="GDG10" s="118"/>
      <c r="GDH10" s="118"/>
      <c r="GDI10" s="118"/>
      <c r="GDJ10" s="118"/>
      <c r="GDK10" s="118"/>
      <c r="GDL10" s="118"/>
      <c r="GDM10" s="118"/>
      <c r="GDN10" s="118"/>
      <c r="GDO10" s="118"/>
      <c r="GDP10" s="118"/>
      <c r="GDQ10" s="118"/>
      <c r="GDR10" s="118"/>
      <c r="GDS10" s="118"/>
      <c r="GDT10" s="118"/>
      <c r="GDU10" s="118"/>
      <c r="GDV10" s="118"/>
      <c r="GDW10" s="118"/>
      <c r="GDX10" s="118"/>
      <c r="GDY10" s="118"/>
      <c r="GDZ10" s="118"/>
      <c r="GEA10" s="118"/>
      <c r="GEB10" s="118"/>
      <c r="GEC10" s="118"/>
      <c r="GED10" s="118"/>
      <c r="GEE10" s="118"/>
      <c r="GEF10" s="118"/>
      <c r="GEG10" s="118"/>
      <c r="GEH10" s="118"/>
      <c r="GEI10" s="118"/>
      <c r="GEJ10" s="118"/>
      <c r="GEK10" s="118"/>
      <c r="GEL10" s="118"/>
      <c r="GEM10" s="118"/>
      <c r="GEN10" s="118"/>
      <c r="GEO10" s="118"/>
      <c r="GEP10" s="118"/>
      <c r="GEQ10" s="118"/>
      <c r="GER10" s="118"/>
      <c r="GES10" s="118"/>
      <c r="GET10" s="118"/>
      <c r="GEU10" s="118"/>
      <c r="GEV10" s="118"/>
      <c r="GEW10" s="118"/>
      <c r="GEX10" s="118"/>
      <c r="GEY10" s="118"/>
      <c r="GEZ10" s="118"/>
      <c r="GFA10" s="118"/>
      <c r="GFB10" s="118"/>
      <c r="GFC10" s="118"/>
      <c r="GFD10" s="118"/>
      <c r="GFE10" s="118"/>
      <c r="GFF10" s="118"/>
      <c r="GFG10" s="118"/>
      <c r="GFH10" s="118"/>
      <c r="GFI10" s="118"/>
      <c r="GFJ10" s="118"/>
      <c r="GFK10" s="118"/>
      <c r="GFL10" s="118"/>
      <c r="GFM10" s="118"/>
      <c r="GFN10" s="118"/>
      <c r="GFO10" s="118"/>
      <c r="GFP10" s="118"/>
      <c r="GFQ10" s="118"/>
      <c r="GFR10" s="118"/>
      <c r="GFS10" s="118"/>
      <c r="GFT10" s="118"/>
      <c r="GFU10" s="118"/>
      <c r="GFV10" s="118"/>
      <c r="GFW10" s="118"/>
      <c r="GFX10" s="118"/>
      <c r="GFY10" s="118"/>
      <c r="GFZ10" s="118"/>
      <c r="GGA10" s="118"/>
      <c r="GGB10" s="118"/>
      <c r="GGC10" s="118"/>
      <c r="GGD10" s="118"/>
      <c r="GGE10" s="118"/>
      <c r="GGF10" s="118"/>
      <c r="GGG10" s="118"/>
      <c r="GGH10" s="118"/>
      <c r="GGI10" s="118"/>
      <c r="GGJ10" s="118"/>
      <c r="GGK10" s="118"/>
      <c r="GGL10" s="118"/>
      <c r="GGM10" s="118"/>
      <c r="GGN10" s="118"/>
      <c r="GGO10" s="118"/>
      <c r="GGP10" s="118"/>
      <c r="GGQ10" s="118"/>
      <c r="GGR10" s="118"/>
      <c r="GGS10" s="118"/>
      <c r="GGT10" s="118"/>
      <c r="GGU10" s="118"/>
      <c r="GGV10" s="118"/>
      <c r="GGW10" s="118"/>
      <c r="GGX10" s="118"/>
      <c r="GGY10" s="118"/>
      <c r="GGZ10" s="118"/>
      <c r="GHA10" s="118"/>
      <c r="GHB10" s="118"/>
      <c r="GHC10" s="118"/>
      <c r="GHD10" s="118"/>
      <c r="GHE10" s="118"/>
      <c r="GHF10" s="118"/>
      <c r="GHG10" s="118"/>
      <c r="GHH10" s="118"/>
      <c r="GHI10" s="118"/>
      <c r="GHJ10" s="118"/>
      <c r="GHK10" s="118"/>
      <c r="GHL10" s="118"/>
      <c r="GHM10" s="118"/>
      <c r="GHN10" s="118"/>
      <c r="GHO10" s="118"/>
      <c r="GHP10" s="118"/>
      <c r="GHQ10" s="118"/>
      <c r="GHR10" s="118"/>
      <c r="GHS10" s="118"/>
      <c r="GHT10" s="118"/>
      <c r="GHU10" s="118"/>
      <c r="GHV10" s="118"/>
      <c r="GHW10" s="118"/>
      <c r="GHX10" s="118"/>
      <c r="GHY10" s="118"/>
      <c r="GHZ10" s="118"/>
      <c r="GIA10" s="118"/>
      <c r="GIB10" s="118"/>
      <c r="GIC10" s="118"/>
      <c r="GID10" s="118"/>
      <c r="GIE10" s="118"/>
      <c r="GIF10" s="118"/>
      <c r="GIG10" s="118"/>
      <c r="GIH10" s="118"/>
      <c r="GII10" s="118"/>
      <c r="GIJ10" s="118"/>
      <c r="GIK10" s="118"/>
      <c r="GIL10" s="118"/>
      <c r="GIM10" s="118"/>
      <c r="GIN10" s="118"/>
      <c r="GIO10" s="118"/>
      <c r="GIP10" s="118"/>
      <c r="GIQ10" s="118"/>
      <c r="GIR10" s="118"/>
      <c r="GIS10" s="118"/>
      <c r="GIT10" s="118"/>
      <c r="GIU10" s="118"/>
      <c r="GIV10" s="118"/>
      <c r="GIW10" s="118"/>
      <c r="GIX10" s="118"/>
      <c r="GIY10" s="118"/>
      <c r="GIZ10" s="118"/>
      <c r="GJA10" s="118"/>
      <c r="GJB10" s="118"/>
      <c r="GJC10" s="118"/>
      <c r="GJD10" s="118"/>
      <c r="GJE10" s="118"/>
      <c r="GJF10" s="118"/>
      <c r="GJG10" s="118"/>
      <c r="GJH10" s="118"/>
      <c r="GJI10" s="118"/>
      <c r="GJJ10" s="118"/>
      <c r="GJK10" s="118"/>
      <c r="GJL10" s="118"/>
      <c r="GJM10" s="118"/>
      <c r="GJN10" s="118"/>
      <c r="GJO10" s="118"/>
      <c r="GJP10" s="118"/>
      <c r="GJQ10" s="118"/>
      <c r="GJR10" s="118"/>
      <c r="GJS10" s="118"/>
      <c r="GJT10" s="118"/>
      <c r="GJU10" s="118"/>
      <c r="GJV10" s="118"/>
      <c r="GJW10" s="118"/>
      <c r="GJX10" s="118"/>
      <c r="GJY10" s="118"/>
      <c r="GJZ10" s="118"/>
      <c r="GKA10" s="118"/>
      <c r="GKB10" s="118"/>
      <c r="GKC10" s="118"/>
      <c r="GKD10" s="118"/>
      <c r="GKE10" s="118"/>
      <c r="GKF10" s="118"/>
      <c r="GKG10" s="118"/>
      <c r="GKH10" s="118"/>
      <c r="GKI10" s="118"/>
      <c r="GKJ10" s="118"/>
      <c r="GKK10" s="118"/>
      <c r="GKL10" s="118"/>
      <c r="GKM10" s="118"/>
      <c r="GKN10" s="118"/>
      <c r="GKO10" s="118"/>
      <c r="GKP10" s="118"/>
      <c r="GKQ10" s="118"/>
      <c r="GKR10" s="118"/>
      <c r="GKS10" s="118"/>
      <c r="GKT10" s="118"/>
      <c r="GKU10" s="118"/>
      <c r="GKV10" s="118"/>
      <c r="GKW10" s="118"/>
      <c r="GKX10" s="118"/>
      <c r="GKY10" s="118"/>
      <c r="GKZ10" s="118"/>
      <c r="GLA10" s="118"/>
      <c r="GLB10" s="118"/>
      <c r="GLC10" s="118"/>
      <c r="GLD10" s="118"/>
      <c r="GLE10" s="118"/>
      <c r="GLF10" s="118"/>
      <c r="GLG10" s="118"/>
      <c r="GLH10" s="118"/>
      <c r="GLI10" s="118"/>
      <c r="GLJ10" s="118"/>
      <c r="GLK10" s="118"/>
      <c r="GLL10" s="118"/>
      <c r="GLM10" s="118"/>
      <c r="GLN10" s="118"/>
      <c r="GLO10" s="118"/>
      <c r="GLP10" s="118"/>
      <c r="GLQ10" s="118"/>
      <c r="GLR10" s="118"/>
      <c r="GLS10" s="118"/>
      <c r="GLT10" s="118"/>
      <c r="GLU10" s="118"/>
      <c r="GLV10" s="118"/>
      <c r="GLW10" s="118"/>
      <c r="GLX10" s="118"/>
      <c r="GLY10" s="118"/>
      <c r="GLZ10" s="118"/>
      <c r="GMA10" s="118"/>
      <c r="GMB10" s="118"/>
      <c r="GMC10" s="118"/>
      <c r="GMD10" s="118"/>
      <c r="GME10" s="118"/>
      <c r="GMF10" s="118"/>
      <c r="GMG10" s="118"/>
      <c r="GMH10" s="118"/>
      <c r="GMI10" s="118"/>
      <c r="GMJ10" s="118"/>
      <c r="GMK10" s="118"/>
      <c r="GML10" s="118"/>
      <c r="GMM10" s="118"/>
      <c r="GMN10" s="118"/>
      <c r="GMO10" s="118"/>
      <c r="GMP10" s="118"/>
      <c r="GMQ10" s="118"/>
      <c r="GMR10" s="118"/>
      <c r="GMS10" s="118"/>
      <c r="GMT10" s="118"/>
      <c r="GMU10" s="118"/>
      <c r="GMV10" s="118"/>
      <c r="GMW10" s="118"/>
      <c r="GMX10" s="118"/>
      <c r="GMY10" s="118"/>
      <c r="GMZ10" s="118"/>
      <c r="GNA10" s="118"/>
      <c r="GNB10" s="118"/>
      <c r="GNC10" s="118"/>
      <c r="GND10" s="118"/>
      <c r="GNE10" s="118"/>
      <c r="GNF10" s="118"/>
      <c r="GNG10" s="118"/>
      <c r="GNH10" s="118"/>
      <c r="GNI10" s="118"/>
      <c r="GNJ10" s="118"/>
      <c r="GNK10" s="118"/>
      <c r="GNL10" s="118"/>
      <c r="GNM10" s="118"/>
      <c r="GNN10" s="118"/>
      <c r="GNO10" s="118"/>
      <c r="GNP10" s="118"/>
      <c r="GNQ10" s="118"/>
      <c r="GNR10" s="118"/>
      <c r="GNS10" s="118"/>
      <c r="GNT10" s="118"/>
      <c r="GNU10" s="118"/>
      <c r="GNV10" s="118"/>
      <c r="GNW10" s="118"/>
      <c r="GNX10" s="118"/>
      <c r="GNY10" s="118"/>
      <c r="GNZ10" s="118"/>
      <c r="GOA10" s="118"/>
      <c r="GOB10" s="118"/>
      <c r="GOC10" s="118"/>
      <c r="GOD10" s="118"/>
      <c r="GOE10" s="118"/>
      <c r="GOF10" s="118"/>
      <c r="GOG10" s="118"/>
      <c r="GOH10" s="118"/>
      <c r="GOI10" s="118"/>
      <c r="GOJ10" s="118"/>
      <c r="GOK10" s="118"/>
      <c r="GOL10" s="118"/>
      <c r="GOM10" s="118"/>
      <c r="GON10" s="118"/>
      <c r="GOO10" s="118"/>
      <c r="GOP10" s="118"/>
      <c r="GOQ10" s="118"/>
      <c r="GOR10" s="118"/>
      <c r="GOS10" s="118"/>
      <c r="GOT10" s="118"/>
      <c r="GOU10" s="118"/>
      <c r="GOV10" s="118"/>
      <c r="GOW10" s="118"/>
      <c r="GOX10" s="118"/>
      <c r="GOY10" s="118"/>
      <c r="GOZ10" s="118"/>
      <c r="GPA10" s="118"/>
      <c r="GPB10" s="118"/>
      <c r="GPC10" s="118"/>
      <c r="GPD10" s="118"/>
      <c r="GPE10" s="118"/>
      <c r="GPF10" s="118"/>
      <c r="GPG10" s="118"/>
      <c r="GPH10" s="118"/>
      <c r="GPI10" s="118"/>
      <c r="GPJ10" s="118"/>
      <c r="GPK10" s="118"/>
      <c r="GPL10" s="118"/>
      <c r="GPM10" s="118"/>
      <c r="GPN10" s="118"/>
      <c r="GPO10" s="118"/>
      <c r="GPP10" s="118"/>
      <c r="GPQ10" s="118"/>
      <c r="GPR10" s="118"/>
      <c r="GPS10" s="118"/>
      <c r="GPT10" s="118"/>
      <c r="GPU10" s="118"/>
      <c r="GPV10" s="118"/>
      <c r="GPW10" s="118"/>
      <c r="GPX10" s="118"/>
      <c r="GPY10" s="118"/>
      <c r="GPZ10" s="118"/>
      <c r="GQA10" s="118"/>
      <c r="GQB10" s="118"/>
      <c r="GQC10" s="118"/>
      <c r="GQD10" s="118"/>
      <c r="GQE10" s="118"/>
      <c r="GQF10" s="118"/>
      <c r="GQG10" s="118"/>
      <c r="GQH10" s="118"/>
      <c r="GQI10" s="118"/>
      <c r="GQJ10" s="118"/>
      <c r="GQK10" s="118"/>
      <c r="GQL10" s="118"/>
      <c r="GQM10" s="118"/>
      <c r="GQN10" s="118"/>
      <c r="GQO10" s="118"/>
      <c r="GQP10" s="118"/>
      <c r="GQQ10" s="118"/>
      <c r="GQR10" s="118"/>
      <c r="GQS10" s="118"/>
      <c r="GQT10" s="118"/>
      <c r="GQU10" s="118"/>
      <c r="GQV10" s="118"/>
      <c r="GQW10" s="118"/>
      <c r="GQX10" s="118"/>
      <c r="GQY10" s="118"/>
      <c r="GQZ10" s="118"/>
      <c r="GRA10" s="118"/>
      <c r="GRB10" s="118"/>
      <c r="GRC10" s="118"/>
      <c r="GRD10" s="118"/>
      <c r="GRE10" s="118"/>
      <c r="GRF10" s="118"/>
      <c r="GRG10" s="118"/>
      <c r="GRH10" s="118"/>
      <c r="GRI10" s="118"/>
      <c r="GRJ10" s="118"/>
      <c r="GRK10" s="118"/>
      <c r="GRL10" s="118"/>
      <c r="GRM10" s="118"/>
      <c r="GRN10" s="118"/>
      <c r="GRO10" s="118"/>
      <c r="GRP10" s="118"/>
      <c r="GRQ10" s="118"/>
      <c r="GRR10" s="118"/>
      <c r="GRS10" s="118"/>
      <c r="GRT10" s="118"/>
      <c r="GRU10" s="118"/>
      <c r="GRV10" s="118"/>
      <c r="GRW10" s="118"/>
      <c r="GRX10" s="118"/>
      <c r="GRY10" s="118"/>
      <c r="GRZ10" s="118"/>
      <c r="GSA10" s="118"/>
      <c r="GSB10" s="118"/>
      <c r="GSC10" s="118"/>
      <c r="GSD10" s="118"/>
      <c r="GSE10" s="118"/>
      <c r="GSF10" s="118"/>
      <c r="GSG10" s="118"/>
      <c r="GSH10" s="118"/>
      <c r="GSI10" s="118"/>
      <c r="GSJ10" s="118"/>
      <c r="GSK10" s="118"/>
      <c r="GSL10" s="118"/>
      <c r="GSM10" s="118"/>
      <c r="GSN10" s="118"/>
      <c r="GSO10" s="118"/>
      <c r="GSP10" s="118"/>
      <c r="GSQ10" s="118"/>
      <c r="GSR10" s="118"/>
      <c r="GSS10" s="118"/>
      <c r="GST10" s="118"/>
      <c r="GSU10" s="118"/>
      <c r="GSV10" s="118"/>
      <c r="GSW10" s="118"/>
      <c r="GSX10" s="118"/>
      <c r="GSY10" s="118"/>
      <c r="GSZ10" s="118"/>
      <c r="GTA10" s="118"/>
      <c r="GTB10" s="118"/>
      <c r="GTC10" s="118"/>
      <c r="GTD10" s="118"/>
      <c r="GTE10" s="118"/>
      <c r="GTF10" s="118"/>
      <c r="GTG10" s="118"/>
      <c r="GTH10" s="118"/>
      <c r="GTI10" s="118"/>
      <c r="GTJ10" s="118"/>
      <c r="GTK10" s="118"/>
      <c r="GTL10" s="118"/>
      <c r="GTM10" s="118"/>
      <c r="GTN10" s="118"/>
      <c r="GTO10" s="118"/>
      <c r="GTP10" s="118"/>
      <c r="GTQ10" s="118"/>
      <c r="GTR10" s="118"/>
      <c r="GTS10" s="118"/>
      <c r="GTT10" s="118"/>
      <c r="GTU10" s="118"/>
      <c r="GTV10" s="118"/>
      <c r="GTW10" s="118"/>
      <c r="GTX10" s="118"/>
      <c r="GTY10" s="118"/>
      <c r="GTZ10" s="118"/>
      <c r="GUA10" s="118"/>
      <c r="GUB10" s="118"/>
      <c r="GUC10" s="118"/>
      <c r="GUD10" s="118"/>
      <c r="GUE10" s="118"/>
      <c r="GUF10" s="118"/>
      <c r="GUG10" s="118"/>
      <c r="GUH10" s="118"/>
      <c r="GUI10" s="118"/>
      <c r="GUJ10" s="118"/>
      <c r="GUK10" s="118"/>
      <c r="GUL10" s="118"/>
      <c r="GUM10" s="118"/>
      <c r="GUN10" s="118"/>
      <c r="GUO10" s="118"/>
      <c r="GUP10" s="118"/>
      <c r="GUQ10" s="118"/>
      <c r="GUR10" s="118"/>
      <c r="GUS10" s="118"/>
      <c r="GUT10" s="118"/>
      <c r="GUU10" s="118"/>
      <c r="GUV10" s="118"/>
      <c r="GUW10" s="118"/>
      <c r="GUX10" s="118"/>
      <c r="GUY10" s="118"/>
      <c r="GUZ10" s="118"/>
      <c r="GVA10" s="118"/>
      <c r="GVB10" s="118"/>
      <c r="GVC10" s="118"/>
      <c r="GVD10" s="118"/>
      <c r="GVE10" s="118"/>
      <c r="GVF10" s="118"/>
      <c r="GVG10" s="118"/>
      <c r="GVH10" s="118"/>
      <c r="GVI10" s="118"/>
      <c r="GVJ10" s="118"/>
      <c r="GVK10" s="118"/>
      <c r="GVL10" s="118"/>
      <c r="GVM10" s="118"/>
      <c r="GVN10" s="118"/>
      <c r="GVO10" s="118"/>
      <c r="GVP10" s="118"/>
      <c r="GVQ10" s="118"/>
      <c r="GVR10" s="118"/>
      <c r="GVS10" s="118"/>
      <c r="GVT10" s="118"/>
      <c r="GVU10" s="118"/>
      <c r="GVV10" s="118"/>
      <c r="GVW10" s="118"/>
      <c r="GVX10" s="118"/>
      <c r="GVY10" s="118"/>
      <c r="GVZ10" s="118"/>
      <c r="GWA10" s="118"/>
      <c r="GWB10" s="118"/>
      <c r="GWC10" s="118"/>
      <c r="GWD10" s="118"/>
      <c r="GWE10" s="118"/>
      <c r="GWF10" s="118"/>
      <c r="GWG10" s="118"/>
      <c r="GWH10" s="118"/>
      <c r="GWI10" s="118"/>
      <c r="GWJ10" s="118"/>
      <c r="GWK10" s="118"/>
      <c r="GWL10" s="118"/>
      <c r="GWM10" s="118"/>
      <c r="GWN10" s="118"/>
      <c r="GWO10" s="118"/>
      <c r="GWP10" s="118"/>
      <c r="GWQ10" s="118"/>
      <c r="GWR10" s="118"/>
      <c r="GWS10" s="118"/>
      <c r="GWT10" s="118"/>
      <c r="GWU10" s="118"/>
      <c r="GWV10" s="118"/>
      <c r="GWW10" s="118"/>
      <c r="GWX10" s="118"/>
      <c r="GWY10" s="118"/>
      <c r="GWZ10" s="118"/>
      <c r="GXA10" s="118"/>
      <c r="GXB10" s="118"/>
      <c r="GXC10" s="118"/>
      <c r="GXD10" s="118"/>
      <c r="GXE10" s="118"/>
      <c r="GXF10" s="118"/>
      <c r="GXG10" s="118"/>
      <c r="GXH10" s="118"/>
      <c r="GXI10" s="118"/>
      <c r="GXJ10" s="118"/>
      <c r="GXK10" s="118"/>
      <c r="GXL10" s="118"/>
      <c r="GXM10" s="118"/>
      <c r="GXN10" s="118"/>
      <c r="GXO10" s="118"/>
      <c r="GXP10" s="118"/>
      <c r="GXQ10" s="118"/>
      <c r="GXR10" s="118"/>
      <c r="GXS10" s="118"/>
      <c r="GXT10" s="118"/>
      <c r="GXU10" s="118"/>
      <c r="GXV10" s="118"/>
      <c r="GXW10" s="118"/>
      <c r="GXX10" s="118"/>
      <c r="GXY10" s="118"/>
      <c r="GXZ10" s="118"/>
      <c r="GYA10" s="118"/>
      <c r="GYB10" s="118"/>
      <c r="GYC10" s="118"/>
      <c r="GYD10" s="118"/>
      <c r="GYE10" s="118"/>
      <c r="GYF10" s="118"/>
      <c r="GYG10" s="118"/>
      <c r="GYH10" s="118"/>
      <c r="GYI10" s="118"/>
      <c r="GYJ10" s="118"/>
      <c r="GYK10" s="118"/>
      <c r="GYL10" s="118"/>
      <c r="GYM10" s="118"/>
      <c r="GYN10" s="118"/>
      <c r="GYO10" s="118"/>
      <c r="GYP10" s="118"/>
      <c r="GYQ10" s="118"/>
      <c r="GYR10" s="118"/>
      <c r="GYS10" s="118"/>
      <c r="GYT10" s="118"/>
      <c r="GYU10" s="118"/>
      <c r="GYV10" s="118"/>
      <c r="GYW10" s="118"/>
      <c r="GYX10" s="118"/>
      <c r="GYY10" s="118"/>
      <c r="GYZ10" s="118"/>
      <c r="GZA10" s="118"/>
      <c r="GZB10" s="118"/>
      <c r="GZC10" s="118"/>
      <c r="GZD10" s="118"/>
      <c r="GZE10" s="118"/>
      <c r="GZF10" s="118"/>
      <c r="GZG10" s="118"/>
      <c r="GZH10" s="118"/>
      <c r="GZI10" s="118"/>
      <c r="GZJ10" s="118"/>
      <c r="GZK10" s="118"/>
      <c r="GZL10" s="118"/>
      <c r="GZM10" s="118"/>
      <c r="GZN10" s="118"/>
      <c r="GZO10" s="118"/>
      <c r="GZP10" s="118"/>
      <c r="GZQ10" s="118"/>
      <c r="GZR10" s="118"/>
      <c r="GZS10" s="118"/>
      <c r="GZT10" s="118"/>
      <c r="GZU10" s="118"/>
      <c r="GZV10" s="118"/>
      <c r="GZW10" s="118"/>
      <c r="GZX10" s="118"/>
      <c r="GZY10" s="118"/>
      <c r="GZZ10" s="118"/>
      <c r="HAA10" s="118"/>
      <c r="HAB10" s="118"/>
      <c r="HAC10" s="118"/>
      <c r="HAD10" s="118"/>
      <c r="HAE10" s="118"/>
      <c r="HAF10" s="118"/>
      <c r="HAG10" s="118"/>
      <c r="HAH10" s="118"/>
      <c r="HAI10" s="118"/>
      <c r="HAJ10" s="118"/>
      <c r="HAK10" s="118"/>
      <c r="HAL10" s="118"/>
      <c r="HAM10" s="118"/>
      <c r="HAN10" s="118"/>
      <c r="HAO10" s="118"/>
      <c r="HAP10" s="118"/>
      <c r="HAQ10" s="118"/>
      <c r="HAR10" s="118"/>
      <c r="HAS10" s="118"/>
      <c r="HAT10" s="118"/>
      <c r="HAU10" s="118"/>
      <c r="HAV10" s="118"/>
      <c r="HAW10" s="118"/>
      <c r="HAX10" s="118"/>
      <c r="HAY10" s="118"/>
      <c r="HAZ10" s="118"/>
      <c r="HBA10" s="118"/>
      <c r="HBB10" s="118"/>
      <c r="HBC10" s="118"/>
      <c r="HBD10" s="118"/>
      <c r="HBE10" s="118"/>
      <c r="HBF10" s="118"/>
      <c r="HBG10" s="118"/>
      <c r="HBH10" s="118"/>
      <c r="HBI10" s="118"/>
      <c r="HBJ10" s="118"/>
      <c r="HBK10" s="118"/>
      <c r="HBL10" s="118"/>
      <c r="HBM10" s="118"/>
      <c r="HBN10" s="118"/>
      <c r="HBO10" s="118"/>
      <c r="HBP10" s="118"/>
      <c r="HBQ10" s="118"/>
      <c r="HBR10" s="118"/>
      <c r="HBS10" s="118"/>
      <c r="HBT10" s="118"/>
      <c r="HBU10" s="118"/>
      <c r="HBV10" s="118"/>
      <c r="HBW10" s="118"/>
      <c r="HBX10" s="118"/>
      <c r="HBY10" s="118"/>
      <c r="HBZ10" s="118"/>
      <c r="HCA10" s="118"/>
      <c r="HCB10" s="118"/>
      <c r="HCC10" s="118"/>
      <c r="HCD10" s="118"/>
      <c r="HCE10" s="118"/>
      <c r="HCF10" s="118"/>
      <c r="HCG10" s="118"/>
      <c r="HCH10" s="118"/>
      <c r="HCI10" s="118"/>
      <c r="HCJ10" s="118"/>
      <c r="HCK10" s="118"/>
      <c r="HCL10" s="118"/>
      <c r="HCM10" s="118"/>
      <c r="HCN10" s="118"/>
      <c r="HCO10" s="118"/>
      <c r="HCP10" s="118"/>
      <c r="HCQ10" s="118"/>
      <c r="HCR10" s="118"/>
      <c r="HCS10" s="118"/>
      <c r="HCT10" s="118"/>
      <c r="HCU10" s="118"/>
      <c r="HCV10" s="118"/>
      <c r="HCW10" s="118"/>
      <c r="HCX10" s="118"/>
      <c r="HCY10" s="118"/>
      <c r="HCZ10" s="118"/>
      <c r="HDA10" s="118"/>
      <c r="HDB10" s="118"/>
      <c r="HDC10" s="118"/>
      <c r="HDD10" s="118"/>
      <c r="HDE10" s="118"/>
      <c r="HDF10" s="118"/>
      <c r="HDG10" s="118"/>
      <c r="HDH10" s="118"/>
      <c r="HDI10" s="118"/>
      <c r="HDJ10" s="118"/>
      <c r="HDK10" s="118"/>
      <c r="HDL10" s="118"/>
      <c r="HDM10" s="118"/>
      <c r="HDN10" s="118"/>
      <c r="HDO10" s="118"/>
      <c r="HDP10" s="118"/>
      <c r="HDQ10" s="118"/>
      <c r="HDR10" s="118"/>
      <c r="HDS10" s="118"/>
      <c r="HDT10" s="118"/>
      <c r="HDU10" s="118"/>
      <c r="HDV10" s="118"/>
      <c r="HDW10" s="118"/>
      <c r="HDX10" s="118"/>
      <c r="HDY10" s="118"/>
      <c r="HDZ10" s="118"/>
      <c r="HEA10" s="118"/>
      <c r="HEB10" s="118"/>
      <c r="HEC10" s="118"/>
      <c r="HED10" s="118"/>
      <c r="HEE10" s="118"/>
      <c r="HEF10" s="118"/>
      <c r="HEG10" s="118"/>
      <c r="HEH10" s="118"/>
      <c r="HEI10" s="118"/>
      <c r="HEJ10" s="118"/>
      <c r="HEK10" s="118"/>
      <c r="HEL10" s="118"/>
      <c r="HEM10" s="118"/>
      <c r="HEN10" s="118"/>
      <c r="HEO10" s="118"/>
      <c r="HEP10" s="118"/>
      <c r="HEQ10" s="118"/>
      <c r="HER10" s="118"/>
      <c r="HES10" s="118"/>
      <c r="HET10" s="118"/>
      <c r="HEU10" s="118"/>
      <c r="HEV10" s="118"/>
      <c r="HEW10" s="118"/>
      <c r="HEX10" s="118"/>
      <c r="HEY10" s="118"/>
      <c r="HEZ10" s="118"/>
      <c r="HFA10" s="118"/>
      <c r="HFB10" s="118"/>
      <c r="HFC10" s="118"/>
      <c r="HFD10" s="118"/>
      <c r="HFE10" s="118"/>
      <c r="HFF10" s="118"/>
      <c r="HFG10" s="118"/>
      <c r="HFH10" s="118"/>
      <c r="HFI10" s="118"/>
      <c r="HFJ10" s="118"/>
      <c r="HFK10" s="118"/>
      <c r="HFL10" s="118"/>
      <c r="HFM10" s="118"/>
      <c r="HFN10" s="118"/>
      <c r="HFO10" s="118"/>
      <c r="HFP10" s="118"/>
      <c r="HFQ10" s="118"/>
      <c r="HFR10" s="118"/>
      <c r="HFS10" s="118"/>
      <c r="HFT10" s="118"/>
      <c r="HFU10" s="118"/>
      <c r="HFV10" s="118"/>
      <c r="HFW10" s="118"/>
      <c r="HFX10" s="118"/>
      <c r="HFY10" s="118"/>
      <c r="HFZ10" s="118"/>
      <c r="HGA10" s="118"/>
      <c r="HGB10" s="118"/>
      <c r="HGC10" s="118"/>
      <c r="HGD10" s="118"/>
      <c r="HGE10" s="118"/>
      <c r="HGF10" s="118"/>
      <c r="HGG10" s="118"/>
      <c r="HGH10" s="118"/>
      <c r="HGI10" s="118"/>
      <c r="HGJ10" s="118"/>
      <c r="HGK10" s="118"/>
      <c r="HGL10" s="118"/>
      <c r="HGM10" s="118"/>
      <c r="HGN10" s="118"/>
      <c r="HGO10" s="118"/>
      <c r="HGP10" s="118"/>
      <c r="HGQ10" s="118"/>
      <c r="HGR10" s="118"/>
      <c r="HGS10" s="118"/>
      <c r="HGT10" s="118"/>
      <c r="HGU10" s="118"/>
      <c r="HGV10" s="118"/>
      <c r="HGW10" s="118"/>
      <c r="HGX10" s="118"/>
      <c r="HGY10" s="118"/>
      <c r="HGZ10" s="118"/>
      <c r="HHA10" s="118"/>
      <c r="HHB10" s="118"/>
      <c r="HHC10" s="118"/>
      <c r="HHD10" s="118"/>
      <c r="HHE10" s="118"/>
      <c r="HHF10" s="118"/>
      <c r="HHG10" s="118"/>
      <c r="HHH10" s="118"/>
      <c r="HHI10" s="118"/>
      <c r="HHJ10" s="118"/>
      <c r="HHK10" s="118"/>
      <c r="HHL10" s="118"/>
      <c r="HHM10" s="118"/>
      <c r="HHN10" s="118"/>
      <c r="HHO10" s="118"/>
      <c r="HHP10" s="118"/>
      <c r="HHQ10" s="118"/>
      <c r="HHR10" s="118"/>
      <c r="HHS10" s="118"/>
      <c r="HHT10" s="118"/>
      <c r="HHU10" s="118"/>
      <c r="HHV10" s="118"/>
      <c r="HHW10" s="118"/>
      <c r="HHX10" s="118"/>
      <c r="HHY10" s="118"/>
      <c r="HHZ10" s="118"/>
      <c r="HIA10" s="118"/>
      <c r="HIB10" s="118"/>
      <c r="HIC10" s="118"/>
      <c r="HID10" s="118"/>
      <c r="HIE10" s="118"/>
      <c r="HIF10" s="118"/>
      <c r="HIG10" s="118"/>
      <c r="HIH10" s="118"/>
      <c r="HII10" s="118"/>
      <c r="HIJ10" s="118"/>
      <c r="HIK10" s="118"/>
      <c r="HIL10" s="118"/>
      <c r="HIM10" s="118"/>
      <c r="HIN10" s="118"/>
      <c r="HIO10" s="118"/>
      <c r="HIP10" s="118"/>
      <c r="HIQ10" s="118"/>
      <c r="HIR10" s="118"/>
      <c r="HIS10" s="118"/>
      <c r="HIT10" s="118"/>
      <c r="HIU10" s="118"/>
      <c r="HIV10" s="118"/>
      <c r="HIW10" s="118"/>
      <c r="HIX10" s="118"/>
      <c r="HIY10" s="118"/>
      <c r="HIZ10" s="118"/>
      <c r="HJA10" s="118"/>
      <c r="HJB10" s="118"/>
      <c r="HJC10" s="118"/>
      <c r="HJD10" s="118"/>
      <c r="HJE10" s="118"/>
      <c r="HJF10" s="118"/>
      <c r="HJG10" s="118"/>
      <c r="HJH10" s="118"/>
      <c r="HJI10" s="118"/>
      <c r="HJJ10" s="118"/>
      <c r="HJK10" s="118"/>
      <c r="HJL10" s="118"/>
      <c r="HJM10" s="118"/>
      <c r="HJN10" s="118"/>
      <c r="HJO10" s="118"/>
      <c r="HJP10" s="118"/>
      <c r="HJQ10" s="118"/>
      <c r="HJR10" s="118"/>
      <c r="HJS10" s="118"/>
      <c r="HJT10" s="118"/>
      <c r="HJU10" s="118"/>
      <c r="HJV10" s="118"/>
      <c r="HJW10" s="118"/>
      <c r="HJX10" s="118"/>
      <c r="HJY10" s="118"/>
      <c r="HJZ10" s="118"/>
      <c r="HKA10" s="118"/>
      <c r="HKB10" s="118"/>
      <c r="HKC10" s="118"/>
      <c r="HKD10" s="118"/>
      <c r="HKE10" s="118"/>
      <c r="HKF10" s="118"/>
      <c r="HKG10" s="118"/>
      <c r="HKH10" s="118"/>
      <c r="HKI10" s="118"/>
      <c r="HKJ10" s="118"/>
      <c r="HKK10" s="118"/>
      <c r="HKL10" s="118"/>
      <c r="HKM10" s="118"/>
      <c r="HKN10" s="118"/>
      <c r="HKO10" s="118"/>
      <c r="HKP10" s="118"/>
      <c r="HKQ10" s="118"/>
      <c r="HKR10" s="118"/>
      <c r="HKS10" s="118"/>
      <c r="HKT10" s="118"/>
      <c r="HKU10" s="118"/>
      <c r="HKV10" s="118"/>
      <c r="HKW10" s="118"/>
      <c r="HKX10" s="118"/>
      <c r="HKY10" s="118"/>
      <c r="HKZ10" s="118"/>
      <c r="HLA10" s="118"/>
      <c r="HLB10" s="118"/>
      <c r="HLC10" s="118"/>
      <c r="HLD10" s="118"/>
      <c r="HLE10" s="118"/>
      <c r="HLF10" s="118"/>
      <c r="HLG10" s="118"/>
      <c r="HLH10" s="118"/>
      <c r="HLI10" s="118"/>
      <c r="HLJ10" s="118"/>
      <c r="HLK10" s="118"/>
      <c r="HLL10" s="118"/>
      <c r="HLM10" s="118"/>
      <c r="HLN10" s="118"/>
      <c r="HLO10" s="118"/>
      <c r="HLP10" s="118"/>
      <c r="HLQ10" s="118"/>
      <c r="HLR10" s="118"/>
      <c r="HLS10" s="118"/>
      <c r="HLT10" s="118"/>
      <c r="HLU10" s="118"/>
      <c r="HLV10" s="118"/>
      <c r="HLW10" s="118"/>
      <c r="HLX10" s="118"/>
      <c r="HLY10" s="118"/>
      <c r="HLZ10" s="118"/>
      <c r="HMA10" s="118"/>
      <c r="HMB10" s="118"/>
      <c r="HMC10" s="118"/>
      <c r="HMD10" s="118"/>
      <c r="HME10" s="118"/>
      <c r="HMF10" s="118"/>
      <c r="HMG10" s="118"/>
      <c r="HMH10" s="118"/>
      <c r="HMI10" s="118"/>
      <c r="HMJ10" s="118"/>
      <c r="HMK10" s="118"/>
      <c r="HML10" s="118"/>
      <c r="HMM10" s="118"/>
      <c r="HMN10" s="118"/>
      <c r="HMO10" s="118"/>
      <c r="HMP10" s="118"/>
      <c r="HMQ10" s="118"/>
      <c r="HMR10" s="118"/>
      <c r="HMS10" s="118"/>
      <c r="HMT10" s="118"/>
      <c r="HMU10" s="118"/>
      <c r="HMV10" s="118"/>
      <c r="HMW10" s="118"/>
      <c r="HMX10" s="118"/>
      <c r="HMY10" s="118"/>
      <c r="HMZ10" s="118"/>
      <c r="HNA10" s="118"/>
      <c r="HNB10" s="118"/>
      <c r="HNC10" s="118"/>
      <c r="HND10" s="118"/>
      <c r="HNE10" s="118"/>
      <c r="HNF10" s="118"/>
      <c r="HNG10" s="118"/>
      <c r="HNH10" s="118"/>
      <c r="HNI10" s="118"/>
      <c r="HNJ10" s="118"/>
      <c r="HNK10" s="118"/>
      <c r="HNL10" s="118"/>
      <c r="HNM10" s="118"/>
      <c r="HNN10" s="118"/>
      <c r="HNO10" s="118"/>
      <c r="HNP10" s="118"/>
      <c r="HNQ10" s="118"/>
      <c r="HNR10" s="118"/>
      <c r="HNS10" s="118"/>
      <c r="HNT10" s="118"/>
      <c r="HNU10" s="118"/>
      <c r="HNV10" s="118"/>
      <c r="HNW10" s="118"/>
      <c r="HNX10" s="118"/>
      <c r="HNY10" s="118"/>
      <c r="HNZ10" s="118"/>
      <c r="HOA10" s="118"/>
      <c r="HOB10" s="118"/>
      <c r="HOC10" s="118"/>
      <c r="HOD10" s="118"/>
      <c r="HOE10" s="118"/>
      <c r="HOF10" s="118"/>
      <c r="HOG10" s="118"/>
      <c r="HOH10" s="118"/>
      <c r="HOI10" s="118"/>
      <c r="HOJ10" s="118"/>
      <c r="HOK10" s="118"/>
      <c r="HOL10" s="118"/>
      <c r="HOM10" s="118"/>
      <c r="HON10" s="118"/>
      <c r="HOO10" s="118"/>
      <c r="HOP10" s="118"/>
      <c r="HOQ10" s="118"/>
      <c r="HOR10" s="118"/>
      <c r="HOS10" s="118"/>
      <c r="HOT10" s="118"/>
      <c r="HOU10" s="118"/>
      <c r="HOV10" s="118"/>
      <c r="HOW10" s="118"/>
      <c r="HOX10" s="118"/>
      <c r="HOY10" s="118"/>
      <c r="HOZ10" s="118"/>
      <c r="HPA10" s="118"/>
      <c r="HPB10" s="118"/>
      <c r="HPC10" s="118"/>
      <c r="HPD10" s="118"/>
      <c r="HPE10" s="118"/>
      <c r="HPF10" s="118"/>
      <c r="HPG10" s="118"/>
      <c r="HPH10" s="118"/>
      <c r="HPI10" s="118"/>
      <c r="HPJ10" s="118"/>
      <c r="HPK10" s="118"/>
      <c r="HPL10" s="118"/>
      <c r="HPM10" s="118"/>
      <c r="HPN10" s="118"/>
      <c r="HPO10" s="118"/>
      <c r="HPP10" s="118"/>
      <c r="HPQ10" s="118"/>
      <c r="HPR10" s="118"/>
      <c r="HPS10" s="118"/>
      <c r="HPT10" s="118"/>
      <c r="HPU10" s="118"/>
      <c r="HPV10" s="118"/>
      <c r="HPW10" s="118"/>
      <c r="HPX10" s="118"/>
      <c r="HPY10" s="118"/>
      <c r="HPZ10" s="118"/>
      <c r="HQA10" s="118"/>
      <c r="HQB10" s="118"/>
      <c r="HQC10" s="118"/>
      <c r="HQD10" s="118"/>
      <c r="HQE10" s="118"/>
      <c r="HQF10" s="118"/>
      <c r="HQG10" s="118"/>
      <c r="HQH10" s="118"/>
      <c r="HQI10" s="118"/>
      <c r="HQJ10" s="118"/>
      <c r="HQK10" s="118"/>
      <c r="HQL10" s="118"/>
      <c r="HQM10" s="118"/>
      <c r="HQN10" s="118"/>
      <c r="HQO10" s="118"/>
      <c r="HQP10" s="118"/>
      <c r="HQQ10" s="118"/>
      <c r="HQR10" s="118"/>
      <c r="HQS10" s="118"/>
      <c r="HQT10" s="118"/>
      <c r="HQU10" s="118"/>
      <c r="HQV10" s="118"/>
      <c r="HQW10" s="118"/>
      <c r="HQX10" s="118"/>
      <c r="HQY10" s="118"/>
      <c r="HQZ10" s="118"/>
      <c r="HRA10" s="118"/>
      <c r="HRB10" s="118"/>
      <c r="HRC10" s="118"/>
      <c r="HRD10" s="118"/>
      <c r="HRE10" s="118"/>
      <c r="HRF10" s="118"/>
      <c r="HRG10" s="118"/>
      <c r="HRH10" s="118"/>
      <c r="HRI10" s="118"/>
      <c r="HRJ10" s="118"/>
      <c r="HRK10" s="118"/>
      <c r="HRL10" s="118"/>
      <c r="HRM10" s="118"/>
      <c r="HRN10" s="118"/>
      <c r="HRO10" s="118"/>
      <c r="HRP10" s="118"/>
      <c r="HRQ10" s="118"/>
      <c r="HRR10" s="118"/>
      <c r="HRS10" s="118"/>
      <c r="HRT10" s="118"/>
      <c r="HRU10" s="118"/>
      <c r="HRV10" s="118"/>
      <c r="HRW10" s="118"/>
      <c r="HRX10" s="118"/>
      <c r="HRY10" s="118"/>
      <c r="HRZ10" s="118"/>
      <c r="HSA10" s="118"/>
      <c r="HSB10" s="118"/>
      <c r="HSC10" s="118"/>
      <c r="HSD10" s="118"/>
      <c r="HSE10" s="118"/>
      <c r="HSF10" s="118"/>
      <c r="HSG10" s="118"/>
      <c r="HSH10" s="118"/>
      <c r="HSI10" s="118"/>
      <c r="HSJ10" s="118"/>
      <c r="HSK10" s="118"/>
      <c r="HSL10" s="118"/>
      <c r="HSM10" s="118"/>
      <c r="HSN10" s="118"/>
      <c r="HSO10" s="118"/>
      <c r="HSP10" s="118"/>
      <c r="HSQ10" s="118"/>
      <c r="HSR10" s="118"/>
      <c r="HSS10" s="118"/>
      <c r="HST10" s="118"/>
      <c r="HSU10" s="118"/>
      <c r="HSV10" s="118"/>
      <c r="HSW10" s="118"/>
      <c r="HSX10" s="118"/>
      <c r="HSY10" s="118"/>
      <c r="HSZ10" s="118"/>
      <c r="HTA10" s="118"/>
      <c r="HTB10" s="118"/>
      <c r="HTC10" s="118"/>
      <c r="HTD10" s="118"/>
      <c r="HTE10" s="118"/>
      <c r="HTF10" s="118"/>
      <c r="HTG10" s="118"/>
      <c r="HTH10" s="118"/>
      <c r="HTI10" s="118"/>
      <c r="HTJ10" s="118"/>
      <c r="HTK10" s="118"/>
      <c r="HTL10" s="118"/>
      <c r="HTM10" s="118"/>
      <c r="HTN10" s="118"/>
      <c r="HTO10" s="118"/>
      <c r="HTP10" s="118"/>
      <c r="HTQ10" s="118"/>
      <c r="HTR10" s="118"/>
      <c r="HTS10" s="118"/>
      <c r="HTT10" s="118"/>
      <c r="HTU10" s="118"/>
      <c r="HTV10" s="118"/>
      <c r="HTW10" s="118"/>
      <c r="HTX10" s="118"/>
      <c r="HTY10" s="118"/>
      <c r="HTZ10" s="118"/>
      <c r="HUA10" s="118"/>
      <c r="HUB10" s="118"/>
      <c r="HUC10" s="118"/>
      <c r="HUD10" s="118"/>
      <c r="HUE10" s="118"/>
      <c r="HUF10" s="118"/>
      <c r="HUG10" s="118"/>
      <c r="HUH10" s="118"/>
      <c r="HUI10" s="118"/>
      <c r="HUJ10" s="118"/>
      <c r="HUK10" s="118"/>
      <c r="HUL10" s="118"/>
      <c r="HUM10" s="118"/>
      <c r="HUN10" s="118"/>
      <c r="HUO10" s="118"/>
      <c r="HUP10" s="118"/>
      <c r="HUQ10" s="118"/>
      <c r="HUR10" s="118"/>
      <c r="HUS10" s="118"/>
      <c r="HUT10" s="118"/>
      <c r="HUU10" s="118"/>
      <c r="HUV10" s="118"/>
      <c r="HUW10" s="118"/>
      <c r="HUX10" s="118"/>
      <c r="HUY10" s="118"/>
      <c r="HUZ10" s="118"/>
      <c r="HVA10" s="118"/>
      <c r="HVB10" s="118"/>
      <c r="HVC10" s="118"/>
      <c r="HVD10" s="118"/>
      <c r="HVE10" s="118"/>
      <c r="HVF10" s="118"/>
      <c r="HVG10" s="118"/>
      <c r="HVH10" s="118"/>
      <c r="HVI10" s="118"/>
      <c r="HVJ10" s="118"/>
      <c r="HVK10" s="118"/>
      <c r="HVL10" s="118"/>
      <c r="HVM10" s="118"/>
      <c r="HVN10" s="118"/>
      <c r="HVO10" s="118"/>
      <c r="HVP10" s="118"/>
      <c r="HVQ10" s="118"/>
      <c r="HVR10" s="118"/>
      <c r="HVS10" s="118"/>
      <c r="HVT10" s="118"/>
      <c r="HVU10" s="118"/>
      <c r="HVV10" s="118"/>
      <c r="HVW10" s="118"/>
      <c r="HVX10" s="118"/>
      <c r="HVY10" s="118"/>
      <c r="HVZ10" s="118"/>
      <c r="HWA10" s="118"/>
      <c r="HWB10" s="118"/>
      <c r="HWC10" s="118"/>
      <c r="HWD10" s="118"/>
      <c r="HWE10" s="118"/>
      <c r="HWF10" s="118"/>
      <c r="HWG10" s="118"/>
      <c r="HWH10" s="118"/>
      <c r="HWI10" s="118"/>
      <c r="HWJ10" s="118"/>
      <c r="HWK10" s="118"/>
      <c r="HWL10" s="118"/>
      <c r="HWM10" s="118"/>
      <c r="HWN10" s="118"/>
      <c r="HWO10" s="118"/>
      <c r="HWP10" s="118"/>
      <c r="HWQ10" s="118"/>
      <c r="HWR10" s="118"/>
      <c r="HWS10" s="118"/>
      <c r="HWT10" s="118"/>
      <c r="HWU10" s="118"/>
      <c r="HWV10" s="118"/>
      <c r="HWW10" s="118"/>
      <c r="HWX10" s="118"/>
      <c r="HWY10" s="118"/>
      <c r="HWZ10" s="118"/>
      <c r="HXA10" s="118"/>
      <c r="HXB10" s="118"/>
      <c r="HXC10" s="118"/>
      <c r="HXD10" s="118"/>
      <c r="HXE10" s="118"/>
      <c r="HXF10" s="118"/>
      <c r="HXG10" s="118"/>
      <c r="HXH10" s="118"/>
      <c r="HXI10" s="118"/>
      <c r="HXJ10" s="118"/>
      <c r="HXK10" s="118"/>
      <c r="HXL10" s="118"/>
      <c r="HXM10" s="118"/>
      <c r="HXN10" s="118"/>
      <c r="HXO10" s="118"/>
      <c r="HXP10" s="118"/>
      <c r="HXQ10" s="118"/>
      <c r="HXR10" s="118"/>
      <c r="HXS10" s="118"/>
      <c r="HXT10" s="118"/>
      <c r="HXU10" s="118"/>
      <c r="HXV10" s="118"/>
      <c r="HXW10" s="118"/>
      <c r="HXX10" s="118"/>
      <c r="HXY10" s="118"/>
      <c r="HXZ10" s="118"/>
      <c r="HYA10" s="118"/>
      <c r="HYB10" s="118"/>
      <c r="HYC10" s="118"/>
      <c r="HYD10" s="118"/>
      <c r="HYE10" s="118"/>
      <c r="HYF10" s="118"/>
      <c r="HYG10" s="118"/>
      <c r="HYH10" s="118"/>
      <c r="HYI10" s="118"/>
      <c r="HYJ10" s="118"/>
      <c r="HYK10" s="118"/>
      <c r="HYL10" s="118"/>
      <c r="HYM10" s="118"/>
      <c r="HYN10" s="118"/>
      <c r="HYO10" s="118"/>
      <c r="HYP10" s="118"/>
      <c r="HYQ10" s="118"/>
      <c r="HYR10" s="118"/>
      <c r="HYS10" s="118"/>
      <c r="HYT10" s="118"/>
      <c r="HYU10" s="118"/>
      <c r="HYV10" s="118"/>
      <c r="HYW10" s="118"/>
      <c r="HYX10" s="118"/>
      <c r="HYY10" s="118"/>
      <c r="HYZ10" s="118"/>
      <c r="HZA10" s="118"/>
      <c r="HZB10" s="118"/>
      <c r="HZC10" s="118"/>
      <c r="HZD10" s="118"/>
      <c r="HZE10" s="118"/>
      <c r="HZF10" s="118"/>
      <c r="HZG10" s="118"/>
      <c r="HZH10" s="118"/>
      <c r="HZI10" s="118"/>
      <c r="HZJ10" s="118"/>
      <c r="HZK10" s="118"/>
      <c r="HZL10" s="118"/>
      <c r="HZM10" s="118"/>
      <c r="HZN10" s="118"/>
      <c r="HZO10" s="118"/>
      <c r="HZP10" s="118"/>
      <c r="HZQ10" s="118"/>
      <c r="HZR10" s="118"/>
      <c r="HZS10" s="118"/>
      <c r="HZT10" s="118"/>
      <c r="HZU10" s="118"/>
      <c r="HZV10" s="118"/>
      <c r="HZW10" s="118"/>
      <c r="HZX10" s="118"/>
      <c r="HZY10" s="118"/>
      <c r="HZZ10" s="118"/>
      <c r="IAA10" s="118"/>
      <c r="IAB10" s="118"/>
      <c r="IAC10" s="118"/>
      <c r="IAD10" s="118"/>
      <c r="IAE10" s="118"/>
      <c r="IAF10" s="118"/>
      <c r="IAG10" s="118"/>
      <c r="IAH10" s="118"/>
      <c r="IAI10" s="118"/>
      <c r="IAJ10" s="118"/>
      <c r="IAK10" s="118"/>
      <c r="IAL10" s="118"/>
      <c r="IAM10" s="118"/>
      <c r="IAN10" s="118"/>
      <c r="IAO10" s="118"/>
      <c r="IAP10" s="118"/>
      <c r="IAQ10" s="118"/>
      <c r="IAR10" s="118"/>
      <c r="IAS10" s="118"/>
      <c r="IAT10" s="118"/>
      <c r="IAU10" s="118"/>
      <c r="IAV10" s="118"/>
      <c r="IAW10" s="118"/>
      <c r="IAX10" s="118"/>
      <c r="IAY10" s="118"/>
      <c r="IAZ10" s="118"/>
      <c r="IBA10" s="118"/>
      <c r="IBB10" s="118"/>
      <c r="IBC10" s="118"/>
      <c r="IBD10" s="118"/>
      <c r="IBE10" s="118"/>
      <c r="IBF10" s="118"/>
      <c r="IBG10" s="118"/>
      <c r="IBH10" s="118"/>
      <c r="IBI10" s="118"/>
      <c r="IBJ10" s="118"/>
      <c r="IBK10" s="118"/>
      <c r="IBL10" s="118"/>
      <c r="IBM10" s="118"/>
      <c r="IBN10" s="118"/>
      <c r="IBO10" s="118"/>
      <c r="IBP10" s="118"/>
      <c r="IBQ10" s="118"/>
      <c r="IBR10" s="118"/>
      <c r="IBS10" s="118"/>
      <c r="IBT10" s="118"/>
      <c r="IBU10" s="118"/>
      <c r="IBV10" s="118"/>
      <c r="IBW10" s="118"/>
      <c r="IBX10" s="118"/>
      <c r="IBY10" s="118"/>
      <c r="IBZ10" s="118"/>
      <c r="ICA10" s="118"/>
      <c r="ICB10" s="118"/>
      <c r="ICC10" s="118"/>
      <c r="ICD10" s="118"/>
      <c r="ICE10" s="118"/>
      <c r="ICF10" s="118"/>
      <c r="ICG10" s="118"/>
      <c r="ICH10" s="118"/>
      <c r="ICI10" s="118"/>
      <c r="ICJ10" s="118"/>
      <c r="ICK10" s="118"/>
      <c r="ICL10" s="118"/>
      <c r="ICM10" s="118"/>
      <c r="ICN10" s="118"/>
      <c r="ICO10" s="118"/>
      <c r="ICP10" s="118"/>
      <c r="ICQ10" s="118"/>
      <c r="ICR10" s="118"/>
      <c r="ICS10" s="118"/>
      <c r="ICT10" s="118"/>
      <c r="ICU10" s="118"/>
      <c r="ICV10" s="118"/>
      <c r="ICW10" s="118"/>
      <c r="ICX10" s="118"/>
      <c r="ICY10" s="118"/>
      <c r="ICZ10" s="118"/>
      <c r="IDA10" s="118"/>
      <c r="IDB10" s="118"/>
      <c r="IDC10" s="118"/>
      <c r="IDD10" s="118"/>
      <c r="IDE10" s="118"/>
      <c r="IDF10" s="118"/>
      <c r="IDG10" s="118"/>
      <c r="IDH10" s="118"/>
      <c r="IDI10" s="118"/>
      <c r="IDJ10" s="118"/>
      <c r="IDK10" s="118"/>
      <c r="IDL10" s="118"/>
      <c r="IDM10" s="118"/>
      <c r="IDN10" s="118"/>
      <c r="IDO10" s="118"/>
      <c r="IDP10" s="118"/>
      <c r="IDQ10" s="118"/>
      <c r="IDR10" s="118"/>
      <c r="IDS10" s="118"/>
      <c r="IDT10" s="118"/>
      <c r="IDU10" s="118"/>
      <c r="IDV10" s="118"/>
      <c r="IDW10" s="118"/>
      <c r="IDX10" s="118"/>
      <c r="IDY10" s="118"/>
      <c r="IDZ10" s="118"/>
      <c r="IEA10" s="118"/>
      <c r="IEB10" s="118"/>
      <c r="IEC10" s="118"/>
      <c r="IED10" s="118"/>
      <c r="IEE10" s="118"/>
      <c r="IEF10" s="118"/>
      <c r="IEG10" s="118"/>
      <c r="IEH10" s="118"/>
      <c r="IEI10" s="118"/>
      <c r="IEJ10" s="118"/>
      <c r="IEK10" s="118"/>
      <c r="IEL10" s="118"/>
      <c r="IEM10" s="118"/>
      <c r="IEN10" s="118"/>
      <c r="IEO10" s="118"/>
      <c r="IEP10" s="118"/>
      <c r="IEQ10" s="118"/>
      <c r="IER10" s="118"/>
      <c r="IES10" s="118"/>
      <c r="IET10" s="118"/>
      <c r="IEU10" s="118"/>
      <c r="IEV10" s="118"/>
      <c r="IEW10" s="118"/>
      <c r="IEX10" s="118"/>
      <c r="IEY10" s="118"/>
      <c r="IEZ10" s="118"/>
      <c r="IFA10" s="118"/>
      <c r="IFB10" s="118"/>
      <c r="IFC10" s="118"/>
      <c r="IFD10" s="118"/>
      <c r="IFE10" s="118"/>
      <c r="IFF10" s="118"/>
      <c r="IFG10" s="118"/>
      <c r="IFH10" s="118"/>
      <c r="IFI10" s="118"/>
      <c r="IFJ10" s="118"/>
      <c r="IFK10" s="118"/>
      <c r="IFL10" s="118"/>
      <c r="IFM10" s="118"/>
      <c r="IFN10" s="118"/>
      <c r="IFO10" s="118"/>
      <c r="IFP10" s="118"/>
      <c r="IFQ10" s="118"/>
      <c r="IFR10" s="118"/>
      <c r="IFS10" s="118"/>
      <c r="IFT10" s="118"/>
      <c r="IFU10" s="118"/>
      <c r="IFV10" s="118"/>
      <c r="IFW10" s="118"/>
      <c r="IFX10" s="118"/>
      <c r="IFY10" s="118"/>
      <c r="IFZ10" s="118"/>
      <c r="IGA10" s="118"/>
      <c r="IGB10" s="118"/>
      <c r="IGC10" s="118"/>
      <c r="IGD10" s="118"/>
      <c r="IGE10" s="118"/>
      <c r="IGF10" s="118"/>
      <c r="IGG10" s="118"/>
      <c r="IGH10" s="118"/>
      <c r="IGI10" s="118"/>
      <c r="IGJ10" s="118"/>
      <c r="IGK10" s="118"/>
      <c r="IGL10" s="118"/>
      <c r="IGM10" s="118"/>
      <c r="IGN10" s="118"/>
      <c r="IGO10" s="118"/>
      <c r="IGP10" s="118"/>
      <c r="IGQ10" s="118"/>
      <c r="IGR10" s="118"/>
      <c r="IGS10" s="118"/>
      <c r="IGT10" s="118"/>
      <c r="IGU10" s="118"/>
      <c r="IGV10" s="118"/>
      <c r="IGW10" s="118"/>
      <c r="IGX10" s="118"/>
      <c r="IGY10" s="118"/>
      <c r="IGZ10" s="118"/>
      <c r="IHA10" s="118"/>
      <c r="IHB10" s="118"/>
      <c r="IHC10" s="118"/>
      <c r="IHD10" s="118"/>
      <c r="IHE10" s="118"/>
      <c r="IHF10" s="118"/>
      <c r="IHG10" s="118"/>
      <c r="IHH10" s="118"/>
      <c r="IHI10" s="118"/>
      <c r="IHJ10" s="118"/>
      <c r="IHK10" s="118"/>
      <c r="IHL10" s="118"/>
      <c r="IHM10" s="118"/>
      <c r="IHN10" s="118"/>
      <c r="IHO10" s="118"/>
      <c r="IHP10" s="118"/>
      <c r="IHQ10" s="118"/>
      <c r="IHR10" s="118"/>
      <c r="IHS10" s="118"/>
      <c r="IHT10" s="118"/>
      <c r="IHU10" s="118"/>
      <c r="IHV10" s="118"/>
      <c r="IHW10" s="118"/>
      <c r="IHX10" s="118"/>
      <c r="IHY10" s="118"/>
      <c r="IHZ10" s="118"/>
      <c r="IIA10" s="118"/>
      <c r="IIB10" s="118"/>
      <c r="IIC10" s="118"/>
      <c r="IID10" s="118"/>
      <c r="IIE10" s="118"/>
      <c r="IIF10" s="118"/>
      <c r="IIG10" s="118"/>
      <c r="IIH10" s="118"/>
      <c r="III10" s="118"/>
      <c r="IIJ10" s="118"/>
      <c r="IIK10" s="118"/>
      <c r="IIL10" s="118"/>
      <c r="IIM10" s="118"/>
      <c r="IIN10" s="118"/>
      <c r="IIO10" s="118"/>
      <c r="IIP10" s="118"/>
      <c r="IIQ10" s="118"/>
      <c r="IIR10" s="118"/>
      <c r="IIS10" s="118"/>
      <c r="IIT10" s="118"/>
      <c r="IIU10" s="118"/>
      <c r="IIV10" s="118"/>
      <c r="IIW10" s="118"/>
      <c r="IIX10" s="118"/>
      <c r="IIY10" s="118"/>
      <c r="IIZ10" s="118"/>
      <c r="IJA10" s="118"/>
      <c r="IJB10" s="118"/>
      <c r="IJC10" s="118"/>
      <c r="IJD10" s="118"/>
      <c r="IJE10" s="118"/>
      <c r="IJF10" s="118"/>
      <c r="IJG10" s="118"/>
      <c r="IJH10" s="118"/>
      <c r="IJI10" s="118"/>
      <c r="IJJ10" s="118"/>
      <c r="IJK10" s="118"/>
      <c r="IJL10" s="118"/>
      <c r="IJM10" s="118"/>
      <c r="IJN10" s="118"/>
      <c r="IJO10" s="118"/>
      <c r="IJP10" s="118"/>
      <c r="IJQ10" s="118"/>
      <c r="IJR10" s="118"/>
      <c r="IJS10" s="118"/>
      <c r="IJT10" s="118"/>
      <c r="IJU10" s="118"/>
      <c r="IJV10" s="118"/>
      <c r="IJW10" s="118"/>
      <c r="IJX10" s="118"/>
      <c r="IJY10" s="118"/>
      <c r="IJZ10" s="118"/>
      <c r="IKA10" s="118"/>
      <c r="IKB10" s="118"/>
      <c r="IKC10" s="118"/>
      <c r="IKD10" s="118"/>
      <c r="IKE10" s="118"/>
      <c r="IKF10" s="118"/>
      <c r="IKG10" s="118"/>
      <c r="IKH10" s="118"/>
      <c r="IKI10" s="118"/>
      <c r="IKJ10" s="118"/>
      <c r="IKK10" s="118"/>
      <c r="IKL10" s="118"/>
      <c r="IKM10" s="118"/>
      <c r="IKN10" s="118"/>
      <c r="IKO10" s="118"/>
      <c r="IKP10" s="118"/>
      <c r="IKQ10" s="118"/>
      <c r="IKR10" s="118"/>
      <c r="IKS10" s="118"/>
      <c r="IKT10" s="118"/>
      <c r="IKU10" s="118"/>
      <c r="IKV10" s="118"/>
      <c r="IKW10" s="118"/>
      <c r="IKX10" s="118"/>
      <c r="IKY10" s="118"/>
      <c r="IKZ10" s="118"/>
      <c r="ILA10" s="118"/>
      <c r="ILB10" s="118"/>
      <c r="ILC10" s="118"/>
      <c r="ILD10" s="118"/>
      <c r="ILE10" s="118"/>
      <c r="ILF10" s="118"/>
      <c r="ILG10" s="118"/>
      <c r="ILH10" s="118"/>
      <c r="ILI10" s="118"/>
      <c r="ILJ10" s="118"/>
      <c r="ILK10" s="118"/>
      <c r="ILL10" s="118"/>
      <c r="ILM10" s="118"/>
      <c r="ILN10" s="118"/>
      <c r="ILO10" s="118"/>
      <c r="ILP10" s="118"/>
      <c r="ILQ10" s="118"/>
      <c r="ILR10" s="118"/>
      <c r="ILS10" s="118"/>
      <c r="ILT10" s="118"/>
      <c r="ILU10" s="118"/>
      <c r="ILV10" s="118"/>
      <c r="ILW10" s="118"/>
      <c r="ILX10" s="118"/>
      <c r="ILY10" s="118"/>
      <c r="ILZ10" s="118"/>
      <c r="IMA10" s="118"/>
      <c r="IMB10" s="118"/>
      <c r="IMC10" s="118"/>
      <c r="IMD10" s="118"/>
      <c r="IME10" s="118"/>
      <c r="IMF10" s="118"/>
      <c r="IMG10" s="118"/>
      <c r="IMH10" s="118"/>
      <c r="IMI10" s="118"/>
      <c r="IMJ10" s="118"/>
      <c r="IMK10" s="118"/>
      <c r="IML10" s="118"/>
      <c r="IMM10" s="118"/>
      <c r="IMN10" s="118"/>
      <c r="IMO10" s="118"/>
      <c r="IMP10" s="118"/>
      <c r="IMQ10" s="118"/>
      <c r="IMR10" s="118"/>
      <c r="IMS10" s="118"/>
      <c r="IMT10" s="118"/>
      <c r="IMU10" s="118"/>
      <c r="IMV10" s="118"/>
      <c r="IMW10" s="118"/>
      <c r="IMX10" s="118"/>
      <c r="IMY10" s="118"/>
      <c r="IMZ10" s="118"/>
      <c r="INA10" s="118"/>
      <c r="INB10" s="118"/>
      <c r="INC10" s="118"/>
      <c r="IND10" s="118"/>
      <c r="INE10" s="118"/>
      <c r="INF10" s="118"/>
      <c r="ING10" s="118"/>
      <c r="INH10" s="118"/>
      <c r="INI10" s="118"/>
      <c r="INJ10" s="118"/>
      <c r="INK10" s="118"/>
      <c r="INL10" s="118"/>
      <c r="INM10" s="118"/>
      <c r="INN10" s="118"/>
      <c r="INO10" s="118"/>
      <c r="INP10" s="118"/>
      <c r="INQ10" s="118"/>
      <c r="INR10" s="118"/>
      <c r="INS10" s="118"/>
      <c r="INT10" s="118"/>
      <c r="INU10" s="118"/>
      <c r="INV10" s="118"/>
      <c r="INW10" s="118"/>
      <c r="INX10" s="118"/>
      <c r="INY10" s="118"/>
      <c r="INZ10" s="118"/>
      <c r="IOA10" s="118"/>
      <c r="IOB10" s="118"/>
      <c r="IOC10" s="118"/>
      <c r="IOD10" s="118"/>
      <c r="IOE10" s="118"/>
      <c r="IOF10" s="118"/>
      <c r="IOG10" s="118"/>
      <c r="IOH10" s="118"/>
      <c r="IOI10" s="118"/>
      <c r="IOJ10" s="118"/>
      <c r="IOK10" s="118"/>
      <c r="IOL10" s="118"/>
      <c r="IOM10" s="118"/>
      <c r="ION10" s="118"/>
      <c r="IOO10" s="118"/>
      <c r="IOP10" s="118"/>
      <c r="IOQ10" s="118"/>
      <c r="IOR10" s="118"/>
      <c r="IOS10" s="118"/>
      <c r="IOT10" s="118"/>
      <c r="IOU10" s="118"/>
      <c r="IOV10" s="118"/>
      <c r="IOW10" s="118"/>
      <c r="IOX10" s="118"/>
      <c r="IOY10" s="118"/>
      <c r="IOZ10" s="118"/>
      <c r="IPA10" s="118"/>
      <c r="IPB10" s="118"/>
      <c r="IPC10" s="118"/>
      <c r="IPD10" s="118"/>
      <c r="IPE10" s="118"/>
      <c r="IPF10" s="118"/>
      <c r="IPG10" s="118"/>
      <c r="IPH10" s="118"/>
      <c r="IPI10" s="118"/>
      <c r="IPJ10" s="118"/>
      <c r="IPK10" s="118"/>
      <c r="IPL10" s="118"/>
      <c r="IPM10" s="118"/>
      <c r="IPN10" s="118"/>
      <c r="IPO10" s="118"/>
      <c r="IPP10" s="118"/>
      <c r="IPQ10" s="118"/>
      <c r="IPR10" s="118"/>
      <c r="IPS10" s="118"/>
      <c r="IPT10" s="118"/>
      <c r="IPU10" s="118"/>
      <c r="IPV10" s="118"/>
      <c r="IPW10" s="118"/>
      <c r="IPX10" s="118"/>
      <c r="IPY10" s="118"/>
      <c r="IPZ10" s="118"/>
      <c r="IQA10" s="118"/>
      <c r="IQB10" s="118"/>
      <c r="IQC10" s="118"/>
      <c r="IQD10" s="118"/>
      <c r="IQE10" s="118"/>
      <c r="IQF10" s="118"/>
      <c r="IQG10" s="118"/>
      <c r="IQH10" s="118"/>
      <c r="IQI10" s="118"/>
      <c r="IQJ10" s="118"/>
      <c r="IQK10" s="118"/>
      <c r="IQL10" s="118"/>
      <c r="IQM10" s="118"/>
      <c r="IQN10" s="118"/>
      <c r="IQO10" s="118"/>
      <c r="IQP10" s="118"/>
      <c r="IQQ10" s="118"/>
      <c r="IQR10" s="118"/>
      <c r="IQS10" s="118"/>
      <c r="IQT10" s="118"/>
      <c r="IQU10" s="118"/>
      <c r="IQV10" s="118"/>
      <c r="IQW10" s="118"/>
      <c r="IQX10" s="118"/>
      <c r="IQY10" s="118"/>
      <c r="IQZ10" s="118"/>
      <c r="IRA10" s="118"/>
      <c r="IRB10" s="118"/>
      <c r="IRC10" s="118"/>
      <c r="IRD10" s="118"/>
      <c r="IRE10" s="118"/>
      <c r="IRF10" s="118"/>
      <c r="IRG10" s="118"/>
      <c r="IRH10" s="118"/>
      <c r="IRI10" s="118"/>
      <c r="IRJ10" s="118"/>
      <c r="IRK10" s="118"/>
      <c r="IRL10" s="118"/>
      <c r="IRM10" s="118"/>
      <c r="IRN10" s="118"/>
      <c r="IRO10" s="118"/>
      <c r="IRP10" s="118"/>
      <c r="IRQ10" s="118"/>
      <c r="IRR10" s="118"/>
      <c r="IRS10" s="118"/>
      <c r="IRT10" s="118"/>
      <c r="IRU10" s="118"/>
      <c r="IRV10" s="118"/>
      <c r="IRW10" s="118"/>
      <c r="IRX10" s="118"/>
      <c r="IRY10" s="118"/>
      <c r="IRZ10" s="118"/>
      <c r="ISA10" s="118"/>
      <c r="ISB10" s="118"/>
      <c r="ISC10" s="118"/>
      <c r="ISD10" s="118"/>
      <c r="ISE10" s="118"/>
      <c r="ISF10" s="118"/>
      <c r="ISG10" s="118"/>
      <c r="ISH10" s="118"/>
      <c r="ISI10" s="118"/>
      <c r="ISJ10" s="118"/>
      <c r="ISK10" s="118"/>
      <c r="ISL10" s="118"/>
      <c r="ISM10" s="118"/>
      <c r="ISN10" s="118"/>
      <c r="ISO10" s="118"/>
      <c r="ISP10" s="118"/>
      <c r="ISQ10" s="118"/>
      <c r="ISR10" s="118"/>
      <c r="ISS10" s="118"/>
      <c r="IST10" s="118"/>
      <c r="ISU10" s="118"/>
      <c r="ISV10" s="118"/>
      <c r="ISW10" s="118"/>
      <c r="ISX10" s="118"/>
      <c r="ISY10" s="118"/>
      <c r="ISZ10" s="118"/>
      <c r="ITA10" s="118"/>
      <c r="ITB10" s="118"/>
      <c r="ITC10" s="118"/>
      <c r="ITD10" s="118"/>
      <c r="ITE10" s="118"/>
      <c r="ITF10" s="118"/>
      <c r="ITG10" s="118"/>
      <c r="ITH10" s="118"/>
      <c r="ITI10" s="118"/>
      <c r="ITJ10" s="118"/>
      <c r="ITK10" s="118"/>
      <c r="ITL10" s="118"/>
      <c r="ITM10" s="118"/>
      <c r="ITN10" s="118"/>
      <c r="ITO10" s="118"/>
      <c r="ITP10" s="118"/>
      <c r="ITQ10" s="118"/>
      <c r="ITR10" s="118"/>
      <c r="ITS10" s="118"/>
      <c r="ITT10" s="118"/>
      <c r="ITU10" s="118"/>
      <c r="ITV10" s="118"/>
      <c r="ITW10" s="118"/>
      <c r="ITX10" s="118"/>
      <c r="ITY10" s="118"/>
      <c r="ITZ10" s="118"/>
      <c r="IUA10" s="118"/>
      <c r="IUB10" s="118"/>
      <c r="IUC10" s="118"/>
      <c r="IUD10" s="118"/>
      <c r="IUE10" s="118"/>
      <c r="IUF10" s="118"/>
      <c r="IUG10" s="118"/>
      <c r="IUH10" s="118"/>
      <c r="IUI10" s="118"/>
      <c r="IUJ10" s="118"/>
      <c r="IUK10" s="118"/>
      <c r="IUL10" s="118"/>
      <c r="IUM10" s="118"/>
      <c r="IUN10" s="118"/>
      <c r="IUO10" s="118"/>
      <c r="IUP10" s="118"/>
      <c r="IUQ10" s="118"/>
      <c r="IUR10" s="118"/>
      <c r="IUS10" s="118"/>
      <c r="IUT10" s="118"/>
      <c r="IUU10" s="118"/>
      <c r="IUV10" s="118"/>
      <c r="IUW10" s="118"/>
      <c r="IUX10" s="118"/>
      <c r="IUY10" s="118"/>
      <c r="IUZ10" s="118"/>
      <c r="IVA10" s="118"/>
      <c r="IVB10" s="118"/>
      <c r="IVC10" s="118"/>
      <c r="IVD10" s="118"/>
      <c r="IVE10" s="118"/>
      <c r="IVF10" s="118"/>
      <c r="IVG10" s="118"/>
      <c r="IVH10" s="118"/>
      <c r="IVI10" s="118"/>
      <c r="IVJ10" s="118"/>
      <c r="IVK10" s="118"/>
      <c r="IVL10" s="118"/>
      <c r="IVM10" s="118"/>
      <c r="IVN10" s="118"/>
      <c r="IVO10" s="118"/>
      <c r="IVP10" s="118"/>
      <c r="IVQ10" s="118"/>
      <c r="IVR10" s="118"/>
      <c r="IVS10" s="118"/>
      <c r="IVT10" s="118"/>
      <c r="IVU10" s="118"/>
      <c r="IVV10" s="118"/>
      <c r="IVW10" s="118"/>
      <c r="IVX10" s="118"/>
      <c r="IVY10" s="118"/>
      <c r="IVZ10" s="118"/>
      <c r="IWA10" s="118"/>
      <c r="IWB10" s="118"/>
      <c r="IWC10" s="118"/>
      <c r="IWD10" s="118"/>
      <c r="IWE10" s="118"/>
      <c r="IWF10" s="118"/>
      <c r="IWG10" s="118"/>
      <c r="IWH10" s="118"/>
      <c r="IWI10" s="118"/>
      <c r="IWJ10" s="118"/>
      <c r="IWK10" s="118"/>
      <c r="IWL10" s="118"/>
      <c r="IWM10" s="118"/>
      <c r="IWN10" s="118"/>
      <c r="IWO10" s="118"/>
      <c r="IWP10" s="118"/>
      <c r="IWQ10" s="118"/>
      <c r="IWR10" s="118"/>
      <c r="IWS10" s="118"/>
      <c r="IWT10" s="118"/>
      <c r="IWU10" s="118"/>
      <c r="IWV10" s="118"/>
      <c r="IWW10" s="118"/>
      <c r="IWX10" s="118"/>
      <c r="IWY10" s="118"/>
      <c r="IWZ10" s="118"/>
      <c r="IXA10" s="118"/>
      <c r="IXB10" s="118"/>
      <c r="IXC10" s="118"/>
      <c r="IXD10" s="118"/>
      <c r="IXE10" s="118"/>
      <c r="IXF10" s="118"/>
      <c r="IXG10" s="118"/>
      <c r="IXH10" s="118"/>
      <c r="IXI10" s="118"/>
      <c r="IXJ10" s="118"/>
      <c r="IXK10" s="118"/>
      <c r="IXL10" s="118"/>
      <c r="IXM10" s="118"/>
      <c r="IXN10" s="118"/>
      <c r="IXO10" s="118"/>
      <c r="IXP10" s="118"/>
      <c r="IXQ10" s="118"/>
      <c r="IXR10" s="118"/>
      <c r="IXS10" s="118"/>
      <c r="IXT10" s="118"/>
      <c r="IXU10" s="118"/>
      <c r="IXV10" s="118"/>
      <c r="IXW10" s="118"/>
      <c r="IXX10" s="118"/>
      <c r="IXY10" s="118"/>
      <c r="IXZ10" s="118"/>
      <c r="IYA10" s="118"/>
      <c r="IYB10" s="118"/>
      <c r="IYC10" s="118"/>
      <c r="IYD10" s="118"/>
      <c r="IYE10" s="118"/>
      <c r="IYF10" s="118"/>
      <c r="IYG10" s="118"/>
      <c r="IYH10" s="118"/>
      <c r="IYI10" s="118"/>
      <c r="IYJ10" s="118"/>
      <c r="IYK10" s="118"/>
      <c r="IYL10" s="118"/>
      <c r="IYM10" s="118"/>
      <c r="IYN10" s="118"/>
      <c r="IYO10" s="118"/>
      <c r="IYP10" s="118"/>
      <c r="IYQ10" s="118"/>
      <c r="IYR10" s="118"/>
      <c r="IYS10" s="118"/>
      <c r="IYT10" s="118"/>
      <c r="IYU10" s="118"/>
      <c r="IYV10" s="118"/>
      <c r="IYW10" s="118"/>
      <c r="IYX10" s="118"/>
      <c r="IYY10" s="118"/>
      <c r="IYZ10" s="118"/>
      <c r="IZA10" s="118"/>
      <c r="IZB10" s="118"/>
      <c r="IZC10" s="118"/>
      <c r="IZD10" s="118"/>
      <c r="IZE10" s="118"/>
      <c r="IZF10" s="118"/>
      <c r="IZG10" s="118"/>
      <c r="IZH10" s="118"/>
      <c r="IZI10" s="118"/>
      <c r="IZJ10" s="118"/>
      <c r="IZK10" s="118"/>
      <c r="IZL10" s="118"/>
      <c r="IZM10" s="118"/>
      <c r="IZN10" s="118"/>
      <c r="IZO10" s="118"/>
      <c r="IZP10" s="118"/>
      <c r="IZQ10" s="118"/>
      <c r="IZR10" s="118"/>
      <c r="IZS10" s="118"/>
      <c r="IZT10" s="118"/>
      <c r="IZU10" s="118"/>
      <c r="IZV10" s="118"/>
      <c r="IZW10" s="118"/>
      <c r="IZX10" s="118"/>
      <c r="IZY10" s="118"/>
      <c r="IZZ10" s="118"/>
      <c r="JAA10" s="118"/>
      <c r="JAB10" s="118"/>
      <c r="JAC10" s="118"/>
      <c r="JAD10" s="118"/>
      <c r="JAE10" s="118"/>
      <c r="JAF10" s="118"/>
      <c r="JAG10" s="118"/>
      <c r="JAH10" s="118"/>
      <c r="JAI10" s="118"/>
      <c r="JAJ10" s="118"/>
      <c r="JAK10" s="118"/>
      <c r="JAL10" s="118"/>
      <c r="JAM10" s="118"/>
      <c r="JAN10" s="118"/>
      <c r="JAO10" s="118"/>
      <c r="JAP10" s="118"/>
      <c r="JAQ10" s="118"/>
      <c r="JAR10" s="118"/>
      <c r="JAS10" s="118"/>
      <c r="JAT10" s="118"/>
      <c r="JAU10" s="118"/>
      <c r="JAV10" s="118"/>
      <c r="JAW10" s="118"/>
      <c r="JAX10" s="118"/>
      <c r="JAY10" s="118"/>
      <c r="JAZ10" s="118"/>
      <c r="JBA10" s="118"/>
      <c r="JBB10" s="118"/>
      <c r="JBC10" s="118"/>
      <c r="JBD10" s="118"/>
      <c r="JBE10" s="118"/>
      <c r="JBF10" s="118"/>
      <c r="JBG10" s="118"/>
      <c r="JBH10" s="118"/>
      <c r="JBI10" s="118"/>
      <c r="JBJ10" s="118"/>
      <c r="JBK10" s="118"/>
      <c r="JBL10" s="118"/>
      <c r="JBM10" s="118"/>
      <c r="JBN10" s="118"/>
      <c r="JBO10" s="118"/>
      <c r="JBP10" s="118"/>
      <c r="JBQ10" s="118"/>
      <c r="JBR10" s="118"/>
      <c r="JBS10" s="118"/>
      <c r="JBT10" s="118"/>
      <c r="JBU10" s="118"/>
      <c r="JBV10" s="118"/>
      <c r="JBW10" s="118"/>
      <c r="JBX10" s="118"/>
      <c r="JBY10" s="118"/>
      <c r="JBZ10" s="118"/>
      <c r="JCA10" s="118"/>
      <c r="JCB10" s="118"/>
      <c r="JCC10" s="118"/>
      <c r="JCD10" s="118"/>
      <c r="JCE10" s="118"/>
      <c r="JCF10" s="118"/>
      <c r="JCG10" s="118"/>
      <c r="JCH10" s="118"/>
      <c r="JCI10" s="118"/>
      <c r="JCJ10" s="118"/>
      <c r="JCK10" s="118"/>
      <c r="JCL10" s="118"/>
      <c r="JCM10" s="118"/>
      <c r="JCN10" s="118"/>
      <c r="JCO10" s="118"/>
      <c r="JCP10" s="118"/>
      <c r="JCQ10" s="118"/>
      <c r="JCR10" s="118"/>
      <c r="JCS10" s="118"/>
      <c r="JCT10" s="118"/>
      <c r="JCU10" s="118"/>
      <c r="JCV10" s="118"/>
      <c r="JCW10" s="118"/>
      <c r="JCX10" s="118"/>
      <c r="JCY10" s="118"/>
      <c r="JCZ10" s="118"/>
      <c r="JDA10" s="118"/>
      <c r="JDB10" s="118"/>
      <c r="JDC10" s="118"/>
      <c r="JDD10" s="118"/>
      <c r="JDE10" s="118"/>
      <c r="JDF10" s="118"/>
      <c r="JDG10" s="118"/>
      <c r="JDH10" s="118"/>
      <c r="JDI10" s="118"/>
      <c r="JDJ10" s="118"/>
      <c r="JDK10" s="118"/>
      <c r="JDL10" s="118"/>
      <c r="JDM10" s="118"/>
      <c r="JDN10" s="118"/>
      <c r="JDO10" s="118"/>
      <c r="JDP10" s="118"/>
      <c r="JDQ10" s="118"/>
      <c r="JDR10" s="118"/>
      <c r="JDS10" s="118"/>
      <c r="JDT10" s="118"/>
      <c r="JDU10" s="118"/>
      <c r="JDV10" s="118"/>
      <c r="JDW10" s="118"/>
      <c r="JDX10" s="118"/>
      <c r="JDY10" s="118"/>
      <c r="JDZ10" s="118"/>
      <c r="JEA10" s="118"/>
      <c r="JEB10" s="118"/>
      <c r="JEC10" s="118"/>
      <c r="JED10" s="118"/>
      <c r="JEE10" s="118"/>
      <c r="JEF10" s="118"/>
      <c r="JEG10" s="118"/>
      <c r="JEH10" s="118"/>
      <c r="JEI10" s="118"/>
      <c r="JEJ10" s="118"/>
      <c r="JEK10" s="118"/>
      <c r="JEL10" s="118"/>
      <c r="JEM10" s="118"/>
      <c r="JEN10" s="118"/>
      <c r="JEO10" s="118"/>
      <c r="JEP10" s="118"/>
      <c r="JEQ10" s="118"/>
      <c r="JER10" s="118"/>
      <c r="JES10" s="118"/>
      <c r="JET10" s="118"/>
      <c r="JEU10" s="118"/>
      <c r="JEV10" s="118"/>
      <c r="JEW10" s="118"/>
      <c r="JEX10" s="118"/>
      <c r="JEY10" s="118"/>
      <c r="JEZ10" s="118"/>
      <c r="JFA10" s="118"/>
      <c r="JFB10" s="118"/>
      <c r="JFC10" s="118"/>
      <c r="JFD10" s="118"/>
      <c r="JFE10" s="118"/>
      <c r="JFF10" s="118"/>
      <c r="JFG10" s="118"/>
      <c r="JFH10" s="118"/>
      <c r="JFI10" s="118"/>
      <c r="JFJ10" s="118"/>
      <c r="JFK10" s="118"/>
      <c r="JFL10" s="118"/>
      <c r="JFM10" s="118"/>
      <c r="JFN10" s="118"/>
      <c r="JFO10" s="118"/>
      <c r="JFP10" s="118"/>
      <c r="JFQ10" s="118"/>
      <c r="JFR10" s="118"/>
      <c r="JFS10" s="118"/>
      <c r="JFT10" s="118"/>
      <c r="JFU10" s="118"/>
      <c r="JFV10" s="118"/>
      <c r="JFW10" s="118"/>
      <c r="JFX10" s="118"/>
      <c r="JFY10" s="118"/>
      <c r="JFZ10" s="118"/>
      <c r="JGA10" s="118"/>
      <c r="JGB10" s="118"/>
      <c r="JGC10" s="118"/>
      <c r="JGD10" s="118"/>
      <c r="JGE10" s="118"/>
      <c r="JGF10" s="118"/>
      <c r="JGG10" s="118"/>
      <c r="JGH10" s="118"/>
      <c r="JGI10" s="118"/>
      <c r="JGJ10" s="118"/>
      <c r="JGK10" s="118"/>
      <c r="JGL10" s="118"/>
      <c r="JGM10" s="118"/>
      <c r="JGN10" s="118"/>
      <c r="JGO10" s="118"/>
      <c r="JGP10" s="118"/>
      <c r="JGQ10" s="118"/>
      <c r="JGR10" s="118"/>
      <c r="JGS10" s="118"/>
      <c r="JGT10" s="118"/>
      <c r="JGU10" s="118"/>
      <c r="JGV10" s="118"/>
      <c r="JGW10" s="118"/>
      <c r="JGX10" s="118"/>
      <c r="JGY10" s="118"/>
      <c r="JGZ10" s="118"/>
      <c r="JHA10" s="118"/>
      <c r="JHB10" s="118"/>
      <c r="JHC10" s="118"/>
      <c r="JHD10" s="118"/>
      <c r="JHE10" s="118"/>
      <c r="JHF10" s="118"/>
      <c r="JHG10" s="118"/>
      <c r="JHH10" s="118"/>
      <c r="JHI10" s="118"/>
      <c r="JHJ10" s="118"/>
      <c r="JHK10" s="118"/>
      <c r="JHL10" s="118"/>
      <c r="JHM10" s="118"/>
      <c r="JHN10" s="118"/>
      <c r="JHO10" s="118"/>
      <c r="JHP10" s="118"/>
      <c r="JHQ10" s="118"/>
      <c r="JHR10" s="118"/>
      <c r="JHS10" s="118"/>
      <c r="JHT10" s="118"/>
      <c r="JHU10" s="118"/>
      <c r="JHV10" s="118"/>
      <c r="JHW10" s="118"/>
      <c r="JHX10" s="118"/>
      <c r="JHY10" s="118"/>
      <c r="JHZ10" s="118"/>
      <c r="JIA10" s="118"/>
      <c r="JIB10" s="118"/>
      <c r="JIC10" s="118"/>
      <c r="JID10" s="118"/>
      <c r="JIE10" s="118"/>
      <c r="JIF10" s="118"/>
      <c r="JIG10" s="118"/>
      <c r="JIH10" s="118"/>
      <c r="JII10" s="118"/>
      <c r="JIJ10" s="118"/>
      <c r="JIK10" s="118"/>
      <c r="JIL10" s="118"/>
      <c r="JIM10" s="118"/>
      <c r="JIN10" s="118"/>
      <c r="JIO10" s="118"/>
      <c r="JIP10" s="118"/>
      <c r="JIQ10" s="118"/>
      <c r="JIR10" s="118"/>
      <c r="JIS10" s="118"/>
      <c r="JIT10" s="118"/>
      <c r="JIU10" s="118"/>
      <c r="JIV10" s="118"/>
      <c r="JIW10" s="118"/>
      <c r="JIX10" s="118"/>
      <c r="JIY10" s="118"/>
      <c r="JIZ10" s="118"/>
      <c r="JJA10" s="118"/>
      <c r="JJB10" s="118"/>
      <c r="JJC10" s="118"/>
      <c r="JJD10" s="118"/>
      <c r="JJE10" s="118"/>
      <c r="JJF10" s="118"/>
      <c r="JJG10" s="118"/>
      <c r="JJH10" s="118"/>
      <c r="JJI10" s="118"/>
      <c r="JJJ10" s="118"/>
      <c r="JJK10" s="118"/>
      <c r="JJL10" s="118"/>
      <c r="JJM10" s="118"/>
      <c r="JJN10" s="118"/>
      <c r="JJO10" s="118"/>
      <c r="JJP10" s="118"/>
      <c r="JJQ10" s="118"/>
      <c r="JJR10" s="118"/>
      <c r="JJS10" s="118"/>
      <c r="JJT10" s="118"/>
      <c r="JJU10" s="118"/>
      <c r="JJV10" s="118"/>
      <c r="JJW10" s="118"/>
      <c r="JJX10" s="118"/>
      <c r="JJY10" s="118"/>
      <c r="JJZ10" s="118"/>
      <c r="JKA10" s="118"/>
      <c r="JKB10" s="118"/>
      <c r="JKC10" s="118"/>
      <c r="JKD10" s="118"/>
      <c r="JKE10" s="118"/>
      <c r="JKF10" s="118"/>
      <c r="JKG10" s="118"/>
      <c r="JKH10" s="118"/>
      <c r="JKI10" s="118"/>
      <c r="JKJ10" s="118"/>
      <c r="JKK10" s="118"/>
      <c r="JKL10" s="118"/>
      <c r="JKM10" s="118"/>
      <c r="JKN10" s="118"/>
      <c r="JKO10" s="118"/>
      <c r="JKP10" s="118"/>
      <c r="JKQ10" s="118"/>
      <c r="JKR10" s="118"/>
      <c r="JKS10" s="118"/>
      <c r="JKT10" s="118"/>
      <c r="JKU10" s="118"/>
      <c r="JKV10" s="118"/>
      <c r="JKW10" s="118"/>
      <c r="JKX10" s="118"/>
      <c r="JKY10" s="118"/>
      <c r="JKZ10" s="118"/>
      <c r="JLA10" s="118"/>
      <c r="JLB10" s="118"/>
      <c r="JLC10" s="118"/>
      <c r="JLD10" s="118"/>
      <c r="JLE10" s="118"/>
      <c r="JLF10" s="118"/>
      <c r="JLG10" s="118"/>
      <c r="JLH10" s="118"/>
      <c r="JLI10" s="118"/>
      <c r="JLJ10" s="118"/>
      <c r="JLK10" s="118"/>
      <c r="JLL10" s="118"/>
      <c r="JLM10" s="118"/>
      <c r="JLN10" s="118"/>
      <c r="JLO10" s="118"/>
      <c r="JLP10" s="118"/>
      <c r="JLQ10" s="118"/>
      <c r="JLR10" s="118"/>
      <c r="JLS10" s="118"/>
      <c r="JLT10" s="118"/>
      <c r="JLU10" s="118"/>
      <c r="JLV10" s="118"/>
      <c r="JLW10" s="118"/>
      <c r="JLX10" s="118"/>
      <c r="JLY10" s="118"/>
      <c r="JLZ10" s="118"/>
      <c r="JMA10" s="118"/>
      <c r="JMB10" s="118"/>
      <c r="JMC10" s="118"/>
      <c r="JMD10" s="118"/>
      <c r="JME10" s="118"/>
      <c r="JMF10" s="118"/>
      <c r="JMG10" s="118"/>
      <c r="JMH10" s="118"/>
      <c r="JMI10" s="118"/>
      <c r="JMJ10" s="118"/>
      <c r="JMK10" s="118"/>
      <c r="JML10" s="118"/>
      <c r="JMM10" s="118"/>
      <c r="JMN10" s="118"/>
      <c r="JMO10" s="118"/>
      <c r="JMP10" s="118"/>
      <c r="JMQ10" s="118"/>
      <c r="JMR10" s="118"/>
      <c r="JMS10" s="118"/>
      <c r="JMT10" s="118"/>
      <c r="JMU10" s="118"/>
      <c r="JMV10" s="118"/>
      <c r="JMW10" s="118"/>
      <c r="JMX10" s="118"/>
      <c r="JMY10" s="118"/>
      <c r="JMZ10" s="118"/>
      <c r="JNA10" s="118"/>
      <c r="JNB10" s="118"/>
      <c r="JNC10" s="118"/>
      <c r="JND10" s="118"/>
      <c r="JNE10" s="118"/>
      <c r="JNF10" s="118"/>
      <c r="JNG10" s="118"/>
      <c r="JNH10" s="118"/>
      <c r="JNI10" s="118"/>
      <c r="JNJ10" s="118"/>
      <c r="JNK10" s="118"/>
      <c r="JNL10" s="118"/>
      <c r="JNM10" s="118"/>
      <c r="JNN10" s="118"/>
      <c r="JNO10" s="118"/>
      <c r="JNP10" s="118"/>
      <c r="JNQ10" s="118"/>
      <c r="JNR10" s="118"/>
      <c r="JNS10" s="118"/>
      <c r="JNT10" s="118"/>
      <c r="JNU10" s="118"/>
      <c r="JNV10" s="118"/>
      <c r="JNW10" s="118"/>
      <c r="JNX10" s="118"/>
      <c r="JNY10" s="118"/>
      <c r="JNZ10" s="118"/>
      <c r="JOA10" s="118"/>
      <c r="JOB10" s="118"/>
      <c r="JOC10" s="118"/>
      <c r="JOD10" s="118"/>
      <c r="JOE10" s="118"/>
      <c r="JOF10" s="118"/>
      <c r="JOG10" s="118"/>
      <c r="JOH10" s="118"/>
      <c r="JOI10" s="118"/>
      <c r="JOJ10" s="118"/>
      <c r="JOK10" s="118"/>
      <c r="JOL10" s="118"/>
      <c r="JOM10" s="118"/>
      <c r="JON10" s="118"/>
      <c r="JOO10" s="118"/>
      <c r="JOP10" s="118"/>
      <c r="JOQ10" s="118"/>
      <c r="JOR10" s="118"/>
      <c r="JOS10" s="118"/>
      <c r="JOT10" s="118"/>
      <c r="JOU10" s="118"/>
      <c r="JOV10" s="118"/>
      <c r="JOW10" s="118"/>
      <c r="JOX10" s="118"/>
      <c r="JOY10" s="118"/>
      <c r="JOZ10" s="118"/>
      <c r="JPA10" s="118"/>
      <c r="JPB10" s="118"/>
      <c r="JPC10" s="118"/>
      <c r="JPD10" s="118"/>
      <c r="JPE10" s="118"/>
      <c r="JPF10" s="118"/>
      <c r="JPG10" s="118"/>
      <c r="JPH10" s="118"/>
      <c r="JPI10" s="118"/>
      <c r="JPJ10" s="118"/>
      <c r="JPK10" s="118"/>
      <c r="JPL10" s="118"/>
      <c r="JPM10" s="118"/>
      <c r="JPN10" s="118"/>
      <c r="JPO10" s="118"/>
      <c r="JPP10" s="118"/>
      <c r="JPQ10" s="118"/>
      <c r="JPR10" s="118"/>
      <c r="JPS10" s="118"/>
      <c r="JPT10" s="118"/>
      <c r="JPU10" s="118"/>
      <c r="JPV10" s="118"/>
      <c r="JPW10" s="118"/>
      <c r="JPX10" s="118"/>
      <c r="JPY10" s="118"/>
      <c r="JPZ10" s="118"/>
      <c r="JQA10" s="118"/>
      <c r="JQB10" s="118"/>
      <c r="JQC10" s="118"/>
      <c r="JQD10" s="118"/>
      <c r="JQE10" s="118"/>
      <c r="JQF10" s="118"/>
      <c r="JQG10" s="118"/>
      <c r="JQH10" s="118"/>
      <c r="JQI10" s="118"/>
      <c r="JQJ10" s="118"/>
      <c r="JQK10" s="118"/>
      <c r="JQL10" s="118"/>
      <c r="JQM10" s="118"/>
      <c r="JQN10" s="118"/>
      <c r="JQO10" s="118"/>
      <c r="JQP10" s="118"/>
      <c r="JQQ10" s="118"/>
      <c r="JQR10" s="118"/>
      <c r="JQS10" s="118"/>
      <c r="JQT10" s="118"/>
      <c r="JQU10" s="118"/>
      <c r="JQV10" s="118"/>
      <c r="JQW10" s="118"/>
      <c r="JQX10" s="118"/>
      <c r="JQY10" s="118"/>
      <c r="JQZ10" s="118"/>
      <c r="JRA10" s="118"/>
      <c r="JRB10" s="118"/>
      <c r="JRC10" s="118"/>
      <c r="JRD10" s="118"/>
      <c r="JRE10" s="118"/>
      <c r="JRF10" s="118"/>
      <c r="JRG10" s="118"/>
      <c r="JRH10" s="118"/>
      <c r="JRI10" s="118"/>
      <c r="JRJ10" s="118"/>
      <c r="JRK10" s="118"/>
      <c r="JRL10" s="118"/>
      <c r="JRM10" s="118"/>
      <c r="JRN10" s="118"/>
      <c r="JRO10" s="118"/>
      <c r="JRP10" s="118"/>
      <c r="JRQ10" s="118"/>
      <c r="JRR10" s="118"/>
      <c r="JRS10" s="118"/>
      <c r="JRT10" s="118"/>
      <c r="JRU10" s="118"/>
      <c r="JRV10" s="118"/>
      <c r="JRW10" s="118"/>
      <c r="JRX10" s="118"/>
      <c r="JRY10" s="118"/>
      <c r="JRZ10" s="118"/>
      <c r="JSA10" s="118"/>
      <c r="JSB10" s="118"/>
      <c r="JSC10" s="118"/>
      <c r="JSD10" s="118"/>
      <c r="JSE10" s="118"/>
      <c r="JSF10" s="118"/>
      <c r="JSG10" s="118"/>
      <c r="JSH10" s="118"/>
      <c r="JSI10" s="118"/>
      <c r="JSJ10" s="118"/>
      <c r="JSK10" s="118"/>
      <c r="JSL10" s="118"/>
      <c r="JSM10" s="118"/>
      <c r="JSN10" s="118"/>
      <c r="JSO10" s="118"/>
      <c r="JSP10" s="118"/>
      <c r="JSQ10" s="118"/>
      <c r="JSR10" s="118"/>
      <c r="JSS10" s="118"/>
      <c r="JST10" s="118"/>
      <c r="JSU10" s="118"/>
      <c r="JSV10" s="118"/>
      <c r="JSW10" s="118"/>
      <c r="JSX10" s="118"/>
      <c r="JSY10" s="118"/>
      <c r="JSZ10" s="118"/>
      <c r="JTA10" s="118"/>
      <c r="JTB10" s="118"/>
      <c r="JTC10" s="118"/>
      <c r="JTD10" s="118"/>
      <c r="JTE10" s="118"/>
      <c r="JTF10" s="118"/>
      <c r="JTG10" s="118"/>
      <c r="JTH10" s="118"/>
      <c r="JTI10" s="118"/>
      <c r="JTJ10" s="118"/>
      <c r="JTK10" s="118"/>
      <c r="JTL10" s="118"/>
      <c r="JTM10" s="118"/>
      <c r="JTN10" s="118"/>
      <c r="JTO10" s="118"/>
      <c r="JTP10" s="118"/>
      <c r="JTQ10" s="118"/>
      <c r="JTR10" s="118"/>
      <c r="JTS10" s="118"/>
      <c r="JTT10" s="118"/>
      <c r="JTU10" s="118"/>
      <c r="JTV10" s="118"/>
      <c r="JTW10" s="118"/>
      <c r="JTX10" s="118"/>
      <c r="JTY10" s="118"/>
      <c r="JTZ10" s="118"/>
      <c r="JUA10" s="118"/>
      <c r="JUB10" s="118"/>
      <c r="JUC10" s="118"/>
      <c r="JUD10" s="118"/>
      <c r="JUE10" s="118"/>
      <c r="JUF10" s="118"/>
      <c r="JUG10" s="118"/>
      <c r="JUH10" s="118"/>
      <c r="JUI10" s="118"/>
      <c r="JUJ10" s="118"/>
      <c r="JUK10" s="118"/>
      <c r="JUL10" s="118"/>
      <c r="JUM10" s="118"/>
      <c r="JUN10" s="118"/>
      <c r="JUO10" s="118"/>
      <c r="JUP10" s="118"/>
      <c r="JUQ10" s="118"/>
      <c r="JUR10" s="118"/>
      <c r="JUS10" s="118"/>
      <c r="JUT10" s="118"/>
      <c r="JUU10" s="118"/>
      <c r="JUV10" s="118"/>
      <c r="JUW10" s="118"/>
      <c r="JUX10" s="118"/>
      <c r="JUY10" s="118"/>
      <c r="JUZ10" s="118"/>
      <c r="JVA10" s="118"/>
      <c r="JVB10" s="118"/>
      <c r="JVC10" s="118"/>
      <c r="JVD10" s="118"/>
      <c r="JVE10" s="118"/>
      <c r="JVF10" s="118"/>
      <c r="JVG10" s="118"/>
      <c r="JVH10" s="118"/>
      <c r="JVI10" s="118"/>
      <c r="JVJ10" s="118"/>
      <c r="JVK10" s="118"/>
      <c r="JVL10" s="118"/>
      <c r="JVM10" s="118"/>
      <c r="JVN10" s="118"/>
      <c r="JVO10" s="118"/>
      <c r="JVP10" s="118"/>
      <c r="JVQ10" s="118"/>
      <c r="JVR10" s="118"/>
      <c r="JVS10" s="118"/>
      <c r="JVT10" s="118"/>
      <c r="JVU10" s="118"/>
      <c r="JVV10" s="118"/>
      <c r="JVW10" s="118"/>
      <c r="JVX10" s="118"/>
      <c r="JVY10" s="118"/>
      <c r="JVZ10" s="118"/>
      <c r="JWA10" s="118"/>
      <c r="JWB10" s="118"/>
      <c r="JWC10" s="118"/>
      <c r="JWD10" s="118"/>
      <c r="JWE10" s="118"/>
      <c r="JWF10" s="118"/>
      <c r="JWG10" s="118"/>
      <c r="JWH10" s="118"/>
      <c r="JWI10" s="118"/>
      <c r="JWJ10" s="118"/>
      <c r="JWK10" s="118"/>
      <c r="JWL10" s="118"/>
      <c r="JWM10" s="118"/>
      <c r="JWN10" s="118"/>
      <c r="JWO10" s="118"/>
      <c r="JWP10" s="118"/>
      <c r="JWQ10" s="118"/>
      <c r="JWR10" s="118"/>
      <c r="JWS10" s="118"/>
      <c r="JWT10" s="118"/>
      <c r="JWU10" s="118"/>
      <c r="JWV10" s="118"/>
      <c r="JWW10" s="118"/>
      <c r="JWX10" s="118"/>
      <c r="JWY10" s="118"/>
      <c r="JWZ10" s="118"/>
      <c r="JXA10" s="118"/>
      <c r="JXB10" s="118"/>
      <c r="JXC10" s="118"/>
      <c r="JXD10" s="118"/>
      <c r="JXE10" s="118"/>
      <c r="JXF10" s="118"/>
      <c r="JXG10" s="118"/>
      <c r="JXH10" s="118"/>
      <c r="JXI10" s="118"/>
      <c r="JXJ10" s="118"/>
      <c r="JXK10" s="118"/>
      <c r="JXL10" s="118"/>
      <c r="JXM10" s="118"/>
      <c r="JXN10" s="118"/>
      <c r="JXO10" s="118"/>
      <c r="JXP10" s="118"/>
      <c r="JXQ10" s="118"/>
      <c r="JXR10" s="118"/>
      <c r="JXS10" s="118"/>
      <c r="JXT10" s="118"/>
      <c r="JXU10" s="118"/>
      <c r="JXV10" s="118"/>
      <c r="JXW10" s="118"/>
      <c r="JXX10" s="118"/>
      <c r="JXY10" s="118"/>
      <c r="JXZ10" s="118"/>
      <c r="JYA10" s="118"/>
      <c r="JYB10" s="118"/>
      <c r="JYC10" s="118"/>
      <c r="JYD10" s="118"/>
      <c r="JYE10" s="118"/>
      <c r="JYF10" s="118"/>
      <c r="JYG10" s="118"/>
      <c r="JYH10" s="118"/>
      <c r="JYI10" s="118"/>
      <c r="JYJ10" s="118"/>
      <c r="JYK10" s="118"/>
      <c r="JYL10" s="118"/>
      <c r="JYM10" s="118"/>
      <c r="JYN10" s="118"/>
      <c r="JYO10" s="118"/>
      <c r="JYP10" s="118"/>
      <c r="JYQ10" s="118"/>
      <c r="JYR10" s="118"/>
      <c r="JYS10" s="118"/>
      <c r="JYT10" s="118"/>
      <c r="JYU10" s="118"/>
      <c r="JYV10" s="118"/>
      <c r="JYW10" s="118"/>
      <c r="JYX10" s="118"/>
      <c r="JYY10" s="118"/>
      <c r="JYZ10" s="118"/>
      <c r="JZA10" s="118"/>
      <c r="JZB10" s="118"/>
      <c r="JZC10" s="118"/>
      <c r="JZD10" s="118"/>
      <c r="JZE10" s="118"/>
      <c r="JZF10" s="118"/>
      <c r="JZG10" s="118"/>
      <c r="JZH10" s="118"/>
      <c r="JZI10" s="118"/>
      <c r="JZJ10" s="118"/>
      <c r="JZK10" s="118"/>
      <c r="JZL10" s="118"/>
      <c r="JZM10" s="118"/>
      <c r="JZN10" s="118"/>
      <c r="JZO10" s="118"/>
      <c r="JZP10" s="118"/>
      <c r="JZQ10" s="118"/>
      <c r="JZR10" s="118"/>
      <c r="JZS10" s="118"/>
      <c r="JZT10" s="118"/>
      <c r="JZU10" s="118"/>
      <c r="JZV10" s="118"/>
      <c r="JZW10" s="118"/>
      <c r="JZX10" s="118"/>
      <c r="JZY10" s="118"/>
      <c r="JZZ10" s="118"/>
      <c r="KAA10" s="118"/>
      <c r="KAB10" s="118"/>
      <c r="KAC10" s="118"/>
      <c r="KAD10" s="118"/>
      <c r="KAE10" s="118"/>
      <c r="KAF10" s="118"/>
      <c r="KAG10" s="118"/>
      <c r="KAH10" s="118"/>
      <c r="KAI10" s="118"/>
      <c r="KAJ10" s="118"/>
      <c r="KAK10" s="118"/>
      <c r="KAL10" s="118"/>
      <c r="KAM10" s="118"/>
      <c r="KAN10" s="118"/>
      <c r="KAO10" s="118"/>
      <c r="KAP10" s="118"/>
      <c r="KAQ10" s="118"/>
      <c r="KAR10" s="118"/>
      <c r="KAS10" s="118"/>
      <c r="KAT10" s="118"/>
      <c r="KAU10" s="118"/>
      <c r="KAV10" s="118"/>
      <c r="KAW10" s="118"/>
      <c r="KAX10" s="118"/>
      <c r="KAY10" s="118"/>
      <c r="KAZ10" s="118"/>
      <c r="KBA10" s="118"/>
      <c r="KBB10" s="118"/>
      <c r="KBC10" s="118"/>
      <c r="KBD10" s="118"/>
      <c r="KBE10" s="118"/>
      <c r="KBF10" s="118"/>
      <c r="KBG10" s="118"/>
      <c r="KBH10" s="118"/>
      <c r="KBI10" s="118"/>
      <c r="KBJ10" s="118"/>
      <c r="KBK10" s="118"/>
      <c r="KBL10" s="118"/>
      <c r="KBM10" s="118"/>
      <c r="KBN10" s="118"/>
      <c r="KBO10" s="118"/>
      <c r="KBP10" s="118"/>
      <c r="KBQ10" s="118"/>
      <c r="KBR10" s="118"/>
      <c r="KBS10" s="118"/>
      <c r="KBT10" s="118"/>
      <c r="KBU10" s="118"/>
      <c r="KBV10" s="118"/>
      <c r="KBW10" s="118"/>
      <c r="KBX10" s="118"/>
      <c r="KBY10" s="118"/>
      <c r="KBZ10" s="118"/>
      <c r="KCA10" s="118"/>
      <c r="KCB10" s="118"/>
      <c r="KCC10" s="118"/>
      <c r="KCD10" s="118"/>
      <c r="KCE10" s="118"/>
      <c r="KCF10" s="118"/>
      <c r="KCG10" s="118"/>
      <c r="KCH10" s="118"/>
      <c r="KCI10" s="118"/>
      <c r="KCJ10" s="118"/>
      <c r="KCK10" s="118"/>
      <c r="KCL10" s="118"/>
      <c r="KCM10" s="118"/>
      <c r="KCN10" s="118"/>
      <c r="KCO10" s="118"/>
      <c r="KCP10" s="118"/>
      <c r="KCQ10" s="118"/>
      <c r="KCR10" s="118"/>
      <c r="KCS10" s="118"/>
      <c r="KCT10" s="118"/>
      <c r="KCU10" s="118"/>
      <c r="KCV10" s="118"/>
      <c r="KCW10" s="118"/>
      <c r="KCX10" s="118"/>
      <c r="KCY10" s="118"/>
      <c r="KCZ10" s="118"/>
      <c r="KDA10" s="118"/>
      <c r="KDB10" s="118"/>
      <c r="KDC10" s="118"/>
      <c r="KDD10" s="118"/>
      <c r="KDE10" s="118"/>
      <c r="KDF10" s="118"/>
      <c r="KDG10" s="118"/>
      <c r="KDH10" s="118"/>
      <c r="KDI10" s="118"/>
      <c r="KDJ10" s="118"/>
      <c r="KDK10" s="118"/>
      <c r="KDL10" s="118"/>
      <c r="KDM10" s="118"/>
      <c r="KDN10" s="118"/>
      <c r="KDO10" s="118"/>
      <c r="KDP10" s="118"/>
      <c r="KDQ10" s="118"/>
      <c r="KDR10" s="118"/>
      <c r="KDS10" s="118"/>
      <c r="KDT10" s="118"/>
      <c r="KDU10" s="118"/>
      <c r="KDV10" s="118"/>
      <c r="KDW10" s="118"/>
      <c r="KDX10" s="118"/>
      <c r="KDY10" s="118"/>
      <c r="KDZ10" s="118"/>
      <c r="KEA10" s="118"/>
      <c r="KEB10" s="118"/>
      <c r="KEC10" s="118"/>
      <c r="KED10" s="118"/>
      <c r="KEE10" s="118"/>
      <c r="KEF10" s="118"/>
      <c r="KEG10" s="118"/>
      <c r="KEH10" s="118"/>
      <c r="KEI10" s="118"/>
      <c r="KEJ10" s="118"/>
      <c r="KEK10" s="118"/>
      <c r="KEL10" s="118"/>
      <c r="KEM10" s="118"/>
      <c r="KEN10" s="118"/>
      <c r="KEO10" s="118"/>
      <c r="KEP10" s="118"/>
      <c r="KEQ10" s="118"/>
      <c r="KER10" s="118"/>
      <c r="KES10" s="118"/>
      <c r="KET10" s="118"/>
      <c r="KEU10" s="118"/>
      <c r="KEV10" s="118"/>
      <c r="KEW10" s="118"/>
      <c r="KEX10" s="118"/>
      <c r="KEY10" s="118"/>
      <c r="KEZ10" s="118"/>
      <c r="KFA10" s="118"/>
      <c r="KFB10" s="118"/>
      <c r="KFC10" s="118"/>
      <c r="KFD10" s="118"/>
      <c r="KFE10" s="118"/>
      <c r="KFF10" s="118"/>
      <c r="KFG10" s="118"/>
      <c r="KFH10" s="118"/>
      <c r="KFI10" s="118"/>
      <c r="KFJ10" s="118"/>
      <c r="KFK10" s="118"/>
      <c r="KFL10" s="118"/>
      <c r="KFM10" s="118"/>
      <c r="KFN10" s="118"/>
      <c r="KFO10" s="118"/>
      <c r="KFP10" s="118"/>
      <c r="KFQ10" s="118"/>
      <c r="KFR10" s="118"/>
      <c r="KFS10" s="118"/>
      <c r="KFT10" s="118"/>
      <c r="KFU10" s="118"/>
      <c r="KFV10" s="118"/>
      <c r="KFW10" s="118"/>
      <c r="KFX10" s="118"/>
      <c r="KFY10" s="118"/>
      <c r="KFZ10" s="118"/>
      <c r="KGA10" s="118"/>
      <c r="KGB10" s="118"/>
      <c r="KGC10" s="118"/>
      <c r="KGD10" s="118"/>
      <c r="KGE10" s="118"/>
      <c r="KGF10" s="118"/>
      <c r="KGG10" s="118"/>
      <c r="KGH10" s="118"/>
      <c r="KGI10" s="118"/>
      <c r="KGJ10" s="118"/>
      <c r="KGK10" s="118"/>
      <c r="KGL10" s="118"/>
      <c r="KGM10" s="118"/>
      <c r="KGN10" s="118"/>
      <c r="KGO10" s="118"/>
      <c r="KGP10" s="118"/>
      <c r="KGQ10" s="118"/>
      <c r="KGR10" s="118"/>
      <c r="KGS10" s="118"/>
      <c r="KGT10" s="118"/>
      <c r="KGU10" s="118"/>
      <c r="KGV10" s="118"/>
      <c r="KGW10" s="118"/>
      <c r="KGX10" s="118"/>
      <c r="KGY10" s="118"/>
      <c r="KGZ10" s="118"/>
      <c r="KHA10" s="118"/>
      <c r="KHB10" s="118"/>
      <c r="KHC10" s="118"/>
      <c r="KHD10" s="118"/>
      <c r="KHE10" s="118"/>
      <c r="KHF10" s="118"/>
      <c r="KHG10" s="118"/>
      <c r="KHH10" s="118"/>
      <c r="KHI10" s="118"/>
      <c r="KHJ10" s="118"/>
      <c r="KHK10" s="118"/>
      <c r="KHL10" s="118"/>
      <c r="KHM10" s="118"/>
      <c r="KHN10" s="118"/>
      <c r="KHO10" s="118"/>
      <c r="KHP10" s="118"/>
      <c r="KHQ10" s="118"/>
      <c r="KHR10" s="118"/>
      <c r="KHS10" s="118"/>
      <c r="KHT10" s="118"/>
      <c r="KHU10" s="118"/>
      <c r="KHV10" s="118"/>
      <c r="KHW10" s="118"/>
      <c r="KHX10" s="118"/>
      <c r="KHY10" s="118"/>
      <c r="KHZ10" s="118"/>
      <c r="KIA10" s="118"/>
      <c r="KIB10" s="118"/>
      <c r="KIC10" s="118"/>
      <c r="KID10" s="118"/>
      <c r="KIE10" s="118"/>
      <c r="KIF10" s="118"/>
      <c r="KIG10" s="118"/>
      <c r="KIH10" s="118"/>
      <c r="KII10" s="118"/>
      <c r="KIJ10" s="118"/>
      <c r="KIK10" s="118"/>
      <c r="KIL10" s="118"/>
      <c r="KIM10" s="118"/>
      <c r="KIN10" s="118"/>
      <c r="KIO10" s="118"/>
      <c r="KIP10" s="118"/>
      <c r="KIQ10" s="118"/>
      <c r="KIR10" s="118"/>
      <c r="KIS10" s="118"/>
      <c r="KIT10" s="118"/>
      <c r="KIU10" s="118"/>
      <c r="KIV10" s="118"/>
      <c r="KIW10" s="118"/>
      <c r="KIX10" s="118"/>
      <c r="KIY10" s="118"/>
      <c r="KIZ10" s="118"/>
      <c r="KJA10" s="118"/>
      <c r="KJB10" s="118"/>
      <c r="KJC10" s="118"/>
      <c r="KJD10" s="118"/>
      <c r="KJE10" s="118"/>
      <c r="KJF10" s="118"/>
      <c r="KJG10" s="118"/>
      <c r="KJH10" s="118"/>
      <c r="KJI10" s="118"/>
      <c r="KJJ10" s="118"/>
      <c r="KJK10" s="118"/>
      <c r="KJL10" s="118"/>
      <c r="KJM10" s="118"/>
      <c r="KJN10" s="118"/>
      <c r="KJO10" s="118"/>
      <c r="KJP10" s="118"/>
      <c r="KJQ10" s="118"/>
      <c r="KJR10" s="118"/>
      <c r="KJS10" s="118"/>
      <c r="KJT10" s="118"/>
      <c r="KJU10" s="118"/>
      <c r="KJV10" s="118"/>
      <c r="KJW10" s="118"/>
      <c r="KJX10" s="118"/>
      <c r="KJY10" s="118"/>
      <c r="KJZ10" s="118"/>
      <c r="KKA10" s="118"/>
      <c r="KKB10" s="118"/>
      <c r="KKC10" s="118"/>
      <c r="KKD10" s="118"/>
      <c r="KKE10" s="118"/>
      <c r="KKF10" s="118"/>
      <c r="KKG10" s="118"/>
      <c r="KKH10" s="118"/>
      <c r="KKI10" s="118"/>
      <c r="KKJ10" s="118"/>
      <c r="KKK10" s="118"/>
      <c r="KKL10" s="118"/>
      <c r="KKM10" s="118"/>
      <c r="KKN10" s="118"/>
      <c r="KKO10" s="118"/>
      <c r="KKP10" s="118"/>
      <c r="KKQ10" s="118"/>
      <c r="KKR10" s="118"/>
      <c r="KKS10" s="118"/>
      <c r="KKT10" s="118"/>
      <c r="KKU10" s="118"/>
      <c r="KKV10" s="118"/>
      <c r="KKW10" s="118"/>
      <c r="KKX10" s="118"/>
      <c r="KKY10" s="118"/>
      <c r="KKZ10" s="118"/>
      <c r="KLA10" s="118"/>
      <c r="KLB10" s="118"/>
      <c r="KLC10" s="118"/>
      <c r="KLD10" s="118"/>
      <c r="KLE10" s="118"/>
      <c r="KLF10" s="118"/>
      <c r="KLG10" s="118"/>
      <c r="KLH10" s="118"/>
      <c r="KLI10" s="118"/>
      <c r="KLJ10" s="118"/>
      <c r="KLK10" s="118"/>
      <c r="KLL10" s="118"/>
      <c r="KLM10" s="118"/>
      <c r="KLN10" s="118"/>
      <c r="KLO10" s="118"/>
      <c r="KLP10" s="118"/>
      <c r="KLQ10" s="118"/>
      <c r="KLR10" s="118"/>
      <c r="KLS10" s="118"/>
      <c r="KLT10" s="118"/>
      <c r="KLU10" s="118"/>
      <c r="KLV10" s="118"/>
      <c r="KLW10" s="118"/>
      <c r="KLX10" s="118"/>
      <c r="KLY10" s="118"/>
      <c r="KLZ10" s="118"/>
      <c r="KMA10" s="118"/>
      <c r="KMB10" s="118"/>
      <c r="KMC10" s="118"/>
      <c r="KMD10" s="118"/>
      <c r="KME10" s="118"/>
      <c r="KMF10" s="118"/>
      <c r="KMG10" s="118"/>
      <c r="KMH10" s="118"/>
      <c r="KMI10" s="118"/>
      <c r="KMJ10" s="118"/>
      <c r="KMK10" s="118"/>
      <c r="KML10" s="118"/>
      <c r="KMM10" s="118"/>
      <c r="KMN10" s="118"/>
      <c r="KMO10" s="118"/>
      <c r="KMP10" s="118"/>
      <c r="KMQ10" s="118"/>
      <c r="KMR10" s="118"/>
      <c r="KMS10" s="118"/>
      <c r="KMT10" s="118"/>
      <c r="KMU10" s="118"/>
      <c r="KMV10" s="118"/>
      <c r="KMW10" s="118"/>
      <c r="KMX10" s="118"/>
      <c r="KMY10" s="118"/>
      <c r="KMZ10" s="118"/>
      <c r="KNA10" s="118"/>
      <c r="KNB10" s="118"/>
      <c r="KNC10" s="118"/>
      <c r="KND10" s="118"/>
      <c r="KNE10" s="118"/>
      <c r="KNF10" s="118"/>
      <c r="KNG10" s="118"/>
      <c r="KNH10" s="118"/>
      <c r="KNI10" s="118"/>
      <c r="KNJ10" s="118"/>
      <c r="KNK10" s="118"/>
      <c r="KNL10" s="118"/>
      <c r="KNM10" s="118"/>
      <c r="KNN10" s="118"/>
      <c r="KNO10" s="118"/>
      <c r="KNP10" s="118"/>
      <c r="KNQ10" s="118"/>
      <c r="KNR10" s="118"/>
      <c r="KNS10" s="118"/>
      <c r="KNT10" s="118"/>
      <c r="KNU10" s="118"/>
      <c r="KNV10" s="118"/>
      <c r="KNW10" s="118"/>
      <c r="KNX10" s="118"/>
      <c r="KNY10" s="118"/>
      <c r="KNZ10" s="118"/>
      <c r="KOA10" s="118"/>
      <c r="KOB10" s="118"/>
      <c r="KOC10" s="118"/>
      <c r="KOD10" s="118"/>
      <c r="KOE10" s="118"/>
      <c r="KOF10" s="118"/>
      <c r="KOG10" s="118"/>
      <c r="KOH10" s="118"/>
      <c r="KOI10" s="118"/>
      <c r="KOJ10" s="118"/>
      <c r="KOK10" s="118"/>
      <c r="KOL10" s="118"/>
      <c r="KOM10" s="118"/>
      <c r="KON10" s="118"/>
      <c r="KOO10" s="118"/>
      <c r="KOP10" s="118"/>
      <c r="KOQ10" s="118"/>
      <c r="KOR10" s="118"/>
      <c r="KOS10" s="118"/>
      <c r="KOT10" s="118"/>
      <c r="KOU10" s="118"/>
      <c r="KOV10" s="118"/>
      <c r="KOW10" s="118"/>
      <c r="KOX10" s="118"/>
      <c r="KOY10" s="118"/>
      <c r="KOZ10" s="118"/>
      <c r="KPA10" s="118"/>
      <c r="KPB10" s="118"/>
      <c r="KPC10" s="118"/>
      <c r="KPD10" s="118"/>
      <c r="KPE10" s="118"/>
      <c r="KPF10" s="118"/>
      <c r="KPG10" s="118"/>
      <c r="KPH10" s="118"/>
      <c r="KPI10" s="118"/>
      <c r="KPJ10" s="118"/>
      <c r="KPK10" s="118"/>
      <c r="KPL10" s="118"/>
      <c r="KPM10" s="118"/>
      <c r="KPN10" s="118"/>
      <c r="KPO10" s="118"/>
      <c r="KPP10" s="118"/>
      <c r="KPQ10" s="118"/>
      <c r="KPR10" s="118"/>
      <c r="KPS10" s="118"/>
      <c r="KPT10" s="118"/>
      <c r="KPU10" s="118"/>
      <c r="KPV10" s="118"/>
      <c r="KPW10" s="118"/>
      <c r="KPX10" s="118"/>
      <c r="KPY10" s="118"/>
      <c r="KPZ10" s="118"/>
      <c r="KQA10" s="118"/>
      <c r="KQB10" s="118"/>
      <c r="KQC10" s="118"/>
      <c r="KQD10" s="118"/>
      <c r="KQE10" s="118"/>
      <c r="KQF10" s="118"/>
      <c r="KQG10" s="118"/>
      <c r="KQH10" s="118"/>
      <c r="KQI10" s="118"/>
      <c r="KQJ10" s="118"/>
      <c r="KQK10" s="118"/>
      <c r="KQL10" s="118"/>
      <c r="KQM10" s="118"/>
      <c r="KQN10" s="118"/>
      <c r="KQO10" s="118"/>
      <c r="KQP10" s="118"/>
      <c r="KQQ10" s="118"/>
      <c r="KQR10" s="118"/>
      <c r="KQS10" s="118"/>
      <c r="KQT10" s="118"/>
      <c r="KQU10" s="118"/>
      <c r="KQV10" s="118"/>
      <c r="KQW10" s="118"/>
      <c r="KQX10" s="118"/>
      <c r="KQY10" s="118"/>
      <c r="KQZ10" s="118"/>
      <c r="KRA10" s="118"/>
      <c r="KRB10" s="118"/>
      <c r="KRC10" s="118"/>
      <c r="KRD10" s="118"/>
      <c r="KRE10" s="118"/>
      <c r="KRF10" s="118"/>
      <c r="KRG10" s="118"/>
      <c r="KRH10" s="118"/>
      <c r="KRI10" s="118"/>
      <c r="KRJ10" s="118"/>
      <c r="KRK10" s="118"/>
      <c r="KRL10" s="118"/>
      <c r="KRM10" s="118"/>
      <c r="KRN10" s="118"/>
      <c r="KRO10" s="118"/>
      <c r="KRP10" s="118"/>
      <c r="KRQ10" s="118"/>
      <c r="KRR10" s="118"/>
      <c r="KRS10" s="118"/>
      <c r="KRT10" s="118"/>
      <c r="KRU10" s="118"/>
      <c r="KRV10" s="118"/>
      <c r="KRW10" s="118"/>
      <c r="KRX10" s="118"/>
      <c r="KRY10" s="118"/>
      <c r="KRZ10" s="118"/>
      <c r="KSA10" s="118"/>
      <c r="KSB10" s="118"/>
      <c r="KSC10" s="118"/>
      <c r="KSD10" s="118"/>
      <c r="KSE10" s="118"/>
      <c r="KSF10" s="118"/>
      <c r="KSG10" s="118"/>
      <c r="KSH10" s="118"/>
      <c r="KSI10" s="118"/>
      <c r="KSJ10" s="118"/>
      <c r="KSK10" s="118"/>
      <c r="KSL10" s="118"/>
      <c r="KSM10" s="118"/>
      <c r="KSN10" s="118"/>
      <c r="KSO10" s="118"/>
      <c r="KSP10" s="118"/>
      <c r="KSQ10" s="118"/>
      <c r="KSR10" s="118"/>
      <c r="KSS10" s="118"/>
      <c r="KST10" s="118"/>
      <c r="KSU10" s="118"/>
      <c r="KSV10" s="118"/>
      <c r="KSW10" s="118"/>
      <c r="KSX10" s="118"/>
      <c r="KSY10" s="118"/>
      <c r="KSZ10" s="118"/>
      <c r="KTA10" s="118"/>
      <c r="KTB10" s="118"/>
      <c r="KTC10" s="118"/>
      <c r="KTD10" s="118"/>
      <c r="KTE10" s="118"/>
      <c r="KTF10" s="118"/>
      <c r="KTG10" s="118"/>
      <c r="KTH10" s="118"/>
      <c r="KTI10" s="118"/>
      <c r="KTJ10" s="118"/>
      <c r="KTK10" s="118"/>
      <c r="KTL10" s="118"/>
      <c r="KTM10" s="118"/>
      <c r="KTN10" s="118"/>
      <c r="KTO10" s="118"/>
      <c r="KTP10" s="118"/>
      <c r="KTQ10" s="118"/>
      <c r="KTR10" s="118"/>
      <c r="KTS10" s="118"/>
      <c r="KTT10" s="118"/>
      <c r="KTU10" s="118"/>
      <c r="KTV10" s="118"/>
      <c r="KTW10" s="118"/>
      <c r="KTX10" s="118"/>
      <c r="KTY10" s="118"/>
      <c r="KTZ10" s="118"/>
      <c r="KUA10" s="118"/>
      <c r="KUB10" s="118"/>
      <c r="KUC10" s="118"/>
      <c r="KUD10" s="118"/>
      <c r="KUE10" s="118"/>
      <c r="KUF10" s="118"/>
      <c r="KUG10" s="118"/>
      <c r="KUH10" s="118"/>
      <c r="KUI10" s="118"/>
      <c r="KUJ10" s="118"/>
      <c r="KUK10" s="118"/>
      <c r="KUL10" s="118"/>
      <c r="KUM10" s="118"/>
      <c r="KUN10" s="118"/>
      <c r="KUO10" s="118"/>
      <c r="KUP10" s="118"/>
      <c r="KUQ10" s="118"/>
      <c r="KUR10" s="118"/>
      <c r="KUS10" s="118"/>
      <c r="KUT10" s="118"/>
      <c r="KUU10" s="118"/>
      <c r="KUV10" s="118"/>
      <c r="KUW10" s="118"/>
      <c r="KUX10" s="118"/>
      <c r="KUY10" s="118"/>
      <c r="KUZ10" s="118"/>
      <c r="KVA10" s="118"/>
      <c r="KVB10" s="118"/>
      <c r="KVC10" s="118"/>
      <c r="KVD10" s="118"/>
      <c r="KVE10" s="118"/>
      <c r="KVF10" s="118"/>
      <c r="KVG10" s="118"/>
      <c r="KVH10" s="118"/>
      <c r="KVI10" s="118"/>
      <c r="KVJ10" s="118"/>
      <c r="KVK10" s="118"/>
      <c r="KVL10" s="118"/>
      <c r="KVM10" s="118"/>
      <c r="KVN10" s="118"/>
      <c r="KVO10" s="118"/>
      <c r="KVP10" s="118"/>
      <c r="KVQ10" s="118"/>
      <c r="KVR10" s="118"/>
      <c r="KVS10" s="118"/>
      <c r="KVT10" s="118"/>
      <c r="KVU10" s="118"/>
      <c r="KVV10" s="118"/>
      <c r="KVW10" s="118"/>
      <c r="KVX10" s="118"/>
      <c r="KVY10" s="118"/>
      <c r="KVZ10" s="118"/>
      <c r="KWA10" s="118"/>
      <c r="KWB10" s="118"/>
      <c r="KWC10" s="118"/>
      <c r="KWD10" s="118"/>
      <c r="KWE10" s="118"/>
      <c r="KWF10" s="118"/>
      <c r="KWG10" s="118"/>
      <c r="KWH10" s="118"/>
      <c r="KWI10" s="118"/>
      <c r="KWJ10" s="118"/>
      <c r="KWK10" s="118"/>
      <c r="KWL10" s="118"/>
      <c r="KWM10" s="118"/>
      <c r="KWN10" s="118"/>
      <c r="KWO10" s="118"/>
      <c r="KWP10" s="118"/>
      <c r="KWQ10" s="118"/>
      <c r="KWR10" s="118"/>
      <c r="KWS10" s="118"/>
      <c r="KWT10" s="118"/>
      <c r="KWU10" s="118"/>
      <c r="KWV10" s="118"/>
      <c r="KWW10" s="118"/>
      <c r="KWX10" s="118"/>
      <c r="KWY10" s="118"/>
      <c r="KWZ10" s="118"/>
      <c r="KXA10" s="118"/>
      <c r="KXB10" s="118"/>
      <c r="KXC10" s="118"/>
      <c r="KXD10" s="118"/>
      <c r="KXE10" s="118"/>
      <c r="KXF10" s="118"/>
      <c r="KXG10" s="118"/>
      <c r="KXH10" s="118"/>
      <c r="KXI10" s="118"/>
      <c r="KXJ10" s="118"/>
      <c r="KXK10" s="118"/>
      <c r="KXL10" s="118"/>
      <c r="KXM10" s="118"/>
      <c r="KXN10" s="118"/>
      <c r="KXO10" s="118"/>
      <c r="KXP10" s="118"/>
      <c r="KXQ10" s="118"/>
      <c r="KXR10" s="118"/>
      <c r="KXS10" s="118"/>
      <c r="KXT10" s="118"/>
      <c r="KXU10" s="118"/>
      <c r="KXV10" s="118"/>
      <c r="KXW10" s="118"/>
      <c r="KXX10" s="118"/>
      <c r="KXY10" s="118"/>
      <c r="KXZ10" s="118"/>
      <c r="KYA10" s="118"/>
      <c r="KYB10" s="118"/>
      <c r="KYC10" s="118"/>
      <c r="KYD10" s="118"/>
      <c r="KYE10" s="118"/>
      <c r="KYF10" s="118"/>
      <c r="KYG10" s="118"/>
      <c r="KYH10" s="118"/>
      <c r="KYI10" s="118"/>
      <c r="KYJ10" s="118"/>
      <c r="KYK10" s="118"/>
      <c r="KYL10" s="118"/>
      <c r="KYM10" s="118"/>
      <c r="KYN10" s="118"/>
      <c r="KYO10" s="118"/>
      <c r="KYP10" s="118"/>
      <c r="KYQ10" s="118"/>
      <c r="KYR10" s="118"/>
      <c r="KYS10" s="118"/>
      <c r="KYT10" s="118"/>
      <c r="KYU10" s="118"/>
      <c r="KYV10" s="118"/>
      <c r="KYW10" s="118"/>
      <c r="KYX10" s="118"/>
      <c r="KYY10" s="118"/>
      <c r="KYZ10" s="118"/>
      <c r="KZA10" s="118"/>
      <c r="KZB10" s="118"/>
      <c r="KZC10" s="118"/>
      <c r="KZD10" s="118"/>
      <c r="KZE10" s="118"/>
      <c r="KZF10" s="118"/>
      <c r="KZG10" s="118"/>
      <c r="KZH10" s="118"/>
      <c r="KZI10" s="118"/>
      <c r="KZJ10" s="118"/>
      <c r="KZK10" s="118"/>
      <c r="KZL10" s="118"/>
      <c r="KZM10" s="118"/>
      <c r="KZN10" s="118"/>
      <c r="KZO10" s="118"/>
      <c r="KZP10" s="118"/>
      <c r="KZQ10" s="118"/>
      <c r="KZR10" s="118"/>
      <c r="KZS10" s="118"/>
      <c r="KZT10" s="118"/>
      <c r="KZU10" s="118"/>
      <c r="KZV10" s="118"/>
      <c r="KZW10" s="118"/>
      <c r="KZX10" s="118"/>
      <c r="KZY10" s="118"/>
      <c r="KZZ10" s="118"/>
      <c r="LAA10" s="118"/>
      <c r="LAB10" s="118"/>
      <c r="LAC10" s="118"/>
      <c r="LAD10" s="118"/>
      <c r="LAE10" s="118"/>
      <c r="LAF10" s="118"/>
      <c r="LAG10" s="118"/>
      <c r="LAH10" s="118"/>
      <c r="LAI10" s="118"/>
      <c r="LAJ10" s="118"/>
      <c r="LAK10" s="118"/>
      <c r="LAL10" s="118"/>
      <c r="LAM10" s="118"/>
      <c r="LAN10" s="118"/>
      <c r="LAO10" s="118"/>
      <c r="LAP10" s="118"/>
      <c r="LAQ10" s="118"/>
      <c r="LAR10" s="118"/>
      <c r="LAS10" s="118"/>
      <c r="LAT10" s="118"/>
      <c r="LAU10" s="118"/>
      <c r="LAV10" s="118"/>
      <c r="LAW10" s="118"/>
      <c r="LAX10" s="118"/>
      <c r="LAY10" s="118"/>
      <c r="LAZ10" s="118"/>
      <c r="LBA10" s="118"/>
      <c r="LBB10" s="118"/>
      <c r="LBC10" s="118"/>
      <c r="LBD10" s="118"/>
      <c r="LBE10" s="118"/>
      <c r="LBF10" s="118"/>
      <c r="LBG10" s="118"/>
      <c r="LBH10" s="118"/>
      <c r="LBI10" s="118"/>
      <c r="LBJ10" s="118"/>
      <c r="LBK10" s="118"/>
      <c r="LBL10" s="118"/>
      <c r="LBM10" s="118"/>
      <c r="LBN10" s="118"/>
      <c r="LBO10" s="118"/>
      <c r="LBP10" s="118"/>
      <c r="LBQ10" s="118"/>
      <c r="LBR10" s="118"/>
      <c r="LBS10" s="118"/>
      <c r="LBT10" s="118"/>
      <c r="LBU10" s="118"/>
      <c r="LBV10" s="118"/>
      <c r="LBW10" s="118"/>
      <c r="LBX10" s="118"/>
      <c r="LBY10" s="118"/>
      <c r="LBZ10" s="118"/>
      <c r="LCA10" s="118"/>
      <c r="LCB10" s="118"/>
      <c r="LCC10" s="118"/>
      <c r="LCD10" s="118"/>
      <c r="LCE10" s="118"/>
      <c r="LCF10" s="118"/>
      <c r="LCG10" s="118"/>
      <c r="LCH10" s="118"/>
      <c r="LCI10" s="118"/>
      <c r="LCJ10" s="118"/>
      <c r="LCK10" s="118"/>
      <c r="LCL10" s="118"/>
      <c r="LCM10" s="118"/>
      <c r="LCN10" s="118"/>
      <c r="LCO10" s="118"/>
      <c r="LCP10" s="118"/>
      <c r="LCQ10" s="118"/>
      <c r="LCR10" s="118"/>
      <c r="LCS10" s="118"/>
      <c r="LCT10" s="118"/>
      <c r="LCU10" s="118"/>
      <c r="LCV10" s="118"/>
      <c r="LCW10" s="118"/>
      <c r="LCX10" s="118"/>
      <c r="LCY10" s="118"/>
      <c r="LCZ10" s="118"/>
      <c r="LDA10" s="118"/>
      <c r="LDB10" s="118"/>
      <c r="LDC10" s="118"/>
      <c r="LDD10" s="118"/>
      <c r="LDE10" s="118"/>
      <c r="LDF10" s="118"/>
      <c r="LDG10" s="118"/>
      <c r="LDH10" s="118"/>
      <c r="LDI10" s="118"/>
      <c r="LDJ10" s="118"/>
      <c r="LDK10" s="118"/>
      <c r="LDL10" s="118"/>
      <c r="LDM10" s="118"/>
      <c r="LDN10" s="118"/>
      <c r="LDO10" s="118"/>
      <c r="LDP10" s="118"/>
      <c r="LDQ10" s="118"/>
      <c r="LDR10" s="118"/>
      <c r="LDS10" s="118"/>
      <c r="LDT10" s="118"/>
      <c r="LDU10" s="118"/>
      <c r="LDV10" s="118"/>
      <c r="LDW10" s="118"/>
      <c r="LDX10" s="118"/>
      <c r="LDY10" s="118"/>
      <c r="LDZ10" s="118"/>
      <c r="LEA10" s="118"/>
      <c r="LEB10" s="118"/>
      <c r="LEC10" s="118"/>
      <c r="LED10" s="118"/>
      <c r="LEE10" s="118"/>
      <c r="LEF10" s="118"/>
      <c r="LEG10" s="118"/>
      <c r="LEH10" s="118"/>
      <c r="LEI10" s="118"/>
      <c r="LEJ10" s="118"/>
      <c r="LEK10" s="118"/>
      <c r="LEL10" s="118"/>
      <c r="LEM10" s="118"/>
      <c r="LEN10" s="118"/>
      <c r="LEO10" s="118"/>
      <c r="LEP10" s="118"/>
      <c r="LEQ10" s="118"/>
      <c r="LER10" s="118"/>
      <c r="LES10" s="118"/>
      <c r="LET10" s="118"/>
      <c r="LEU10" s="118"/>
      <c r="LEV10" s="118"/>
      <c r="LEW10" s="118"/>
      <c r="LEX10" s="118"/>
      <c r="LEY10" s="118"/>
      <c r="LEZ10" s="118"/>
      <c r="LFA10" s="118"/>
      <c r="LFB10" s="118"/>
      <c r="LFC10" s="118"/>
      <c r="LFD10" s="118"/>
      <c r="LFE10" s="118"/>
      <c r="LFF10" s="118"/>
      <c r="LFG10" s="118"/>
      <c r="LFH10" s="118"/>
      <c r="LFI10" s="118"/>
      <c r="LFJ10" s="118"/>
      <c r="LFK10" s="118"/>
      <c r="LFL10" s="118"/>
      <c r="LFM10" s="118"/>
      <c r="LFN10" s="118"/>
      <c r="LFO10" s="118"/>
      <c r="LFP10" s="118"/>
      <c r="LFQ10" s="118"/>
      <c r="LFR10" s="118"/>
      <c r="LFS10" s="118"/>
      <c r="LFT10" s="118"/>
      <c r="LFU10" s="118"/>
      <c r="LFV10" s="118"/>
      <c r="LFW10" s="118"/>
      <c r="LFX10" s="118"/>
      <c r="LFY10" s="118"/>
      <c r="LFZ10" s="118"/>
      <c r="LGA10" s="118"/>
      <c r="LGB10" s="118"/>
      <c r="LGC10" s="118"/>
      <c r="LGD10" s="118"/>
      <c r="LGE10" s="118"/>
      <c r="LGF10" s="118"/>
      <c r="LGG10" s="118"/>
      <c r="LGH10" s="118"/>
      <c r="LGI10" s="118"/>
      <c r="LGJ10" s="118"/>
      <c r="LGK10" s="118"/>
      <c r="LGL10" s="118"/>
      <c r="LGM10" s="118"/>
      <c r="LGN10" s="118"/>
      <c r="LGO10" s="118"/>
      <c r="LGP10" s="118"/>
      <c r="LGQ10" s="118"/>
      <c r="LGR10" s="118"/>
      <c r="LGS10" s="118"/>
      <c r="LGT10" s="118"/>
      <c r="LGU10" s="118"/>
      <c r="LGV10" s="118"/>
      <c r="LGW10" s="118"/>
      <c r="LGX10" s="118"/>
      <c r="LGY10" s="118"/>
      <c r="LGZ10" s="118"/>
      <c r="LHA10" s="118"/>
      <c r="LHB10" s="118"/>
      <c r="LHC10" s="118"/>
      <c r="LHD10" s="118"/>
      <c r="LHE10" s="118"/>
      <c r="LHF10" s="118"/>
      <c r="LHG10" s="118"/>
      <c r="LHH10" s="118"/>
      <c r="LHI10" s="118"/>
      <c r="LHJ10" s="118"/>
      <c r="LHK10" s="118"/>
      <c r="LHL10" s="118"/>
      <c r="LHM10" s="118"/>
      <c r="LHN10" s="118"/>
      <c r="LHO10" s="118"/>
      <c r="LHP10" s="118"/>
      <c r="LHQ10" s="118"/>
      <c r="LHR10" s="118"/>
      <c r="LHS10" s="118"/>
      <c r="LHT10" s="118"/>
      <c r="LHU10" s="118"/>
      <c r="LHV10" s="118"/>
      <c r="LHW10" s="118"/>
      <c r="LHX10" s="118"/>
      <c r="LHY10" s="118"/>
      <c r="LHZ10" s="118"/>
      <c r="LIA10" s="118"/>
      <c r="LIB10" s="118"/>
      <c r="LIC10" s="118"/>
      <c r="LID10" s="118"/>
      <c r="LIE10" s="118"/>
      <c r="LIF10" s="118"/>
      <c r="LIG10" s="118"/>
      <c r="LIH10" s="118"/>
      <c r="LII10" s="118"/>
      <c r="LIJ10" s="118"/>
      <c r="LIK10" s="118"/>
      <c r="LIL10" s="118"/>
      <c r="LIM10" s="118"/>
      <c r="LIN10" s="118"/>
      <c r="LIO10" s="118"/>
      <c r="LIP10" s="118"/>
      <c r="LIQ10" s="118"/>
      <c r="LIR10" s="118"/>
      <c r="LIS10" s="118"/>
      <c r="LIT10" s="118"/>
      <c r="LIU10" s="118"/>
      <c r="LIV10" s="118"/>
      <c r="LIW10" s="118"/>
      <c r="LIX10" s="118"/>
      <c r="LIY10" s="118"/>
      <c r="LIZ10" s="118"/>
      <c r="LJA10" s="118"/>
      <c r="LJB10" s="118"/>
      <c r="LJC10" s="118"/>
      <c r="LJD10" s="118"/>
      <c r="LJE10" s="118"/>
      <c r="LJF10" s="118"/>
      <c r="LJG10" s="118"/>
      <c r="LJH10" s="118"/>
      <c r="LJI10" s="118"/>
      <c r="LJJ10" s="118"/>
      <c r="LJK10" s="118"/>
      <c r="LJL10" s="118"/>
      <c r="LJM10" s="118"/>
      <c r="LJN10" s="118"/>
      <c r="LJO10" s="118"/>
      <c r="LJP10" s="118"/>
      <c r="LJQ10" s="118"/>
      <c r="LJR10" s="118"/>
      <c r="LJS10" s="118"/>
      <c r="LJT10" s="118"/>
      <c r="LJU10" s="118"/>
      <c r="LJV10" s="118"/>
      <c r="LJW10" s="118"/>
      <c r="LJX10" s="118"/>
      <c r="LJY10" s="118"/>
      <c r="LJZ10" s="118"/>
      <c r="LKA10" s="118"/>
      <c r="LKB10" s="118"/>
      <c r="LKC10" s="118"/>
      <c r="LKD10" s="118"/>
      <c r="LKE10" s="118"/>
      <c r="LKF10" s="118"/>
      <c r="LKG10" s="118"/>
      <c r="LKH10" s="118"/>
      <c r="LKI10" s="118"/>
      <c r="LKJ10" s="118"/>
      <c r="LKK10" s="118"/>
      <c r="LKL10" s="118"/>
      <c r="LKM10" s="118"/>
      <c r="LKN10" s="118"/>
      <c r="LKO10" s="118"/>
      <c r="LKP10" s="118"/>
      <c r="LKQ10" s="118"/>
      <c r="LKR10" s="118"/>
      <c r="LKS10" s="118"/>
      <c r="LKT10" s="118"/>
      <c r="LKU10" s="118"/>
      <c r="LKV10" s="118"/>
      <c r="LKW10" s="118"/>
      <c r="LKX10" s="118"/>
      <c r="LKY10" s="118"/>
      <c r="LKZ10" s="118"/>
      <c r="LLA10" s="118"/>
      <c r="LLB10" s="118"/>
      <c r="LLC10" s="118"/>
      <c r="LLD10" s="118"/>
      <c r="LLE10" s="118"/>
      <c r="LLF10" s="118"/>
      <c r="LLG10" s="118"/>
      <c r="LLH10" s="118"/>
      <c r="LLI10" s="118"/>
      <c r="LLJ10" s="118"/>
      <c r="LLK10" s="118"/>
      <c r="LLL10" s="118"/>
      <c r="LLM10" s="118"/>
      <c r="LLN10" s="118"/>
      <c r="LLO10" s="118"/>
      <c r="LLP10" s="118"/>
      <c r="LLQ10" s="118"/>
      <c r="LLR10" s="118"/>
      <c r="LLS10" s="118"/>
      <c r="LLT10" s="118"/>
      <c r="LLU10" s="118"/>
      <c r="LLV10" s="118"/>
      <c r="LLW10" s="118"/>
      <c r="LLX10" s="118"/>
      <c r="LLY10" s="118"/>
      <c r="LLZ10" s="118"/>
      <c r="LMA10" s="118"/>
      <c r="LMB10" s="118"/>
      <c r="LMC10" s="118"/>
      <c r="LMD10" s="118"/>
      <c r="LME10" s="118"/>
      <c r="LMF10" s="118"/>
      <c r="LMG10" s="118"/>
      <c r="LMH10" s="118"/>
      <c r="LMI10" s="118"/>
      <c r="LMJ10" s="118"/>
      <c r="LMK10" s="118"/>
      <c r="LML10" s="118"/>
      <c r="LMM10" s="118"/>
      <c r="LMN10" s="118"/>
      <c r="LMO10" s="118"/>
      <c r="LMP10" s="118"/>
      <c r="LMQ10" s="118"/>
      <c r="LMR10" s="118"/>
      <c r="LMS10" s="118"/>
      <c r="LMT10" s="118"/>
      <c r="LMU10" s="118"/>
      <c r="LMV10" s="118"/>
      <c r="LMW10" s="118"/>
      <c r="LMX10" s="118"/>
      <c r="LMY10" s="118"/>
      <c r="LMZ10" s="118"/>
      <c r="LNA10" s="118"/>
      <c r="LNB10" s="118"/>
      <c r="LNC10" s="118"/>
      <c r="LND10" s="118"/>
      <c r="LNE10" s="118"/>
      <c r="LNF10" s="118"/>
      <c r="LNG10" s="118"/>
      <c r="LNH10" s="118"/>
      <c r="LNI10" s="118"/>
      <c r="LNJ10" s="118"/>
      <c r="LNK10" s="118"/>
      <c r="LNL10" s="118"/>
      <c r="LNM10" s="118"/>
      <c r="LNN10" s="118"/>
      <c r="LNO10" s="118"/>
      <c r="LNP10" s="118"/>
      <c r="LNQ10" s="118"/>
      <c r="LNR10" s="118"/>
      <c r="LNS10" s="118"/>
      <c r="LNT10" s="118"/>
      <c r="LNU10" s="118"/>
      <c r="LNV10" s="118"/>
      <c r="LNW10" s="118"/>
      <c r="LNX10" s="118"/>
      <c r="LNY10" s="118"/>
      <c r="LNZ10" s="118"/>
      <c r="LOA10" s="118"/>
      <c r="LOB10" s="118"/>
      <c r="LOC10" s="118"/>
      <c r="LOD10" s="118"/>
      <c r="LOE10" s="118"/>
      <c r="LOF10" s="118"/>
      <c r="LOG10" s="118"/>
      <c r="LOH10" s="118"/>
      <c r="LOI10" s="118"/>
      <c r="LOJ10" s="118"/>
      <c r="LOK10" s="118"/>
      <c r="LOL10" s="118"/>
      <c r="LOM10" s="118"/>
      <c r="LON10" s="118"/>
      <c r="LOO10" s="118"/>
      <c r="LOP10" s="118"/>
      <c r="LOQ10" s="118"/>
      <c r="LOR10" s="118"/>
      <c r="LOS10" s="118"/>
      <c r="LOT10" s="118"/>
      <c r="LOU10" s="118"/>
      <c r="LOV10" s="118"/>
      <c r="LOW10" s="118"/>
      <c r="LOX10" s="118"/>
      <c r="LOY10" s="118"/>
      <c r="LOZ10" s="118"/>
      <c r="LPA10" s="118"/>
      <c r="LPB10" s="118"/>
      <c r="LPC10" s="118"/>
      <c r="LPD10" s="118"/>
      <c r="LPE10" s="118"/>
      <c r="LPF10" s="118"/>
      <c r="LPG10" s="118"/>
      <c r="LPH10" s="118"/>
      <c r="LPI10" s="118"/>
      <c r="LPJ10" s="118"/>
      <c r="LPK10" s="118"/>
      <c r="LPL10" s="118"/>
      <c r="LPM10" s="118"/>
      <c r="LPN10" s="118"/>
      <c r="LPO10" s="118"/>
      <c r="LPP10" s="118"/>
      <c r="LPQ10" s="118"/>
      <c r="LPR10" s="118"/>
      <c r="LPS10" s="118"/>
      <c r="LPT10" s="118"/>
      <c r="LPU10" s="118"/>
      <c r="LPV10" s="118"/>
      <c r="LPW10" s="118"/>
      <c r="LPX10" s="118"/>
      <c r="LPY10" s="118"/>
      <c r="LPZ10" s="118"/>
      <c r="LQA10" s="118"/>
      <c r="LQB10" s="118"/>
      <c r="LQC10" s="118"/>
      <c r="LQD10" s="118"/>
      <c r="LQE10" s="118"/>
      <c r="LQF10" s="118"/>
      <c r="LQG10" s="118"/>
      <c r="LQH10" s="118"/>
      <c r="LQI10" s="118"/>
      <c r="LQJ10" s="118"/>
      <c r="LQK10" s="118"/>
      <c r="LQL10" s="118"/>
      <c r="LQM10" s="118"/>
      <c r="LQN10" s="118"/>
      <c r="LQO10" s="118"/>
      <c r="LQP10" s="118"/>
      <c r="LQQ10" s="118"/>
      <c r="LQR10" s="118"/>
      <c r="LQS10" s="118"/>
      <c r="LQT10" s="118"/>
      <c r="LQU10" s="118"/>
      <c r="LQV10" s="118"/>
      <c r="LQW10" s="118"/>
      <c r="LQX10" s="118"/>
      <c r="LQY10" s="118"/>
      <c r="LQZ10" s="118"/>
      <c r="LRA10" s="118"/>
      <c r="LRB10" s="118"/>
      <c r="LRC10" s="118"/>
      <c r="LRD10" s="118"/>
      <c r="LRE10" s="118"/>
      <c r="LRF10" s="118"/>
      <c r="LRG10" s="118"/>
      <c r="LRH10" s="118"/>
      <c r="LRI10" s="118"/>
      <c r="LRJ10" s="118"/>
      <c r="LRK10" s="118"/>
      <c r="LRL10" s="118"/>
      <c r="LRM10" s="118"/>
      <c r="LRN10" s="118"/>
      <c r="LRO10" s="118"/>
      <c r="LRP10" s="118"/>
      <c r="LRQ10" s="118"/>
      <c r="LRR10" s="118"/>
      <c r="LRS10" s="118"/>
      <c r="LRT10" s="118"/>
      <c r="LRU10" s="118"/>
      <c r="LRV10" s="118"/>
      <c r="LRW10" s="118"/>
      <c r="LRX10" s="118"/>
      <c r="LRY10" s="118"/>
      <c r="LRZ10" s="118"/>
      <c r="LSA10" s="118"/>
      <c r="LSB10" s="118"/>
      <c r="LSC10" s="118"/>
      <c r="LSD10" s="118"/>
      <c r="LSE10" s="118"/>
      <c r="LSF10" s="118"/>
      <c r="LSG10" s="118"/>
      <c r="LSH10" s="118"/>
      <c r="LSI10" s="118"/>
      <c r="LSJ10" s="118"/>
      <c r="LSK10" s="118"/>
      <c r="LSL10" s="118"/>
      <c r="LSM10" s="118"/>
      <c r="LSN10" s="118"/>
      <c r="LSO10" s="118"/>
      <c r="LSP10" s="118"/>
      <c r="LSQ10" s="118"/>
      <c r="LSR10" s="118"/>
      <c r="LSS10" s="118"/>
      <c r="LST10" s="118"/>
      <c r="LSU10" s="118"/>
      <c r="LSV10" s="118"/>
      <c r="LSW10" s="118"/>
      <c r="LSX10" s="118"/>
      <c r="LSY10" s="118"/>
      <c r="LSZ10" s="118"/>
      <c r="LTA10" s="118"/>
      <c r="LTB10" s="118"/>
      <c r="LTC10" s="118"/>
      <c r="LTD10" s="118"/>
      <c r="LTE10" s="118"/>
      <c r="LTF10" s="118"/>
      <c r="LTG10" s="118"/>
      <c r="LTH10" s="118"/>
      <c r="LTI10" s="118"/>
      <c r="LTJ10" s="118"/>
      <c r="LTK10" s="118"/>
      <c r="LTL10" s="118"/>
      <c r="LTM10" s="118"/>
      <c r="LTN10" s="118"/>
      <c r="LTO10" s="118"/>
      <c r="LTP10" s="118"/>
      <c r="LTQ10" s="118"/>
      <c r="LTR10" s="118"/>
      <c r="LTS10" s="118"/>
      <c r="LTT10" s="118"/>
      <c r="LTU10" s="118"/>
      <c r="LTV10" s="118"/>
      <c r="LTW10" s="118"/>
      <c r="LTX10" s="118"/>
      <c r="LTY10" s="118"/>
      <c r="LTZ10" s="118"/>
      <c r="LUA10" s="118"/>
      <c r="LUB10" s="118"/>
      <c r="LUC10" s="118"/>
      <c r="LUD10" s="118"/>
      <c r="LUE10" s="118"/>
      <c r="LUF10" s="118"/>
      <c r="LUG10" s="118"/>
      <c r="LUH10" s="118"/>
      <c r="LUI10" s="118"/>
      <c r="LUJ10" s="118"/>
      <c r="LUK10" s="118"/>
      <c r="LUL10" s="118"/>
      <c r="LUM10" s="118"/>
      <c r="LUN10" s="118"/>
      <c r="LUO10" s="118"/>
      <c r="LUP10" s="118"/>
      <c r="LUQ10" s="118"/>
      <c r="LUR10" s="118"/>
      <c r="LUS10" s="118"/>
      <c r="LUT10" s="118"/>
      <c r="LUU10" s="118"/>
      <c r="LUV10" s="118"/>
      <c r="LUW10" s="118"/>
      <c r="LUX10" s="118"/>
      <c r="LUY10" s="118"/>
      <c r="LUZ10" s="118"/>
      <c r="LVA10" s="118"/>
      <c r="LVB10" s="118"/>
      <c r="LVC10" s="118"/>
      <c r="LVD10" s="118"/>
      <c r="LVE10" s="118"/>
      <c r="LVF10" s="118"/>
      <c r="LVG10" s="118"/>
      <c r="LVH10" s="118"/>
      <c r="LVI10" s="118"/>
      <c r="LVJ10" s="118"/>
      <c r="LVK10" s="118"/>
      <c r="LVL10" s="118"/>
      <c r="LVM10" s="118"/>
      <c r="LVN10" s="118"/>
      <c r="LVO10" s="118"/>
      <c r="LVP10" s="118"/>
      <c r="LVQ10" s="118"/>
      <c r="LVR10" s="118"/>
      <c r="LVS10" s="118"/>
      <c r="LVT10" s="118"/>
      <c r="LVU10" s="118"/>
      <c r="LVV10" s="118"/>
      <c r="LVW10" s="118"/>
      <c r="LVX10" s="118"/>
      <c r="LVY10" s="118"/>
      <c r="LVZ10" s="118"/>
      <c r="LWA10" s="118"/>
      <c r="LWB10" s="118"/>
      <c r="LWC10" s="118"/>
      <c r="LWD10" s="118"/>
      <c r="LWE10" s="118"/>
      <c r="LWF10" s="118"/>
      <c r="LWG10" s="118"/>
      <c r="LWH10" s="118"/>
      <c r="LWI10" s="118"/>
      <c r="LWJ10" s="118"/>
      <c r="LWK10" s="118"/>
      <c r="LWL10" s="118"/>
      <c r="LWM10" s="118"/>
      <c r="LWN10" s="118"/>
      <c r="LWO10" s="118"/>
      <c r="LWP10" s="118"/>
      <c r="LWQ10" s="118"/>
      <c r="LWR10" s="118"/>
      <c r="LWS10" s="118"/>
      <c r="LWT10" s="118"/>
      <c r="LWU10" s="118"/>
      <c r="LWV10" s="118"/>
      <c r="LWW10" s="118"/>
      <c r="LWX10" s="118"/>
      <c r="LWY10" s="118"/>
      <c r="LWZ10" s="118"/>
      <c r="LXA10" s="118"/>
      <c r="LXB10" s="118"/>
      <c r="LXC10" s="118"/>
      <c r="LXD10" s="118"/>
      <c r="LXE10" s="118"/>
      <c r="LXF10" s="118"/>
      <c r="LXG10" s="118"/>
      <c r="LXH10" s="118"/>
      <c r="LXI10" s="118"/>
      <c r="LXJ10" s="118"/>
      <c r="LXK10" s="118"/>
      <c r="LXL10" s="118"/>
      <c r="LXM10" s="118"/>
      <c r="LXN10" s="118"/>
      <c r="LXO10" s="118"/>
      <c r="LXP10" s="118"/>
      <c r="LXQ10" s="118"/>
      <c r="LXR10" s="118"/>
      <c r="LXS10" s="118"/>
      <c r="LXT10" s="118"/>
      <c r="LXU10" s="118"/>
      <c r="LXV10" s="118"/>
      <c r="LXW10" s="118"/>
      <c r="LXX10" s="118"/>
      <c r="LXY10" s="118"/>
      <c r="LXZ10" s="118"/>
      <c r="LYA10" s="118"/>
      <c r="LYB10" s="118"/>
      <c r="LYC10" s="118"/>
      <c r="LYD10" s="118"/>
      <c r="LYE10" s="118"/>
      <c r="LYF10" s="118"/>
      <c r="LYG10" s="118"/>
      <c r="LYH10" s="118"/>
      <c r="LYI10" s="118"/>
      <c r="LYJ10" s="118"/>
      <c r="LYK10" s="118"/>
      <c r="LYL10" s="118"/>
      <c r="LYM10" s="118"/>
      <c r="LYN10" s="118"/>
      <c r="LYO10" s="118"/>
      <c r="LYP10" s="118"/>
      <c r="LYQ10" s="118"/>
      <c r="LYR10" s="118"/>
      <c r="LYS10" s="118"/>
      <c r="LYT10" s="118"/>
      <c r="LYU10" s="118"/>
      <c r="LYV10" s="118"/>
      <c r="LYW10" s="118"/>
      <c r="LYX10" s="118"/>
      <c r="LYY10" s="118"/>
      <c r="LYZ10" s="118"/>
      <c r="LZA10" s="118"/>
      <c r="LZB10" s="118"/>
      <c r="LZC10" s="118"/>
      <c r="LZD10" s="118"/>
      <c r="LZE10" s="118"/>
      <c r="LZF10" s="118"/>
      <c r="LZG10" s="118"/>
      <c r="LZH10" s="118"/>
      <c r="LZI10" s="118"/>
      <c r="LZJ10" s="118"/>
      <c r="LZK10" s="118"/>
      <c r="LZL10" s="118"/>
      <c r="LZM10" s="118"/>
      <c r="LZN10" s="118"/>
      <c r="LZO10" s="118"/>
      <c r="LZP10" s="118"/>
      <c r="LZQ10" s="118"/>
      <c r="LZR10" s="118"/>
      <c r="LZS10" s="118"/>
      <c r="LZT10" s="118"/>
      <c r="LZU10" s="118"/>
      <c r="LZV10" s="118"/>
      <c r="LZW10" s="118"/>
      <c r="LZX10" s="118"/>
      <c r="LZY10" s="118"/>
      <c r="LZZ10" s="118"/>
      <c r="MAA10" s="118"/>
      <c r="MAB10" s="118"/>
      <c r="MAC10" s="118"/>
      <c r="MAD10" s="118"/>
      <c r="MAE10" s="118"/>
      <c r="MAF10" s="118"/>
      <c r="MAG10" s="118"/>
      <c r="MAH10" s="118"/>
      <c r="MAI10" s="118"/>
      <c r="MAJ10" s="118"/>
      <c r="MAK10" s="118"/>
      <c r="MAL10" s="118"/>
      <c r="MAM10" s="118"/>
      <c r="MAN10" s="118"/>
      <c r="MAO10" s="118"/>
      <c r="MAP10" s="118"/>
      <c r="MAQ10" s="118"/>
      <c r="MAR10" s="118"/>
      <c r="MAS10" s="118"/>
      <c r="MAT10" s="118"/>
      <c r="MAU10" s="118"/>
      <c r="MAV10" s="118"/>
      <c r="MAW10" s="118"/>
      <c r="MAX10" s="118"/>
      <c r="MAY10" s="118"/>
      <c r="MAZ10" s="118"/>
      <c r="MBA10" s="118"/>
      <c r="MBB10" s="118"/>
      <c r="MBC10" s="118"/>
      <c r="MBD10" s="118"/>
      <c r="MBE10" s="118"/>
      <c r="MBF10" s="118"/>
      <c r="MBG10" s="118"/>
      <c r="MBH10" s="118"/>
      <c r="MBI10" s="118"/>
      <c r="MBJ10" s="118"/>
      <c r="MBK10" s="118"/>
      <c r="MBL10" s="118"/>
      <c r="MBM10" s="118"/>
      <c r="MBN10" s="118"/>
      <c r="MBO10" s="118"/>
      <c r="MBP10" s="118"/>
      <c r="MBQ10" s="118"/>
      <c r="MBR10" s="118"/>
      <c r="MBS10" s="118"/>
      <c r="MBT10" s="118"/>
      <c r="MBU10" s="118"/>
      <c r="MBV10" s="118"/>
      <c r="MBW10" s="118"/>
      <c r="MBX10" s="118"/>
      <c r="MBY10" s="118"/>
      <c r="MBZ10" s="118"/>
      <c r="MCA10" s="118"/>
      <c r="MCB10" s="118"/>
      <c r="MCC10" s="118"/>
      <c r="MCD10" s="118"/>
      <c r="MCE10" s="118"/>
      <c r="MCF10" s="118"/>
      <c r="MCG10" s="118"/>
      <c r="MCH10" s="118"/>
      <c r="MCI10" s="118"/>
      <c r="MCJ10" s="118"/>
      <c r="MCK10" s="118"/>
      <c r="MCL10" s="118"/>
      <c r="MCM10" s="118"/>
      <c r="MCN10" s="118"/>
      <c r="MCO10" s="118"/>
      <c r="MCP10" s="118"/>
      <c r="MCQ10" s="118"/>
      <c r="MCR10" s="118"/>
      <c r="MCS10" s="118"/>
      <c r="MCT10" s="118"/>
      <c r="MCU10" s="118"/>
      <c r="MCV10" s="118"/>
      <c r="MCW10" s="118"/>
      <c r="MCX10" s="118"/>
      <c r="MCY10" s="118"/>
      <c r="MCZ10" s="118"/>
      <c r="MDA10" s="118"/>
      <c r="MDB10" s="118"/>
      <c r="MDC10" s="118"/>
      <c r="MDD10" s="118"/>
      <c r="MDE10" s="118"/>
      <c r="MDF10" s="118"/>
      <c r="MDG10" s="118"/>
      <c r="MDH10" s="118"/>
      <c r="MDI10" s="118"/>
      <c r="MDJ10" s="118"/>
      <c r="MDK10" s="118"/>
      <c r="MDL10" s="118"/>
      <c r="MDM10" s="118"/>
      <c r="MDN10" s="118"/>
      <c r="MDO10" s="118"/>
      <c r="MDP10" s="118"/>
      <c r="MDQ10" s="118"/>
      <c r="MDR10" s="118"/>
      <c r="MDS10" s="118"/>
      <c r="MDT10" s="118"/>
      <c r="MDU10" s="118"/>
      <c r="MDV10" s="118"/>
      <c r="MDW10" s="118"/>
      <c r="MDX10" s="118"/>
      <c r="MDY10" s="118"/>
      <c r="MDZ10" s="118"/>
      <c r="MEA10" s="118"/>
      <c r="MEB10" s="118"/>
      <c r="MEC10" s="118"/>
      <c r="MED10" s="118"/>
      <c r="MEE10" s="118"/>
      <c r="MEF10" s="118"/>
      <c r="MEG10" s="118"/>
      <c r="MEH10" s="118"/>
      <c r="MEI10" s="118"/>
      <c r="MEJ10" s="118"/>
      <c r="MEK10" s="118"/>
      <c r="MEL10" s="118"/>
      <c r="MEM10" s="118"/>
      <c r="MEN10" s="118"/>
      <c r="MEO10" s="118"/>
      <c r="MEP10" s="118"/>
      <c r="MEQ10" s="118"/>
      <c r="MER10" s="118"/>
      <c r="MES10" s="118"/>
      <c r="MET10" s="118"/>
      <c r="MEU10" s="118"/>
      <c r="MEV10" s="118"/>
      <c r="MEW10" s="118"/>
      <c r="MEX10" s="118"/>
      <c r="MEY10" s="118"/>
      <c r="MEZ10" s="118"/>
      <c r="MFA10" s="118"/>
      <c r="MFB10" s="118"/>
      <c r="MFC10" s="118"/>
      <c r="MFD10" s="118"/>
      <c r="MFE10" s="118"/>
      <c r="MFF10" s="118"/>
      <c r="MFG10" s="118"/>
      <c r="MFH10" s="118"/>
      <c r="MFI10" s="118"/>
      <c r="MFJ10" s="118"/>
      <c r="MFK10" s="118"/>
      <c r="MFL10" s="118"/>
      <c r="MFM10" s="118"/>
      <c r="MFN10" s="118"/>
      <c r="MFO10" s="118"/>
      <c r="MFP10" s="118"/>
      <c r="MFQ10" s="118"/>
      <c r="MFR10" s="118"/>
      <c r="MFS10" s="118"/>
      <c r="MFT10" s="118"/>
      <c r="MFU10" s="118"/>
      <c r="MFV10" s="118"/>
      <c r="MFW10" s="118"/>
      <c r="MFX10" s="118"/>
      <c r="MFY10" s="118"/>
      <c r="MFZ10" s="118"/>
      <c r="MGA10" s="118"/>
      <c r="MGB10" s="118"/>
      <c r="MGC10" s="118"/>
      <c r="MGD10" s="118"/>
      <c r="MGE10" s="118"/>
      <c r="MGF10" s="118"/>
      <c r="MGG10" s="118"/>
      <c r="MGH10" s="118"/>
      <c r="MGI10" s="118"/>
      <c r="MGJ10" s="118"/>
      <c r="MGK10" s="118"/>
      <c r="MGL10" s="118"/>
      <c r="MGM10" s="118"/>
      <c r="MGN10" s="118"/>
      <c r="MGO10" s="118"/>
      <c r="MGP10" s="118"/>
      <c r="MGQ10" s="118"/>
      <c r="MGR10" s="118"/>
      <c r="MGS10" s="118"/>
      <c r="MGT10" s="118"/>
      <c r="MGU10" s="118"/>
      <c r="MGV10" s="118"/>
      <c r="MGW10" s="118"/>
      <c r="MGX10" s="118"/>
      <c r="MGY10" s="118"/>
      <c r="MGZ10" s="118"/>
      <c r="MHA10" s="118"/>
      <c r="MHB10" s="118"/>
      <c r="MHC10" s="118"/>
      <c r="MHD10" s="118"/>
      <c r="MHE10" s="118"/>
      <c r="MHF10" s="118"/>
      <c r="MHG10" s="118"/>
      <c r="MHH10" s="118"/>
      <c r="MHI10" s="118"/>
      <c r="MHJ10" s="118"/>
      <c r="MHK10" s="118"/>
      <c r="MHL10" s="118"/>
      <c r="MHM10" s="118"/>
      <c r="MHN10" s="118"/>
      <c r="MHO10" s="118"/>
      <c r="MHP10" s="118"/>
      <c r="MHQ10" s="118"/>
      <c r="MHR10" s="118"/>
      <c r="MHS10" s="118"/>
      <c r="MHT10" s="118"/>
      <c r="MHU10" s="118"/>
      <c r="MHV10" s="118"/>
      <c r="MHW10" s="118"/>
      <c r="MHX10" s="118"/>
      <c r="MHY10" s="118"/>
      <c r="MHZ10" s="118"/>
      <c r="MIA10" s="118"/>
      <c r="MIB10" s="118"/>
      <c r="MIC10" s="118"/>
      <c r="MID10" s="118"/>
      <c r="MIE10" s="118"/>
      <c r="MIF10" s="118"/>
      <c r="MIG10" s="118"/>
      <c r="MIH10" s="118"/>
      <c r="MII10" s="118"/>
      <c r="MIJ10" s="118"/>
      <c r="MIK10" s="118"/>
      <c r="MIL10" s="118"/>
      <c r="MIM10" s="118"/>
      <c r="MIN10" s="118"/>
      <c r="MIO10" s="118"/>
      <c r="MIP10" s="118"/>
      <c r="MIQ10" s="118"/>
      <c r="MIR10" s="118"/>
      <c r="MIS10" s="118"/>
      <c r="MIT10" s="118"/>
      <c r="MIU10" s="118"/>
      <c r="MIV10" s="118"/>
      <c r="MIW10" s="118"/>
      <c r="MIX10" s="118"/>
      <c r="MIY10" s="118"/>
      <c r="MIZ10" s="118"/>
      <c r="MJA10" s="118"/>
      <c r="MJB10" s="118"/>
      <c r="MJC10" s="118"/>
      <c r="MJD10" s="118"/>
      <c r="MJE10" s="118"/>
      <c r="MJF10" s="118"/>
      <c r="MJG10" s="118"/>
      <c r="MJH10" s="118"/>
      <c r="MJI10" s="118"/>
      <c r="MJJ10" s="118"/>
      <c r="MJK10" s="118"/>
      <c r="MJL10" s="118"/>
      <c r="MJM10" s="118"/>
      <c r="MJN10" s="118"/>
      <c r="MJO10" s="118"/>
      <c r="MJP10" s="118"/>
      <c r="MJQ10" s="118"/>
      <c r="MJR10" s="118"/>
      <c r="MJS10" s="118"/>
      <c r="MJT10" s="118"/>
      <c r="MJU10" s="118"/>
      <c r="MJV10" s="118"/>
      <c r="MJW10" s="118"/>
      <c r="MJX10" s="118"/>
      <c r="MJY10" s="118"/>
      <c r="MJZ10" s="118"/>
      <c r="MKA10" s="118"/>
      <c r="MKB10" s="118"/>
      <c r="MKC10" s="118"/>
      <c r="MKD10" s="118"/>
      <c r="MKE10" s="118"/>
      <c r="MKF10" s="118"/>
      <c r="MKG10" s="118"/>
      <c r="MKH10" s="118"/>
      <c r="MKI10" s="118"/>
      <c r="MKJ10" s="118"/>
      <c r="MKK10" s="118"/>
      <c r="MKL10" s="118"/>
      <c r="MKM10" s="118"/>
      <c r="MKN10" s="118"/>
      <c r="MKO10" s="118"/>
      <c r="MKP10" s="118"/>
      <c r="MKQ10" s="118"/>
      <c r="MKR10" s="118"/>
      <c r="MKS10" s="118"/>
      <c r="MKT10" s="118"/>
      <c r="MKU10" s="118"/>
      <c r="MKV10" s="118"/>
      <c r="MKW10" s="118"/>
      <c r="MKX10" s="118"/>
      <c r="MKY10" s="118"/>
      <c r="MKZ10" s="118"/>
      <c r="MLA10" s="118"/>
      <c r="MLB10" s="118"/>
      <c r="MLC10" s="118"/>
      <c r="MLD10" s="118"/>
      <c r="MLE10" s="118"/>
      <c r="MLF10" s="118"/>
      <c r="MLG10" s="118"/>
      <c r="MLH10" s="118"/>
      <c r="MLI10" s="118"/>
      <c r="MLJ10" s="118"/>
      <c r="MLK10" s="118"/>
      <c r="MLL10" s="118"/>
      <c r="MLM10" s="118"/>
      <c r="MLN10" s="118"/>
      <c r="MLO10" s="118"/>
      <c r="MLP10" s="118"/>
      <c r="MLQ10" s="118"/>
      <c r="MLR10" s="118"/>
      <c r="MLS10" s="118"/>
      <c r="MLT10" s="118"/>
      <c r="MLU10" s="118"/>
      <c r="MLV10" s="118"/>
      <c r="MLW10" s="118"/>
      <c r="MLX10" s="118"/>
      <c r="MLY10" s="118"/>
      <c r="MLZ10" s="118"/>
      <c r="MMA10" s="118"/>
      <c r="MMB10" s="118"/>
      <c r="MMC10" s="118"/>
      <c r="MMD10" s="118"/>
      <c r="MME10" s="118"/>
      <c r="MMF10" s="118"/>
      <c r="MMG10" s="118"/>
      <c r="MMH10" s="118"/>
      <c r="MMI10" s="118"/>
      <c r="MMJ10" s="118"/>
      <c r="MMK10" s="118"/>
      <c r="MML10" s="118"/>
      <c r="MMM10" s="118"/>
      <c r="MMN10" s="118"/>
      <c r="MMO10" s="118"/>
      <c r="MMP10" s="118"/>
      <c r="MMQ10" s="118"/>
      <c r="MMR10" s="118"/>
      <c r="MMS10" s="118"/>
      <c r="MMT10" s="118"/>
      <c r="MMU10" s="118"/>
      <c r="MMV10" s="118"/>
      <c r="MMW10" s="118"/>
      <c r="MMX10" s="118"/>
      <c r="MMY10" s="118"/>
      <c r="MMZ10" s="118"/>
      <c r="MNA10" s="118"/>
      <c r="MNB10" s="118"/>
      <c r="MNC10" s="118"/>
      <c r="MND10" s="118"/>
      <c r="MNE10" s="118"/>
      <c r="MNF10" s="118"/>
      <c r="MNG10" s="118"/>
      <c r="MNH10" s="118"/>
      <c r="MNI10" s="118"/>
      <c r="MNJ10" s="118"/>
      <c r="MNK10" s="118"/>
      <c r="MNL10" s="118"/>
      <c r="MNM10" s="118"/>
      <c r="MNN10" s="118"/>
      <c r="MNO10" s="118"/>
      <c r="MNP10" s="118"/>
      <c r="MNQ10" s="118"/>
      <c r="MNR10" s="118"/>
      <c r="MNS10" s="118"/>
      <c r="MNT10" s="118"/>
      <c r="MNU10" s="118"/>
      <c r="MNV10" s="118"/>
      <c r="MNW10" s="118"/>
      <c r="MNX10" s="118"/>
      <c r="MNY10" s="118"/>
      <c r="MNZ10" s="118"/>
      <c r="MOA10" s="118"/>
      <c r="MOB10" s="118"/>
      <c r="MOC10" s="118"/>
      <c r="MOD10" s="118"/>
      <c r="MOE10" s="118"/>
      <c r="MOF10" s="118"/>
      <c r="MOG10" s="118"/>
      <c r="MOH10" s="118"/>
      <c r="MOI10" s="118"/>
      <c r="MOJ10" s="118"/>
      <c r="MOK10" s="118"/>
      <c r="MOL10" s="118"/>
      <c r="MOM10" s="118"/>
      <c r="MON10" s="118"/>
      <c r="MOO10" s="118"/>
      <c r="MOP10" s="118"/>
      <c r="MOQ10" s="118"/>
      <c r="MOR10" s="118"/>
      <c r="MOS10" s="118"/>
      <c r="MOT10" s="118"/>
      <c r="MOU10" s="118"/>
      <c r="MOV10" s="118"/>
      <c r="MOW10" s="118"/>
      <c r="MOX10" s="118"/>
      <c r="MOY10" s="118"/>
      <c r="MOZ10" s="118"/>
      <c r="MPA10" s="118"/>
      <c r="MPB10" s="118"/>
      <c r="MPC10" s="118"/>
      <c r="MPD10" s="118"/>
      <c r="MPE10" s="118"/>
      <c r="MPF10" s="118"/>
      <c r="MPG10" s="118"/>
      <c r="MPH10" s="118"/>
      <c r="MPI10" s="118"/>
      <c r="MPJ10" s="118"/>
      <c r="MPK10" s="118"/>
      <c r="MPL10" s="118"/>
      <c r="MPM10" s="118"/>
      <c r="MPN10" s="118"/>
      <c r="MPO10" s="118"/>
      <c r="MPP10" s="118"/>
      <c r="MPQ10" s="118"/>
      <c r="MPR10" s="118"/>
      <c r="MPS10" s="118"/>
      <c r="MPT10" s="118"/>
      <c r="MPU10" s="118"/>
      <c r="MPV10" s="118"/>
      <c r="MPW10" s="118"/>
      <c r="MPX10" s="118"/>
      <c r="MPY10" s="118"/>
      <c r="MPZ10" s="118"/>
      <c r="MQA10" s="118"/>
      <c r="MQB10" s="118"/>
      <c r="MQC10" s="118"/>
      <c r="MQD10" s="118"/>
      <c r="MQE10" s="118"/>
      <c r="MQF10" s="118"/>
      <c r="MQG10" s="118"/>
      <c r="MQH10" s="118"/>
      <c r="MQI10" s="118"/>
      <c r="MQJ10" s="118"/>
      <c r="MQK10" s="118"/>
      <c r="MQL10" s="118"/>
      <c r="MQM10" s="118"/>
      <c r="MQN10" s="118"/>
      <c r="MQO10" s="118"/>
      <c r="MQP10" s="118"/>
      <c r="MQQ10" s="118"/>
      <c r="MQR10" s="118"/>
      <c r="MQS10" s="118"/>
      <c r="MQT10" s="118"/>
      <c r="MQU10" s="118"/>
      <c r="MQV10" s="118"/>
      <c r="MQW10" s="118"/>
      <c r="MQX10" s="118"/>
      <c r="MQY10" s="118"/>
      <c r="MQZ10" s="118"/>
      <c r="MRA10" s="118"/>
      <c r="MRB10" s="118"/>
      <c r="MRC10" s="118"/>
      <c r="MRD10" s="118"/>
      <c r="MRE10" s="118"/>
      <c r="MRF10" s="118"/>
      <c r="MRG10" s="118"/>
      <c r="MRH10" s="118"/>
      <c r="MRI10" s="118"/>
      <c r="MRJ10" s="118"/>
      <c r="MRK10" s="118"/>
      <c r="MRL10" s="118"/>
      <c r="MRM10" s="118"/>
      <c r="MRN10" s="118"/>
      <c r="MRO10" s="118"/>
      <c r="MRP10" s="118"/>
      <c r="MRQ10" s="118"/>
      <c r="MRR10" s="118"/>
      <c r="MRS10" s="118"/>
      <c r="MRT10" s="118"/>
      <c r="MRU10" s="118"/>
      <c r="MRV10" s="118"/>
      <c r="MRW10" s="118"/>
      <c r="MRX10" s="118"/>
      <c r="MRY10" s="118"/>
      <c r="MRZ10" s="118"/>
      <c r="MSA10" s="118"/>
      <c r="MSB10" s="118"/>
      <c r="MSC10" s="118"/>
      <c r="MSD10" s="118"/>
      <c r="MSE10" s="118"/>
      <c r="MSF10" s="118"/>
      <c r="MSG10" s="118"/>
      <c r="MSH10" s="118"/>
      <c r="MSI10" s="118"/>
      <c r="MSJ10" s="118"/>
      <c r="MSK10" s="118"/>
      <c r="MSL10" s="118"/>
      <c r="MSM10" s="118"/>
      <c r="MSN10" s="118"/>
      <c r="MSO10" s="118"/>
      <c r="MSP10" s="118"/>
      <c r="MSQ10" s="118"/>
      <c r="MSR10" s="118"/>
      <c r="MSS10" s="118"/>
      <c r="MST10" s="118"/>
      <c r="MSU10" s="118"/>
      <c r="MSV10" s="118"/>
      <c r="MSW10" s="118"/>
      <c r="MSX10" s="118"/>
      <c r="MSY10" s="118"/>
      <c r="MSZ10" s="118"/>
      <c r="MTA10" s="118"/>
      <c r="MTB10" s="118"/>
      <c r="MTC10" s="118"/>
      <c r="MTD10" s="118"/>
      <c r="MTE10" s="118"/>
      <c r="MTF10" s="118"/>
      <c r="MTG10" s="118"/>
      <c r="MTH10" s="118"/>
      <c r="MTI10" s="118"/>
      <c r="MTJ10" s="118"/>
      <c r="MTK10" s="118"/>
      <c r="MTL10" s="118"/>
      <c r="MTM10" s="118"/>
      <c r="MTN10" s="118"/>
      <c r="MTO10" s="118"/>
      <c r="MTP10" s="118"/>
      <c r="MTQ10" s="118"/>
      <c r="MTR10" s="118"/>
      <c r="MTS10" s="118"/>
      <c r="MTT10" s="118"/>
      <c r="MTU10" s="118"/>
      <c r="MTV10" s="118"/>
      <c r="MTW10" s="118"/>
      <c r="MTX10" s="118"/>
      <c r="MTY10" s="118"/>
      <c r="MTZ10" s="118"/>
      <c r="MUA10" s="118"/>
      <c r="MUB10" s="118"/>
      <c r="MUC10" s="118"/>
      <c r="MUD10" s="118"/>
      <c r="MUE10" s="118"/>
      <c r="MUF10" s="118"/>
      <c r="MUG10" s="118"/>
      <c r="MUH10" s="118"/>
      <c r="MUI10" s="118"/>
      <c r="MUJ10" s="118"/>
      <c r="MUK10" s="118"/>
      <c r="MUL10" s="118"/>
      <c r="MUM10" s="118"/>
      <c r="MUN10" s="118"/>
      <c r="MUO10" s="118"/>
      <c r="MUP10" s="118"/>
      <c r="MUQ10" s="118"/>
      <c r="MUR10" s="118"/>
      <c r="MUS10" s="118"/>
      <c r="MUT10" s="118"/>
      <c r="MUU10" s="118"/>
      <c r="MUV10" s="118"/>
      <c r="MUW10" s="118"/>
      <c r="MUX10" s="118"/>
      <c r="MUY10" s="118"/>
      <c r="MUZ10" s="118"/>
      <c r="MVA10" s="118"/>
      <c r="MVB10" s="118"/>
      <c r="MVC10" s="118"/>
      <c r="MVD10" s="118"/>
      <c r="MVE10" s="118"/>
      <c r="MVF10" s="118"/>
      <c r="MVG10" s="118"/>
      <c r="MVH10" s="118"/>
      <c r="MVI10" s="118"/>
      <c r="MVJ10" s="118"/>
      <c r="MVK10" s="118"/>
      <c r="MVL10" s="118"/>
      <c r="MVM10" s="118"/>
      <c r="MVN10" s="118"/>
      <c r="MVO10" s="118"/>
      <c r="MVP10" s="118"/>
      <c r="MVQ10" s="118"/>
      <c r="MVR10" s="118"/>
      <c r="MVS10" s="118"/>
      <c r="MVT10" s="118"/>
      <c r="MVU10" s="118"/>
      <c r="MVV10" s="118"/>
      <c r="MVW10" s="118"/>
      <c r="MVX10" s="118"/>
      <c r="MVY10" s="118"/>
      <c r="MVZ10" s="118"/>
      <c r="MWA10" s="118"/>
      <c r="MWB10" s="118"/>
      <c r="MWC10" s="118"/>
      <c r="MWD10" s="118"/>
      <c r="MWE10" s="118"/>
      <c r="MWF10" s="118"/>
      <c r="MWG10" s="118"/>
      <c r="MWH10" s="118"/>
      <c r="MWI10" s="118"/>
      <c r="MWJ10" s="118"/>
      <c r="MWK10" s="118"/>
      <c r="MWL10" s="118"/>
      <c r="MWM10" s="118"/>
      <c r="MWN10" s="118"/>
      <c r="MWO10" s="118"/>
      <c r="MWP10" s="118"/>
      <c r="MWQ10" s="118"/>
      <c r="MWR10" s="118"/>
      <c r="MWS10" s="118"/>
      <c r="MWT10" s="118"/>
      <c r="MWU10" s="118"/>
      <c r="MWV10" s="118"/>
      <c r="MWW10" s="118"/>
      <c r="MWX10" s="118"/>
      <c r="MWY10" s="118"/>
      <c r="MWZ10" s="118"/>
      <c r="MXA10" s="118"/>
      <c r="MXB10" s="118"/>
      <c r="MXC10" s="118"/>
      <c r="MXD10" s="118"/>
      <c r="MXE10" s="118"/>
      <c r="MXF10" s="118"/>
      <c r="MXG10" s="118"/>
      <c r="MXH10" s="118"/>
      <c r="MXI10" s="118"/>
      <c r="MXJ10" s="118"/>
      <c r="MXK10" s="118"/>
      <c r="MXL10" s="118"/>
      <c r="MXM10" s="118"/>
      <c r="MXN10" s="118"/>
      <c r="MXO10" s="118"/>
      <c r="MXP10" s="118"/>
      <c r="MXQ10" s="118"/>
      <c r="MXR10" s="118"/>
      <c r="MXS10" s="118"/>
      <c r="MXT10" s="118"/>
      <c r="MXU10" s="118"/>
      <c r="MXV10" s="118"/>
      <c r="MXW10" s="118"/>
      <c r="MXX10" s="118"/>
      <c r="MXY10" s="118"/>
      <c r="MXZ10" s="118"/>
      <c r="MYA10" s="118"/>
      <c r="MYB10" s="118"/>
      <c r="MYC10" s="118"/>
      <c r="MYD10" s="118"/>
      <c r="MYE10" s="118"/>
      <c r="MYF10" s="118"/>
      <c r="MYG10" s="118"/>
      <c r="MYH10" s="118"/>
      <c r="MYI10" s="118"/>
      <c r="MYJ10" s="118"/>
      <c r="MYK10" s="118"/>
      <c r="MYL10" s="118"/>
      <c r="MYM10" s="118"/>
      <c r="MYN10" s="118"/>
      <c r="MYO10" s="118"/>
      <c r="MYP10" s="118"/>
      <c r="MYQ10" s="118"/>
      <c r="MYR10" s="118"/>
      <c r="MYS10" s="118"/>
      <c r="MYT10" s="118"/>
      <c r="MYU10" s="118"/>
      <c r="MYV10" s="118"/>
      <c r="MYW10" s="118"/>
      <c r="MYX10" s="118"/>
      <c r="MYY10" s="118"/>
      <c r="MYZ10" s="118"/>
      <c r="MZA10" s="118"/>
      <c r="MZB10" s="118"/>
      <c r="MZC10" s="118"/>
      <c r="MZD10" s="118"/>
      <c r="MZE10" s="118"/>
      <c r="MZF10" s="118"/>
      <c r="MZG10" s="118"/>
      <c r="MZH10" s="118"/>
      <c r="MZI10" s="118"/>
      <c r="MZJ10" s="118"/>
      <c r="MZK10" s="118"/>
      <c r="MZL10" s="118"/>
      <c r="MZM10" s="118"/>
      <c r="MZN10" s="118"/>
      <c r="MZO10" s="118"/>
      <c r="MZP10" s="118"/>
      <c r="MZQ10" s="118"/>
      <c r="MZR10" s="118"/>
      <c r="MZS10" s="118"/>
      <c r="MZT10" s="118"/>
      <c r="MZU10" s="118"/>
      <c r="MZV10" s="118"/>
      <c r="MZW10" s="118"/>
      <c r="MZX10" s="118"/>
      <c r="MZY10" s="118"/>
      <c r="MZZ10" s="118"/>
      <c r="NAA10" s="118"/>
      <c r="NAB10" s="118"/>
      <c r="NAC10" s="118"/>
      <c r="NAD10" s="118"/>
      <c r="NAE10" s="118"/>
      <c r="NAF10" s="118"/>
      <c r="NAG10" s="118"/>
      <c r="NAH10" s="118"/>
      <c r="NAI10" s="118"/>
      <c r="NAJ10" s="118"/>
      <c r="NAK10" s="118"/>
      <c r="NAL10" s="118"/>
      <c r="NAM10" s="118"/>
      <c r="NAN10" s="118"/>
      <c r="NAO10" s="118"/>
      <c r="NAP10" s="118"/>
      <c r="NAQ10" s="118"/>
      <c r="NAR10" s="118"/>
      <c r="NAS10" s="118"/>
      <c r="NAT10" s="118"/>
      <c r="NAU10" s="118"/>
      <c r="NAV10" s="118"/>
      <c r="NAW10" s="118"/>
      <c r="NAX10" s="118"/>
      <c r="NAY10" s="118"/>
      <c r="NAZ10" s="118"/>
      <c r="NBA10" s="118"/>
      <c r="NBB10" s="118"/>
      <c r="NBC10" s="118"/>
      <c r="NBD10" s="118"/>
      <c r="NBE10" s="118"/>
      <c r="NBF10" s="118"/>
      <c r="NBG10" s="118"/>
      <c r="NBH10" s="118"/>
      <c r="NBI10" s="118"/>
      <c r="NBJ10" s="118"/>
      <c r="NBK10" s="118"/>
      <c r="NBL10" s="118"/>
      <c r="NBM10" s="118"/>
      <c r="NBN10" s="118"/>
      <c r="NBO10" s="118"/>
      <c r="NBP10" s="118"/>
      <c r="NBQ10" s="118"/>
      <c r="NBR10" s="118"/>
      <c r="NBS10" s="118"/>
      <c r="NBT10" s="118"/>
      <c r="NBU10" s="118"/>
      <c r="NBV10" s="118"/>
      <c r="NBW10" s="118"/>
      <c r="NBX10" s="118"/>
      <c r="NBY10" s="118"/>
      <c r="NBZ10" s="118"/>
      <c r="NCA10" s="118"/>
      <c r="NCB10" s="118"/>
      <c r="NCC10" s="118"/>
      <c r="NCD10" s="118"/>
      <c r="NCE10" s="118"/>
      <c r="NCF10" s="118"/>
      <c r="NCG10" s="118"/>
      <c r="NCH10" s="118"/>
      <c r="NCI10" s="118"/>
      <c r="NCJ10" s="118"/>
      <c r="NCK10" s="118"/>
      <c r="NCL10" s="118"/>
      <c r="NCM10" s="118"/>
      <c r="NCN10" s="118"/>
      <c r="NCO10" s="118"/>
      <c r="NCP10" s="118"/>
      <c r="NCQ10" s="118"/>
      <c r="NCR10" s="118"/>
      <c r="NCS10" s="118"/>
      <c r="NCT10" s="118"/>
      <c r="NCU10" s="118"/>
      <c r="NCV10" s="118"/>
      <c r="NCW10" s="118"/>
      <c r="NCX10" s="118"/>
      <c r="NCY10" s="118"/>
      <c r="NCZ10" s="118"/>
      <c r="NDA10" s="118"/>
      <c r="NDB10" s="118"/>
      <c r="NDC10" s="118"/>
      <c r="NDD10" s="118"/>
      <c r="NDE10" s="118"/>
      <c r="NDF10" s="118"/>
      <c r="NDG10" s="118"/>
      <c r="NDH10" s="118"/>
      <c r="NDI10" s="118"/>
      <c r="NDJ10" s="118"/>
      <c r="NDK10" s="118"/>
      <c r="NDL10" s="118"/>
      <c r="NDM10" s="118"/>
      <c r="NDN10" s="118"/>
      <c r="NDO10" s="118"/>
      <c r="NDP10" s="118"/>
      <c r="NDQ10" s="118"/>
      <c r="NDR10" s="118"/>
      <c r="NDS10" s="118"/>
      <c r="NDT10" s="118"/>
      <c r="NDU10" s="118"/>
      <c r="NDV10" s="118"/>
      <c r="NDW10" s="118"/>
      <c r="NDX10" s="118"/>
      <c r="NDY10" s="118"/>
      <c r="NDZ10" s="118"/>
      <c r="NEA10" s="118"/>
      <c r="NEB10" s="118"/>
      <c r="NEC10" s="118"/>
      <c r="NED10" s="118"/>
      <c r="NEE10" s="118"/>
      <c r="NEF10" s="118"/>
      <c r="NEG10" s="118"/>
      <c r="NEH10" s="118"/>
      <c r="NEI10" s="118"/>
      <c r="NEJ10" s="118"/>
      <c r="NEK10" s="118"/>
      <c r="NEL10" s="118"/>
      <c r="NEM10" s="118"/>
      <c r="NEN10" s="118"/>
      <c r="NEO10" s="118"/>
      <c r="NEP10" s="118"/>
      <c r="NEQ10" s="118"/>
      <c r="NER10" s="118"/>
      <c r="NES10" s="118"/>
      <c r="NET10" s="118"/>
      <c r="NEU10" s="118"/>
      <c r="NEV10" s="118"/>
      <c r="NEW10" s="118"/>
      <c r="NEX10" s="118"/>
      <c r="NEY10" s="118"/>
      <c r="NEZ10" s="118"/>
      <c r="NFA10" s="118"/>
      <c r="NFB10" s="118"/>
      <c r="NFC10" s="118"/>
      <c r="NFD10" s="118"/>
      <c r="NFE10" s="118"/>
      <c r="NFF10" s="118"/>
      <c r="NFG10" s="118"/>
      <c r="NFH10" s="118"/>
      <c r="NFI10" s="118"/>
      <c r="NFJ10" s="118"/>
      <c r="NFK10" s="118"/>
      <c r="NFL10" s="118"/>
      <c r="NFM10" s="118"/>
      <c r="NFN10" s="118"/>
      <c r="NFO10" s="118"/>
      <c r="NFP10" s="118"/>
      <c r="NFQ10" s="118"/>
      <c r="NFR10" s="118"/>
      <c r="NFS10" s="118"/>
      <c r="NFT10" s="118"/>
      <c r="NFU10" s="118"/>
      <c r="NFV10" s="118"/>
      <c r="NFW10" s="118"/>
      <c r="NFX10" s="118"/>
      <c r="NFY10" s="118"/>
      <c r="NFZ10" s="118"/>
      <c r="NGA10" s="118"/>
      <c r="NGB10" s="118"/>
      <c r="NGC10" s="118"/>
      <c r="NGD10" s="118"/>
      <c r="NGE10" s="118"/>
      <c r="NGF10" s="118"/>
      <c r="NGG10" s="118"/>
      <c r="NGH10" s="118"/>
      <c r="NGI10" s="118"/>
      <c r="NGJ10" s="118"/>
      <c r="NGK10" s="118"/>
      <c r="NGL10" s="118"/>
      <c r="NGM10" s="118"/>
      <c r="NGN10" s="118"/>
      <c r="NGO10" s="118"/>
      <c r="NGP10" s="118"/>
      <c r="NGQ10" s="118"/>
      <c r="NGR10" s="118"/>
      <c r="NGS10" s="118"/>
      <c r="NGT10" s="118"/>
      <c r="NGU10" s="118"/>
      <c r="NGV10" s="118"/>
      <c r="NGW10" s="118"/>
      <c r="NGX10" s="118"/>
      <c r="NGY10" s="118"/>
      <c r="NGZ10" s="118"/>
      <c r="NHA10" s="118"/>
      <c r="NHB10" s="118"/>
      <c r="NHC10" s="118"/>
      <c r="NHD10" s="118"/>
      <c r="NHE10" s="118"/>
      <c r="NHF10" s="118"/>
      <c r="NHG10" s="118"/>
      <c r="NHH10" s="118"/>
      <c r="NHI10" s="118"/>
      <c r="NHJ10" s="118"/>
      <c r="NHK10" s="118"/>
      <c r="NHL10" s="118"/>
      <c r="NHM10" s="118"/>
      <c r="NHN10" s="118"/>
      <c r="NHO10" s="118"/>
      <c r="NHP10" s="118"/>
      <c r="NHQ10" s="118"/>
      <c r="NHR10" s="118"/>
      <c r="NHS10" s="118"/>
      <c r="NHT10" s="118"/>
      <c r="NHU10" s="118"/>
      <c r="NHV10" s="118"/>
      <c r="NHW10" s="118"/>
      <c r="NHX10" s="118"/>
      <c r="NHY10" s="118"/>
      <c r="NHZ10" s="118"/>
      <c r="NIA10" s="118"/>
      <c r="NIB10" s="118"/>
      <c r="NIC10" s="118"/>
      <c r="NID10" s="118"/>
      <c r="NIE10" s="118"/>
      <c r="NIF10" s="118"/>
      <c r="NIG10" s="118"/>
      <c r="NIH10" s="118"/>
      <c r="NII10" s="118"/>
      <c r="NIJ10" s="118"/>
      <c r="NIK10" s="118"/>
      <c r="NIL10" s="118"/>
      <c r="NIM10" s="118"/>
      <c r="NIN10" s="118"/>
      <c r="NIO10" s="118"/>
      <c r="NIP10" s="118"/>
      <c r="NIQ10" s="118"/>
      <c r="NIR10" s="118"/>
      <c r="NIS10" s="118"/>
      <c r="NIT10" s="118"/>
      <c r="NIU10" s="118"/>
      <c r="NIV10" s="118"/>
      <c r="NIW10" s="118"/>
      <c r="NIX10" s="118"/>
      <c r="NIY10" s="118"/>
      <c r="NIZ10" s="118"/>
      <c r="NJA10" s="118"/>
      <c r="NJB10" s="118"/>
      <c r="NJC10" s="118"/>
      <c r="NJD10" s="118"/>
      <c r="NJE10" s="118"/>
      <c r="NJF10" s="118"/>
      <c r="NJG10" s="118"/>
      <c r="NJH10" s="118"/>
      <c r="NJI10" s="118"/>
      <c r="NJJ10" s="118"/>
      <c r="NJK10" s="118"/>
      <c r="NJL10" s="118"/>
      <c r="NJM10" s="118"/>
      <c r="NJN10" s="118"/>
      <c r="NJO10" s="118"/>
      <c r="NJP10" s="118"/>
      <c r="NJQ10" s="118"/>
      <c r="NJR10" s="118"/>
      <c r="NJS10" s="118"/>
      <c r="NJT10" s="118"/>
      <c r="NJU10" s="118"/>
      <c r="NJV10" s="118"/>
      <c r="NJW10" s="118"/>
      <c r="NJX10" s="118"/>
      <c r="NJY10" s="118"/>
      <c r="NJZ10" s="118"/>
      <c r="NKA10" s="118"/>
      <c r="NKB10" s="118"/>
      <c r="NKC10" s="118"/>
      <c r="NKD10" s="118"/>
      <c r="NKE10" s="118"/>
      <c r="NKF10" s="118"/>
      <c r="NKG10" s="118"/>
      <c r="NKH10" s="118"/>
      <c r="NKI10" s="118"/>
      <c r="NKJ10" s="118"/>
      <c r="NKK10" s="118"/>
      <c r="NKL10" s="118"/>
      <c r="NKM10" s="118"/>
      <c r="NKN10" s="118"/>
      <c r="NKO10" s="118"/>
      <c r="NKP10" s="118"/>
      <c r="NKQ10" s="118"/>
      <c r="NKR10" s="118"/>
      <c r="NKS10" s="118"/>
      <c r="NKT10" s="118"/>
      <c r="NKU10" s="118"/>
      <c r="NKV10" s="118"/>
      <c r="NKW10" s="118"/>
      <c r="NKX10" s="118"/>
      <c r="NKY10" s="118"/>
      <c r="NKZ10" s="118"/>
      <c r="NLA10" s="118"/>
      <c r="NLB10" s="118"/>
      <c r="NLC10" s="118"/>
      <c r="NLD10" s="118"/>
      <c r="NLE10" s="118"/>
      <c r="NLF10" s="118"/>
      <c r="NLG10" s="118"/>
      <c r="NLH10" s="118"/>
      <c r="NLI10" s="118"/>
      <c r="NLJ10" s="118"/>
      <c r="NLK10" s="118"/>
      <c r="NLL10" s="118"/>
      <c r="NLM10" s="118"/>
      <c r="NLN10" s="118"/>
      <c r="NLO10" s="118"/>
      <c r="NLP10" s="118"/>
      <c r="NLQ10" s="118"/>
      <c r="NLR10" s="118"/>
      <c r="NLS10" s="118"/>
      <c r="NLT10" s="118"/>
      <c r="NLU10" s="118"/>
      <c r="NLV10" s="118"/>
      <c r="NLW10" s="118"/>
      <c r="NLX10" s="118"/>
      <c r="NLY10" s="118"/>
      <c r="NLZ10" s="118"/>
      <c r="NMA10" s="118"/>
      <c r="NMB10" s="118"/>
      <c r="NMC10" s="118"/>
      <c r="NMD10" s="118"/>
      <c r="NME10" s="118"/>
      <c r="NMF10" s="118"/>
      <c r="NMG10" s="118"/>
      <c r="NMH10" s="118"/>
      <c r="NMI10" s="118"/>
      <c r="NMJ10" s="118"/>
      <c r="NMK10" s="118"/>
      <c r="NML10" s="118"/>
      <c r="NMM10" s="118"/>
      <c r="NMN10" s="118"/>
      <c r="NMO10" s="118"/>
      <c r="NMP10" s="118"/>
      <c r="NMQ10" s="118"/>
      <c r="NMR10" s="118"/>
      <c r="NMS10" s="118"/>
      <c r="NMT10" s="118"/>
      <c r="NMU10" s="118"/>
      <c r="NMV10" s="118"/>
      <c r="NMW10" s="118"/>
      <c r="NMX10" s="118"/>
      <c r="NMY10" s="118"/>
      <c r="NMZ10" s="118"/>
      <c r="NNA10" s="118"/>
      <c r="NNB10" s="118"/>
      <c r="NNC10" s="118"/>
      <c r="NND10" s="118"/>
      <c r="NNE10" s="118"/>
      <c r="NNF10" s="118"/>
      <c r="NNG10" s="118"/>
      <c r="NNH10" s="118"/>
      <c r="NNI10" s="118"/>
      <c r="NNJ10" s="118"/>
      <c r="NNK10" s="118"/>
      <c r="NNL10" s="118"/>
      <c r="NNM10" s="118"/>
      <c r="NNN10" s="118"/>
      <c r="NNO10" s="118"/>
      <c r="NNP10" s="118"/>
      <c r="NNQ10" s="118"/>
      <c r="NNR10" s="118"/>
      <c r="NNS10" s="118"/>
      <c r="NNT10" s="118"/>
      <c r="NNU10" s="118"/>
      <c r="NNV10" s="118"/>
      <c r="NNW10" s="118"/>
      <c r="NNX10" s="118"/>
      <c r="NNY10" s="118"/>
      <c r="NNZ10" s="118"/>
      <c r="NOA10" s="118"/>
      <c r="NOB10" s="118"/>
      <c r="NOC10" s="118"/>
      <c r="NOD10" s="118"/>
      <c r="NOE10" s="118"/>
      <c r="NOF10" s="118"/>
      <c r="NOG10" s="118"/>
      <c r="NOH10" s="118"/>
      <c r="NOI10" s="118"/>
      <c r="NOJ10" s="118"/>
      <c r="NOK10" s="118"/>
      <c r="NOL10" s="118"/>
      <c r="NOM10" s="118"/>
      <c r="NON10" s="118"/>
      <c r="NOO10" s="118"/>
      <c r="NOP10" s="118"/>
      <c r="NOQ10" s="118"/>
      <c r="NOR10" s="118"/>
      <c r="NOS10" s="118"/>
      <c r="NOT10" s="118"/>
      <c r="NOU10" s="118"/>
      <c r="NOV10" s="118"/>
      <c r="NOW10" s="118"/>
      <c r="NOX10" s="118"/>
      <c r="NOY10" s="118"/>
      <c r="NOZ10" s="118"/>
      <c r="NPA10" s="118"/>
      <c r="NPB10" s="118"/>
      <c r="NPC10" s="118"/>
      <c r="NPD10" s="118"/>
      <c r="NPE10" s="118"/>
      <c r="NPF10" s="118"/>
      <c r="NPG10" s="118"/>
      <c r="NPH10" s="118"/>
      <c r="NPI10" s="118"/>
      <c r="NPJ10" s="118"/>
      <c r="NPK10" s="118"/>
      <c r="NPL10" s="118"/>
      <c r="NPM10" s="118"/>
      <c r="NPN10" s="118"/>
      <c r="NPO10" s="118"/>
      <c r="NPP10" s="118"/>
      <c r="NPQ10" s="118"/>
      <c r="NPR10" s="118"/>
      <c r="NPS10" s="118"/>
      <c r="NPT10" s="118"/>
      <c r="NPU10" s="118"/>
      <c r="NPV10" s="118"/>
      <c r="NPW10" s="118"/>
      <c r="NPX10" s="118"/>
      <c r="NPY10" s="118"/>
      <c r="NPZ10" s="118"/>
      <c r="NQA10" s="118"/>
      <c r="NQB10" s="118"/>
      <c r="NQC10" s="118"/>
      <c r="NQD10" s="118"/>
      <c r="NQE10" s="118"/>
      <c r="NQF10" s="118"/>
      <c r="NQG10" s="118"/>
      <c r="NQH10" s="118"/>
      <c r="NQI10" s="118"/>
      <c r="NQJ10" s="118"/>
      <c r="NQK10" s="118"/>
      <c r="NQL10" s="118"/>
      <c r="NQM10" s="118"/>
      <c r="NQN10" s="118"/>
      <c r="NQO10" s="118"/>
      <c r="NQP10" s="118"/>
      <c r="NQQ10" s="118"/>
      <c r="NQR10" s="118"/>
      <c r="NQS10" s="118"/>
      <c r="NQT10" s="118"/>
      <c r="NQU10" s="118"/>
      <c r="NQV10" s="118"/>
      <c r="NQW10" s="118"/>
      <c r="NQX10" s="118"/>
      <c r="NQY10" s="118"/>
      <c r="NQZ10" s="118"/>
      <c r="NRA10" s="118"/>
      <c r="NRB10" s="118"/>
      <c r="NRC10" s="118"/>
      <c r="NRD10" s="118"/>
      <c r="NRE10" s="118"/>
      <c r="NRF10" s="118"/>
      <c r="NRG10" s="118"/>
      <c r="NRH10" s="118"/>
      <c r="NRI10" s="118"/>
      <c r="NRJ10" s="118"/>
      <c r="NRK10" s="118"/>
      <c r="NRL10" s="118"/>
      <c r="NRM10" s="118"/>
      <c r="NRN10" s="118"/>
      <c r="NRO10" s="118"/>
      <c r="NRP10" s="118"/>
      <c r="NRQ10" s="118"/>
      <c r="NRR10" s="118"/>
      <c r="NRS10" s="118"/>
      <c r="NRT10" s="118"/>
      <c r="NRU10" s="118"/>
      <c r="NRV10" s="118"/>
      <c r="NRW10" s="118"/>
      <c r="NRX10" s="118"/>
      <c r="NRY10" s="118"/>
      <c r="NRZ10" s="118"/>
      <c r="NSA10" s="118"/>
      <c r="NSB10" s="118"/>
      <c r="NSC10" s="118"/>
      <c r="NSD10" s="118"/>
      <c r="NSE10" s="118"/>
      <c r="NSF10" s="118"/>
      <c r="NSG10" s="118"/>
      <c r="NSH10" s="118"/>
      <c r="NSI10" s="118"/>
      <c r="NSJ10" s="118"/>
      <c r="NSK10" s="118"/>
      <c r="NSL10" s="118"/>
      <c r="NSM10" s="118"/>
      <c r="NSN10" s="118"/>
      <c r="NSO10" s="118"/>
      <c r="NSP10" s="118"/>
      <c r="NSQ10" s="118"/>
      <c r="NSR10" s="118"/>
      <c r="NSS10" s="118"/>
      <c r="NST10" s="118"/>
      <c r="NSU10" s="118"/>
      <c r="NSV10" s="118"/>
      <c r="NSW10" s="118"/>
      <c r="NSX10" s="118"/>
      <c r="NSY10" s="118"/>
      <c r="NSZ10" s="118"/>
      <c r="NTA10" s="118"/>
      <c r="NTB10" s="118"/>
      <c r="NTC10" s="118"/>
      <c r="NTD10" s="118"/>
      <c r="NTE10" s="118"/>
      <c r="NTF10" s="118"/>
      <c r="NTG10" s="118"/>
      <c r="NTH10" s="118"/>
      <c r="NTI10" s="118"/>
      <c r="NTJ10" s="118"/>
      <c r="NTK10" s="118"/>
      <c r="NTL10" s="118"/>
      <c r="NTM10" s="118"/>
      <c r="NTN10" s="118"/>
      <c r="NTO10" s="118"/>
      <c r="NTP10" s="118"/>
      <c r="NTQ10" s="118"/>
      <c r="NTR10" s="118"/>
      <c r="NTS10" s="118"/>
      <c r="NTT10" s="118"/>
      <c r="NTU10" s="118"/>
      <c r="NTV10" s="118"/>
      <c r="NTW10" s="118"/>
      <c r="NTX10" s="118"/>
      <c r="NTY10" s="118"/>
      <c r="NTZ10" s="118"/>
      <c r="NUA10" s="118"/>
      <c r="NUB10" s="118"/>
      <c r="NUC10" s="118"/>
      <c r="NUD10" s="118"/>
      <c r="NUE10" s="118"/>
      <c r="NUF10" s="118"/>
      <c r="NUG10" s="118"/>
      <c r="NUH10" s="118"/>
      <c r="NUI10" s="118"/>
      <c r="NUJ10" s="118"/>
      <c r="NUK10" s="118"/>
      <c r="NUL10" s="118"/>
      <c r="NUM10" s="118"/>
      <c r="NUN10" s="118"/>
      <c r="NUO10" s="118"/>
      <c r="NUP10" s="118"/>
      <c r="NUQ10" s="118"/>
      <c r="NUR10" s="118"/>
      <c r="NUS10" s="118"/>
      <c r="NUT10" s="118"/>
      <c r="NUU10" s="118"/>
      <c r="NUV10" s="118"/>
      <c r="NUW10" s="118"/>
      <c r="NUX10" s="118"/>
      <c r="NUY10" s="118"/>
      <c r="NUZ10" s="118"/>
      <c r="NVA10" s="118"/>
      <c r="NVB10" s="118"/>
      <c r="NVC10" s="118"/>
      <c r="NVD10" s="118"/>
      <c r="NVE10" s="118"/>
      <c r="NVF10" s="118"/>
      <c r="NVG10" s="118"/>
      <c r="NVH10" s="118"/>
      <c r="NVI10" s="118"/>
      <c r="NVJ10" s="118"/>
      <c r="NVK10" s="118"/>
      <c r="NVL10" s="118"/>
      <c r="NVM10" s="118"/>
      <c r="NVN10" s="118"/>
      <c r="NVO10" s="118"/>
      <c r="NVP10" s="118"/>
      <c r="NVQ10" s="118"/>
      <c r="NVR10" s="118"/>
      <c r="NVS10" s="118"/>
      <c r="NVT10" s="118"/>
      <c r="NVU10" s="118"/>
      <c r="NVV10" s="118"/>
      <c r="NVW10" s="118"/>
      <c r="NVX10" s="118"/>
      <c r="NVY10" s="118"/>
      <c r="NVZ10" s="118"/>
      <c r="NWA10" s="118"/>
      <c r="NWB10" s="118"/>
      <c r="NWC10" s="118"/>
      <c r="NWD10" s="118"/>
      <c r="NWE10" s="118"/>
      <c r="NWF10" s="118"/>
      <c r="NWG10" s="118"/>
      <c r="NWH10" s="118"/>
      <c r="NWI10" s="118"/>
      <c r="NWJ10" s="118"/>
      <c r="NWK10" s="118"/>
      <c r="NWL10" s="118"/>
      <c r="NWM10" s="118"/>
      <c r="NWN10" s="118"/>
      <c r="NWO10" s="118"/>
      <c r="NWP10" s="118"/>
      <c r="NWQ10" s="118"/>
      <c r="NWR10" s="118"/>
      <c r="NWS10" s="118"/>
      <c r="NWT10" s="118"/>
      <c r="NWU10" s="118"/>
      <c r="NWV10" s="118"/>
      <c r="NWW10" s="118"/>
      <c r="NWX10" s="118"/>
      <c r="NWY10" s="118"/>
      <c r="NWZ10" s="118"/>
      <c r="NXA10" s="118"/>
      <c r="NXB10" s="118"/>
      <c r="NXC10" s="118"/>
      <c r="NXD10" s="118"/>
      <c r="NXE10" s="118"/>
      <c r="NXF10" s="118"/>
      <c r="NXG10" s="118"/>
      <c r="NXH10" s="118"/>
      <c r="NXI10" s="118"/>
      <c r="NXJ10" s="118"/>
      <c r="NXK10" s="118"/>
      <c r="NXL10" s="118"/>
      <c r="NXM10" s="118"/>
      <c r="NXN10" s="118"/>
      <c r="NXO10" s="118"/>
      <c r="NXP10" s="118"/>
      <c r="NXQ10" s="118"/>
      <c r="NXR10" s="118"/>
      <c r="NXS10" s="118"/>
      <c r="NXT10" s="118"/>
      <c r="NXU10" s="118"/>
      <c r="NXV10" s="118"/>
      <c r="NXW10" s="118"/>
      <c r="NXX10" s="118"/>
      <c r="NXY10" s="118"/>
      <c r="NXZ10" s="118"/>
      <c r="NYA10" s="118"/>
      <c r="NYB10" s="118"/>
      <c r="NYC10" s="118"/>
      <c r="NYD10" s="118"/>
      <c r="NYE10" s="118"/>
      <c r="NYF10" s="118"/>
      <c r="NYG10" s="118"/>
      <c r="NYH10" s="118"/>
      <c r="NYI10" s="118"/>
      <c r="NYJ10" s="118"/>
      <c r="NYK10" s="118"/>
      <c r="NYL10" s="118"/>
      <c r="NYM10" s="118"/>
      <c r="NYN10" s="118"/>
      <c r="NYO10" s="118"/>
      <c r="NYP10" s="118"/>
      <c r="NYQ10" s="118"/>
      <c r="NYR10" s="118"/>
      <c r="NYS10" s="118"/>
      <c r="NYT10" s="118"/>
      <c r="NYU10" s="118"/>
      <c r="NYV10" s="118"/>
      <c r="NYW10" s="118"/>
      <c r="NYX10" s="118"/>
      <c r="NYY10" s="118"/>
      <c r="NYZ10" s="118"/>
      <c r="NZA10" s="118"/>
      <c r="NZB10" s="118"/>
      <c r="NZC10" s="118"/>
      <c r="NZD10" s="118"/>
      <c r="NZE10" s="118"/>
      <c r="NZF10" s="118"/>
      <c r="NZG10" s="118"/>
      <c r="NZH10" s="118"/>
      <c r="NZI10" s="118"/>
      <c r="NZJ10" s="118"/>
      <c r="NZK10" s="118"/>
      <c r="NZL10" s="118"/>
      <c r="NZM10" s="118"/>
      <c r="NZN10" s="118"/>
      <c r="NZO10" s="118"/>
      <c r="NZP10" s="118"/>
      <c r="NZQ10" s="118"/>
      <c r="NZR10" s="118"/>
      <c r="NZS10" s="118"/>
      <c r="NZT10" s="118"/>
      <c r="NZU10" s="118"/>
      <c r="NZV10" s="118"/>
      <c r="NZW10" s="118"/>
      <c r="NZX10" s="118"/>
      <c r="NZY10" s="118"/>
      <c r="NZZ10" s="118"/>
      <c r="OAA10" s="118"/>
      <c r="OAB10" s="118"/>
      <c r="OAC10" s="118"/>
      <c r="OAD10" s="118"/>
      <c r="OAE10" s="118"/>
      <c r="OAF10" s="118"/>
      <c r="OAG10" s="118"/>
      <c r="OAH10" s="118"/>
      <c r="OAI10" s="118"/>
      <c r="OAJ10" s="118"/>
      <c r="OAK10" s="118"/>
      <c r="OAL10" s="118"/>
      <c r="OAM10" s="118"/>
      <c r="OAN10" s="118"/>
      <c r="OAO10" s="118"/>
      <c r="OAP10" s="118"/>
      <c r="OAQ10" s="118"/>
      <c r="OAR10" s="118"/>
      <c r="OAS10" s="118"/>
      <c r="OAT10" s="118"/>
      <c r="OAU10" s="118"/>
      <c r="OAV10" s="118"/>
      <c r="OAW10" s="118"/>
      <c r="OAX10" s="118"/>
      <c r="OAY10" s="118"/>
      <c r="OAZ10" s="118"/>
      <c r="OBA10" s="118"/>
      <c r="OBB10" s="118"/>
      <c r="OBC10" s="118"/>
      <c r="OBD10" s="118"/>
      <c r="OBE10" s="118"/>
      <c r="OBF10" s="118"/>
      <c r="OBG10" s="118"/>
      <c r="OBH10" s="118"/>
      <c r="OBI10" s="118"/>
      <c r="OBJ10" s="118"/>
      <c r="OBK10" s="118"/>
      <c r="OBL10" s="118"/>
      <c r="OBM10" s="118"/>
      <c r="OBN10" s="118"/>
      <c r="OBO10" s="118"/>
      <c r="OBP10" s="118"/>
      <c r="OBQ10" s="118"/>
      <c r="OBR10" s="118"/>
      <c r="OBS10" s="118"/>
      <c r="OBT10" s="118"/>
      <c r="OBU10" s="118"/>
      <c r="OBV10" s="118"/>
      <c r="OBW10" s="118"/>
      <c r="OBX10" s="118"/>
      <c r="OBY10" s="118"/>
      <c r="OBZ10" s="118"/>
      <c r="OCA10" s="118"/>
      <c r="OCB10" s="118"/>
      <c r="OCC10" s="118"/>
      <c r="OCD10" s="118"/>
      <c r="OCE10" s="118"/>
      <c r="OCF10" s="118"/>
      <c r="OCG10" s="118"/>
      <c r="OCH10" s="118"/>
      <c r="OCI10" s="118"/>
      <c r="OCJ10" s="118"/>
      <c r="OCK10" s="118"/>
      <c r="OCL10" s="118"/>
      <c r="OCM10" s="118"/>
      <c r="OCN10" s="118"/>
      <c r="OCO10" s="118"/>
      <c r="OCP10" s="118"/>
      <c r="OCQ10" s="118"/>
      <c r="OCR10" s="118"/>
      <c r="OCS10" s="118"/>
      <c r="OCT10" s="118"/>
      <c r="OCU10" s="118"/>
      <c r="OCV10" s="118"/>
      <c r="OCW10" s="118"/>
      <c r="OCX10" s="118"/>
      <c r="OCY10" s="118"/>
      <c r="OCZ10" s="118"/>
      <c r="ODA10" s="118"/>
      <c r="ODB10" s="118"/>
      <c r="ODC10" s="118"/>
      <c r="ODD10" s="118"/>
      <c r="ODE10" s="118"/>
      <c r="ODF10" s="118"/>
      <c r="ODG10" s="118"/>
      <c r="ODH10" s="118"/>
      <c r="ODI10" s="118"/>
      <c r="ODJ10" s="118"/>
      <c r="ODK10" s="118"/>
      <c r="ODL10" s="118"/>
      <c r="ODM10" s="118"/>
      <c r="ODN10" s="118"/>
      <c r="ODO10" s="118"/>
      <c r="ODP10" s="118"/>
      <c r="ODQ10" s="118"/>
      <c r="ODR10" s="118"/>
      <c r="ODS10" s="118"/>
      <c r="ODT10" s="118"/>
      <c r="ODU10" s="118"/>
      <c r="ODV10" s="118"/>
      <c r="ODW10" s="118"/>
      <c r="ODX10" s="118"/>
      <c r="ODY10" s="118"/>
      <c r="ODZ10" s="118"/>
      <c r="OEA10" s="118"/>
      <c r="OEB10" s="118"/>
      <c r="OEC10" s="118"/>
      <c r="OED10" s="118"/>
      <c r="OEE10" s="118"/>
      <c r="OEF10" s="118"/>
      <c r="OEG10" s="118"/>
      <c r="OEH10" s="118"/>
      <c r="OEI10" s="118"/>
      <c r="OEJ10" s="118"/>
      <c r="OEK10" s="118"/>
      <c r="OEL10" s="118"/>
      <c r="OEM10" s="118"/>
      <c r="OEN10" s="118"/>
      <c r="OEO10" s="118"/>
      <c r="OEP10" s="118"/>
      <c r="OEQ10" s="118"/>
      <c r="OER10" s="118"/>
      <c r="OES10" s="118"/>
      <c r="OET10" s="118"/>
      <c r="OEU10" s="118"/>
      <c r="OEV10" s="118"/>
      <c r="OEW10" s="118"/>
      <c r="OEX10" s="118"/>
      <c r="OEY10" s="118"/>
      <c r="OEZ10" s="118"/>
      <c r="OFA10" s="118"/>
      <c r="OFB10" s="118"/>
      <c r="OFC10" s="118"/>
      <c r="OFD10" s="118"/>
      <c r="OFE10" s="118"/>
      <c r="OFF10" s="118"/>
      <c r="OFG10" s="118"/>
      <c r="OFH10" s="118"/>
      <c r="OFI10" s="118"/>
      <c r="OFJ10" s="118"/>
      <c r="OFK10" s="118"/>
      <c r="OFL10" s="118"/>
      <c r="OFM10" s="118"/>
      <c r="OFN10" s="118"/>
      <c r="OFO10" s="118"/>
      <c r="OFP10" s="118"/>
      <c r="OFQ10" s="118"/>
      <c r="OFR10" s="118"/>
      <c r="OFS10" s="118"/>
      <c r="OFT10" s="118"/>
      <c r="OFU10" s="118"/>
      <c r="OFV10" s="118"/>
      <c r="OFW10" s="118"/>
      <c r="OFX10" s="118"/>
      <c r="OFY10" s="118"/>
      <c r="OFZ10" s="118"/>
      <c r="OGA10" s="118"/>
      <c r="OGB10" s="118"/>
      <c r="OGC10" s="118"/>
      <c r="OGD10" s="118"/>
      <c r="OGE10" s="118"/>
      <c r="OGF10" s="118"/>
      <c r="OGG10" s="118"/>
      <c r="OGH10" s="118"/>
      <c r="OGI10" s="118"/>
      <c r="OGJ10" s="118"/>
      <c r="OGK10" s="118"/>
      <c r="OGL10" s="118"/>
      <c r="OGM10" s="118"/>
      <c r="OGN10" s="118"/>
      <c r="OGO10" s="118"/>
      <c r="OGP10" s="118"/>
      <c r="OGQ10" s="118"/>
      <c r="OGR10" s="118"/>
      <c r="OGS10" s="118"/>
      <c r="OGT10" s="118"/>
      <c r="OGU10" s="118"/>
      <c r="OGV10" s="118"/>
      <c r="OGW10" s="118"/>
      <c r="OGX10" s="118"/>
      <c r="OGY10" s="118"/>
      <c r="OGZ10" s="118"/>
      <c r="OHA10" s="118"/>
      <c r="OHB10" s="118"/>
      <c r="OHC10" s="118"/>
      <c r="OHD10" s="118"/>
      <c r="OHE10" s="118"/>
      <c r="OHF10" s="118"/>
      <c r="OHG10" s="118"/>
      <c r="OHH10" s="118"/>
      <c r="OHI10" s="118"/>
      <c r="OHJ10" s="118"/>
      <c r="OHK10" s="118"/>
      <c r="OHL10" s="118"/>
      <c r="OHM10" s="118"/>
      <c r="OHN10" s="118"/>
      <c r="OHO10" s="118"/>
      <c r="OHP10" s="118"/>
      <c r="OHQ10" s="118"/>
      <c r="OHR10" s="118"/>
      <c r="OHS10" s="118"/>
      <c r="OHT10" s="118"/>
      <c r="OHU10" s="118"/>
      <c r="OHV10" s="118"/>
      <c r="OHW10" s="118"/>
      <c r="OHX10" s="118"/>
      <c r="OHY10" s="118"/>
      <c r="OHZ10" s="118"/>
      <c r="OIA10" s="118"/>
      <c r="OIB10" s="118"/>
      <c r="OIC10" s="118"/>
      <c r="OID10" s="118"/>
      <c r="OIE10" s="118"/>
      <c r="OIF10" s="118"/>
      <c r="OIG10" s="118"/>
      <c r="OIH10" s="118"/>
      <c r="OII10" s="118"/>
      <c r="OIJ10" s="118"/>
      <c r="OIK10" s="118"/>
      <c r="OIL10" s="118"/>
      <c r="OIM10" s="118"/>
      <c r="OIN10" s="118"/>
      <c r="OIO10" s="118"/>
      <c r="OIP10" s="118"/>
      <c r="OIQ10" s="118"/>
      <c r="OIR10" s="118"/>
      <c r="OIS10" s="118"/>
      <c r="OIT10" s="118"/>
      <c r="OIU10" s="118"/>
      <c r="OIV10" s="118"/>
      <c r="OIW10" s="118"/>
      <c r="OIX10" s="118"/>
      <c r="OIY10" s="118"/>
      <c r="OIZ10" s="118"/>
      <c r="OJA10" s="118"/>
      <c r="OJB10" s="118"/>
      <c r="OJC10" s="118"/>
      <c r="OJD10" s="118"/>
      <c r="OJE10" s="118"/>
      <c r="OJF10" s="118"/>
      <c r="OJG10" s="118"/>
      <c r="OJH10" s="118"/>
      <c r="OJI10" s="118"/>
      <c r="OJJ10" s="118"/>
      <c r="OJK10" s="118"/>
      <c r="OJL10" s="118"/>
      <c r="OJM10" s="118"/>
      <c r="OJN10" s="118"/>
      <c r="OJO10" s="118"/>
      <c r="OJP10" s="118"/>
      <c r="OJQ10" s="118"/>
      <c r="OJR10" s="118"/>
      <c r="OJS10" s="118"/>
      <c r="OJT10" s="118"/>
      <c r="OJU10" s="118"/>
      <c r="OJV10" s="118"/>
      <c r="OJW10" s="118"/>
      <c r="OJX10" s="118"/>
      <c r="OJY10" s="118"/>
      <c r="OJZ10" s="118"/>
      <c r="OKA10" s="118"/>
      <c r="OKB10" s="118"/>
      <c r="OKC10" s="118"/>
      <c r="OKD10" s="118"/>
      <c r="OKE10" s="118"/>
      <c r="OKF10" s="118"/>
      <c r="OKG10" s="118"/>
      <c r="OKH10" s="118"/>
      <c r="OKI10" s="118"/>
      <c r="OKJ10" s="118"/>
      <c r="OKK10" s="118"/>
      <c r="OKL10" s="118"/>
      <c r="OKM10" s="118"/>
      <c r="OKN10" s="118"/>
      <c r="OKO10" s="118"/>
      <c r="OKP10" s="118"/>
      <c r="OKQ10" s="118"/>
      <c r="OKR10" s="118"/>
      <c r="OKS10" s="118"/>
      <c r="OKT10" s="118"/>
      <c r="OKU10" s="118"/>
      <c r="OKV10" s="118"/>
      <c r="OKW10" s="118"/>
      <c r="OKX10" s="118"/>
      <c r="OKY10" s="118"/>
      <c r="OKZ10" s="118"/>
      <c r="OLA10" s="118"/>
      <c r="OLB10" s="118"/>
      <c r="OLC10" s="118"/>
      <c r="OLD10" s="118"/>
      <c r="OLE10" s="118"/>
      <c r="OLF10" s="118"/>
      <c r="OLG10" s="118"/>
      <c r="OLH10" s="118"/>
      <c r="OLI10" s="118"/>
      <c r="OLJ10" s="118"/>
      <c r="OLK10" s="118"/>
      <c r="OLL10" s="118"/>
      <c r="OLM10" s="118"/>
      <c r="OLN10" s="118"/>
      <c r="OLO10" s="118"/>
      <c r="OLP10" s="118"/>
      <c r="OLQ10" s="118"/>
      <c r="OLR10" s="118"/>
      <c r="OLS10" s="118"/>
      <c r="OLT10" s="118"/>
      <c r="OLU10" s="118"/>
      <c r="OLV10" s="118"/>
      <c r="OLW10" s="118"/>
      <c r="OLX10" s="118"/>
      <c r="OLY10" s="118"/>
      <c r="OLZ10" s="118"/>
      <c r="OMA10" s="118"/>
      <c r="OMB10" s="118"/>
      <c r="OMC10" s="118"/>
      <c r="OMD10" s="118"/>
      <c r="OME10" s="118"/>
      <c r="OMF10" s="118"/>
      <c r="OMG10" s="118"/>
      <c r="OMH10" s="118"/>
      <c r="OMI10" s="118"/>
      <c r="OMJ10" s="118"/>
      <c r="OMK10" s="118"/>
      <c r="OML10" s="118"/>
      <c r="OMM10" s="118"/>
      <c r="OMN10" s="118"/>
      <c r="OMO10" s="118"/>
      <c r="OMP10" s="118"/>
      <c r="OMQ10" s="118"/>
      <c r="OMR10" s="118"/>
      <c r="OMS10" s="118"/>
      <c r="OMT10" s="118"/>
      <c r="OMU10" s="118"/>
      <c r="OMV10" s="118"/>
      <c r="OMW10" s="118"/>
      <c r="OMX10" s="118"/>
      <c r="OMY10" s="118"/>
      <c r="OMZ10" s="118"/>
      <c r="ONA10" s="118"/>
      <c r="ONB10" s="118"/>
      <c r="ONC10" s="118"/>
      <c r="OND10" s="118"/>
      <c r="ONE10" s="118"/>
      <c r="ONF10" s="118"/>
      <c r="ONG10" s="118"/>
      <c r="ONH10" s="118"/>
      <c r="ONI10" s="118"/>
      <c r="ONJ10" s="118"/>
      <c r="ONK10" s="118"/>
      <c r="ONL10" s="118"/>
      <c r="ONM10" s="118"/>
      <c r="ONN10" s="118"/>
      <c r="ONO10" s="118"/>
      <c r="ONP10" s="118"/>
      <c r="ONQ10" s="118"/>
      <c r="ONR10" s="118"/>
      <c r="ONS10" s="118"/>
      <c r="ONT10" s="118"/>
      <c r="ONU10" s="118"/>
      <c r="ONV10" s="118"/>
      <c r="ONW10" s="118"/>
      <c r="ONX10" s="118"/>
      <c r="ONY10" s="118"/>
      <c r="ONZ10" s="118"/>
      <c r="OOA10" s="118"/>
      <c r="OOB10" s="118"/>
      <c r="OOC10" s="118"/>
      <c r="OOD10" s="118"/>
      <c r="OOE10" s="118"/>
      <c r="OOF10" s="118"/>
      <c r="OOG10" s="118"/>
      <c r="OOH10" s="118"/>
      <c r="OOI10" s="118"/>
      <c r="OOJ10" s="118"/>
      <c r="OOK10" s="118"/>
      <c r="OOL10" s="118"/>
      <c r="OOM10" s="118"/>
      <c r="OON10" s="118"/>
      <c r="OOO10" s="118"/>
      <c r="OOP10" s="118"/>
      <c r="OOQ10" s="118"/>
      <c r="OOR10" s="118"/>
      <c r="OOS10" s="118"/>
      <c r="OOT10" s="118"/>
      <c r="OOU10" s="118"/>
      <c r="OOV10" s="118"/>
      <c r="OOW10" s="118"/>
      <c r="OOX10" s="118"/>
      <c r="OOY10" s="118"/>
      <c r="OOZ10" s="118"/>
      <c r="OPA10" s="118"/>
      <c r="OPB10" s="118"/>
      <c r="OPC10" s="118"/>
      <c r="OPD10" s="118"/>
      <c r="OPE10" s="118"/>
      <c r="OPF10" s="118"/>
      <c r="OPG10" s="118"/>
      <c r="OPH10" s="118"/>
      <c r="OPI10" s="118"/>
      <c r="OPJ10" s="118"/>
      <c r="OPK10" s="118"/>
      <c r="OPL10" s="118"/>
      <c r="OPM10" s="118"/>
      <c r="OPN10" s="118"/>
      <c r="OPO10" s="118"/>
      <c r="OPP10" s="118"/>
      <c r="OPQ10" s="118"/>
      <c r="OPR10" s="118"/>
      <c r="OPS10" s="118"/>
      <c r="OPT10" s="118"/>
      <c r="OPU10" s="118"/>
      <c r="OPV10" s="118"/>
      <c r="OPW10" s="118"/>
      <c r="OPX10" s="118"/>
      <c r="OPY10" s="118"/>
      <c r="OPZ10" s="118"/>
      <c r="OQA10" s="118"/>
      <c r="OQB10" s="118"/>
      <c r="OQC10" s="118"/>
      <c r="OQD10" s="118"/>
      <c r="OQE10" s="118"/>
      <c r="OQF10" s="118"/>
      <c r="OQG10" s="118"/>
      <c r="OQH10" s="118"/>
      <c r="OQI10" s="118"/>
      <c r="OQJ10" s="118"/>
      <c r="OQK10" s="118"/>
      <c r="OQL10" s="118"/>
      <c r="OQM10" s="118"/>
      <c r="OQN10" s="118"/>
      <c r="OQO10" s="118"/>
      <c r="OQP10" s="118"/>
      <c r="OQQ10" s="118"/>
      <c r="OQR10" s="118"/>
      <c r="OQS10" s="118"/>
      <c r="OQT10" s="118"/>
      <c r="OQU10" s="118"/>
      <c r="OQV10" s="118"/>
      <c r="OQW10" s="118"/>
      <c r="OQX10" s="118"/>
      <c r="OQY10" s="118"/>
      <c r="OQZ10" s="118"/>
      <c r="ORA10" s="118"/>
      <c r="ORB10" s="118"/>
      <c r="ORC10" s="118"/>
      <c r="ORD10" s="118"/>
      <c r="ORE10" s="118"/>
      <c r="ORF10" s="118"/>
      <c r="ORG10" s="118"/>
      <c r="ORH10" s="118"/>
      <c r="ORI10" s="118"/>
      <c r="ORJ10" s="118"/>
      <c r="ORK10" s="118"/>
      <c r="ORL10" s="118"/>
      <c r="ORM10" s="118"/>
      <c r="ORN10" s="118"/>
      <c r="ORO10" s="118"/>
      <c r="ORP10" s="118"/>
      <c r="ORQ10" s="118"/>
      <c r="ORR10" s="118"/>
      <c r="ORS10" s="118"/>
      <c r="ORT10" s="118"/>
      <c r="ORU10" s="118"/>
      <c r="ORV10" s="118"/>
      <c r="ORW10" s="118"/>
      <c r="ORX10" s="118"/>
      <c r="ORY10" s="118"/>
      <c r="ORZ10" s="118"/>
      <c r="OSA10" s="118"/>
      <c r="OSB10" s="118"/>
      <c r="OSC10" s="118"/>
      <c r="OSD10" s="118"/>
      <c r="OSE10" s="118"/>
      <c r="OSF10" s="118"/>
      <c r="OSG10" s="118"/>
      <c r="OSH10" s="118"/>
      <c r="OSI10" s="118"/>
      <c r="OSJ10" s="118"/>
      <c r="OSK10" s="118"/>
      <c r="OSL10" s="118"/>
      <c r="OSM10" s="118"/>
      <c r="OSN10" s="118"/>
      <c r="OSO10" s="118"/>
      <c r="OSP10" s="118"/>
      <c r="OSQ10" s="118"/>
      <c r="OSR10" s="118"/>
      <c r="OSS10" s="118"/>
      <c r="OST10" s="118"/>
      <c r="OSU10" s="118"/>
      <c r="OSV10" s="118"/>
      <c r="OSW10" s="118"/>
      <c r="OSX10" s="118"/>
      <c r="OSY10" s="118"/>
      <c r="OSZ10" s="118"/>
      <c r="OTA10" s="118"/>
      <c r="OTB10" s="118"/>
      <c r="OTC10" s="118"/>
      <c r="OTD10" s="118"/>
      <c r="OTE10" s="118"/>
      <c r="OTF10" s="118"/>
      <c r="OTG10" s="118"/>
      <c r="OTH10" s="118"/>
      <c r="OTI10" s="118"/>
      <c r="OTJ10" s="118"/>
      <c r="OTK10" s="118"/>
      <c r="OTL10" s="118"/>
      <c r="OTM10" s="118"/>
      <c r="OTN10" s="118"/>
      <c r="OTO10" s="118"/>
      <c r="OTP10" s="118"/>
      <c r="OTQ10" s="118"/>
      <c r="OTR10" s="118"/>
      <c r="OTS10" s="118"/>
      <c r="OTT10" s="118"/>
      <c r="OTU10" s="118"/>
      <c r="OTV10" s="118"/>
      <c r="OTW10" s="118"/>
      <c r="OTX10" s="118"/>
      <c r="OTY10" s="118"/>
      <c r="OTZ10" s="118"/>
      <c r="OUA10" s="118"/>
      <c r="OUB10" s="118"/>
      <c r="OUC10" s="118"/>
      <c r="OUD10" s="118"/>
      <c r="OUE10" s="118"/>
      <c r="OUF10" s="118"/>
      <c r="OUG10" s="118"/>
      <c r="OUH10" s="118"/>
      <c r="OUI10" s="118"/>
      <c r="OUJ10" s="118"/>
      <c r="OUK10" s="118"/>
      <c r="OUL10" s="118"/>
      <c r="OUM10" s="118"/>
      <c r="OUN10" s="118"/>
      <c r="OUO10" s="118"/>
      <c r="OUP10" s="118"/>
      <c r="OUQ10" s="118"/>
      <c r="OUR10" s="118"/>
      <c r="OUS10" s="118"/>
      <c r="OUT10" s="118"/>
      <c r="OUU10" s="118"/>
      <c r="OUV10" s="118"/>
      <c r="OUW10" s="118"/>
      <c r="OUX10" s="118"/>
      <c r="OUY10" s="118"/>
      <c r="OUZ10" s="118"/>
      <c r="OVA10" s="118"/>
      <c r="OVB10" s="118"/>
      <c r="OVC10" s="118"/>
      <c r="OVD10" s="118"/>
      <c r="OVE10" s="118"/>
      <c r="OVF10" s="118"/>
      <c r="OVG10" s="118"/>
      <c r="OVH10" s="118"/>
      <c r="OVI10" s="118"/>
      <c r="OVJ10" s="118"/>
      <c r="OVK10" s="118"/>
      <c r="OVL10" s="118"/>
      <c r="OVM10" s="118"/>
      <c r="OVN10" s="118"/>
      <c r="OVO10" s="118"/>
      <c r="OVP10" s="118"/>
      <c r="OVQ10" s="118"/>
      <c r="OVR10" s="118"/>
      <c r="OVS10" s="118"/>
      <c r="OVT10" s="118"/>
      <c r="OVU10" s="118"/>
      <c r="OVV10" s="118"/>
      <c r="OVW10" s="118"/>
      <c r="OVX10" s="118"/>
      <c r="OVY10" s="118"/>
      <c r="OVZ10" s="118"/>
      <c r="OWA10" s="118"/>
      <c r="OWB10" s="118"/>
      <c r="OWC10" s="118"/>
      <c r="OWD10" s="118"/>
      <c r="OWE10" s="118"/>
      <c r="OWF10" s="118"/>
      <c r="OWG10" s="118"/>
      <c r="OWH10" s="118"/>
      <c r="OWI10" s="118"/>
      <c r="OWJ10" s="118"/>
      <c r="OWK10" s="118"/>
      <c r="OWL10" s="118"/>
      <c r="OWM10" s="118"/>
      <c r="OWN10" s="118"/>
      <c r="OWO10" s="118"/>
      <c r="OWP10" s="118"/>
      <c r="OWQ10" s="118"/>
      <c r="OWR10" s="118"/>
      <c r="OWS10" s="118"/>
      <c r="OWT10" s="118"/>
      <c r="OWU10" s="118"/>
      <c r="OWV10" s="118"/>
      <c r="OWW10" s="118"/>
      <c r="OWX10" s="118"/>
      <c r="OWY10" s="118"/>
      <c r="OWZ10" s="118"/>
      <c r="OXA10" s="118"/>
      <c r="OXB10" s="118"/>
      <c r="OXC10" s="118"/>
      <c r="OXD10" s="118"/>
      <c r="OXE10" s="118"/>
      <c r="OXF10" s="118"/>
      <c r="OXG10" s="118"/>
      <c r="OXH10" s="118"/>
      <c r="OXI10" s="118"/>
      <c r="OXJ10" s="118"/>
      <c r="OXK10" s="118"/>
      <c r="OXL10" s="118"/>
      <c r="OXM10" s="118"/>
      <c r="OXN10" s="118"/>
      <c r="OXO10" s="118"/>
      <c r="OXP10" s="118"/>
      <c r="OXQ10" s="118"/>
      <c r="OXR10" s="118"/>
      <c r="OXS10" s="118"/>
      <c r="OXT10" s="118"/>
      <c r="OXU10" s="118"/>
      <c r="OXV10" s="118"/>
      <c r="OXW10" s="118"/>
      <c r="OXX10" s="118"/>
      <c r="OXY10" s="118"/>
      <c r="OXZ10" s="118"/>
      <c r="OYA10" s="118"/>
      <c r="OYB10" s="118"/>
      <c r="OYC10" s="118"/>
      <c r="OYD10" s="118"/>
      <c r="OYE10" s="118"/>
      <c r="OYF10" s="118"/>
      <c r="OYG10" s="118"/>
      <c r="OYH10" s="118"/>
      <c r="OYI10" s="118"/>
      <c r="OYJ10" s="118"/>
      <c r="OYK10" s="118"/>
      <c r="OYL10" s="118"/>
      <c r="OYM10" s="118"/>
      <c r="OYN10" s="118"/>
      <c r="OYO10" s="118"/>
      <c r="OYP10" s="118"/>
      <c r="OYQ10" s="118"/>
      <c r="OYR10" s="118"/>
      <c r="OYS10" s="118"/>
      <c r="OYT10" s="118"/>
      <c r="OYU10" s="118"/>
      <c r="OYV10" s="118"/>
      <c r="OYW10" s="118"/>
      <c r="OYX10" s="118"/>
      <c r="OYY10" s="118"/>
      <c r="OYZ10" s="118"/>
      <c r="OZA10" s="118"/>
      <c r="OZB10" s="118"/>
      <c r="OZC10" s="118"/>
      <c r="OZD10" s="118"/>
      <c r="OZE10" s="118"/>
      <c r="OZF10" s="118"/>
      <c r="OZG10" s="118"/>
      <c r="OZH10" s="118"/>
      <c r="OZI10" s="118"/>
      <c r="OZJ10" s="118"/>
      <c r="OZK10" s="118"/>
      <c r="OZL10" s="118"/>
      <c r="OZM10" s="118"/>
      <c r="OZN10" s="118"/>
      <c r="OZO10" s="118"/>
      <c r="OZP10" s="118"/>
      <c r="OZQ10" s="118"/>
      <c r="OZR10" s="118"/>
      <c r="OZS10" s="118"/>
      <c r="OZT10" s="118"/>
      <c r="OZU10" s="118"/>
      <c r="OZV10" s="118"/>
      <c r="OZW10" s="118"/>
      <c r="OZX10" s="118"/>
      <c r="OZY10" s="118"/>
      <c r="OZZ10" s="118"/>
      <c r="PAA10" s="118"/>
      <c r="PAB10" s="118"/>
      <c r="PAC10" s="118"/>
      <c r="PAD10" s="118"/>
      <c r="PAE10" s="118"/>
      <c r="PAF10" s="118"/>
      <c r="PAG10" s="118"/>
      <c r="PAH10" s="118"/>
      <c r="PAI10" s="118"/>
      <c r="PAJ10" s="118"/>
      <c r="PAK10" s="118"/>
      <c r="PAL10" s="118"/>
      <c r="PAM10" s="118"/>
      <c r="PAN10" s="118"/>
      <c r="PAO10" s="118"/>
      <c r="PAP10" s="118"/>
      <c r="PAQ10" s="118"/>
      <c r="PAR10" s="118"/>
      <c r="PAS10" s="118"/>
      <c r="PAT10" s="118"/>
      <c r="PAU10" s="118"/>
      <c r="PAV10" s="118"/>
      <c r="PAW10" s="118"/>
      <c r="PAX10" s="118"/>
      <c r="PAY10" s="118"/>
      <c r="PAZ10" s="118"/>
      <c r="PBA10" s="118"/>
      <c r="PBB10" s="118"/>
      <c r="PBC10" s="118"/>
      <c r="PBD10" s="118"/>
      <c r="PBE10" s="118"/>
      <c r="PBF10" s="118"/>
      <c r="PBG10" s="118"/>
      <c r="PBH10" s="118"/>
      <c r="PBI10" s="118"/>
      <c r="PBJ10" s="118"/>
      <c r="PBK10" s="118"/>
      <c r="PBL10" s="118"/>
      <c r="PBM10" s="118"/>
      <c r="PBN10" s="118"/>
      <c r="PBO10" s="118"/>
      <c r="PBP10" s="118"/>
      <c r="PBQ10" s="118"/>
      <c r="PBR10" s="118"/>
      <c r="PBS10" s="118"/>
      <c r="PBT10" s="118"/>
      <c r="PBU10" s="118"/>
      <c r="PBV10" s="118"/>
      <c r="PBW10" s="118"/>
      <c r="PBX10" s="118"/>
      <c r="PBY10" s="118"/>
      <c r="PBZ10" s="118"/>
      <c r="PCA10" s="118"/>
      <c r="PCB10" s="118"/>
      <c r="PCC10" s="118"/>
      <c r="PCD10" s="118"/>
      <c r="PCE10" s="118"/>
      <c r="PCF10" s="118"/>
      <c r="PCG10" s="118"/>
      <c r="PCH10" s="118"/>
      <c r="PCI10" s="118"/>
      <c r="PCJ10" s="118"/>
      <c r="PCK10" s="118"/>
      <c r="PCL10" s="118"/>
      <c r="PCM10" s="118"/>
      <c r="PCN10" s="118"/>
      <c r="PCO10" s="118"/>
      <c r="PCP10" s="118"/>
      <c r="PCQ10" s="118"/>
      <c r="PCR10" s="118"/>
      <c r="PCS10" s="118"/>
      <c r="PCT10" s="118"/>
      <c r="PCU10" s="118"/>
      <c r="PCV10" s="118"/>
      <c r="PCW10" s="118"/>
      <c r="PCX10" s="118"/>
      <c r="PCY10" s="118"/>
      <c r="PCZ10" s="118"/>
      <c r="PDA10" s="118"/>
      <c r="PDB10" s="118"/>
      <c r="PDC10" s="118"/>
      <c r="PDD10" s="118"/>
      <c r="PDE10" s="118"/>
      <c r="PDF10" s="118"/>
      <c r="PDG10" s="118"/>
      <c r="PDH10" s="118"/>
      <c r="PDI10" s="118"/>
      <c r="PDJ10" s="118"/>
      <c r="PDK10" s="118"/>
      <c r="PDL10" s="118"/>
      <c r="PDM10" s="118"/>
      <c r="PDN10" s="118"/>
      <c r="PDO10" s="118"/>
      <c r="PDP10" s="118"/>
      <c r="PDQ10" s="118"/>
      <c r="PDR10" s="118"/>
      <c r="PDS10" s="118"/>
      <c r="PDT10" s="118"/>
      <c r="PDU10" s="118"/>
      <c r="PDV10" s="118"/>
      <c r="PDW10" s="118"/>
      <c r="PDX10" s="118"/>
      <c r="PDY10" s="118"/>
      <c r="PDZ10" s="118"/>
      <c r="PEA10" s="118"/>
      <c r="PEB10" s="118"/>
      <c r="PEC10" s="118"/>
      <c r="PED10" s="118"/>
      <c r="PEE10" s="118"/>
      <c r="PEF10" s="118"/>
      <c r="PEG10" s="118"/>
      <c r="PEH10" s="118"/>
      <c r="PEI10" s="118"/>
      <c r="PEJ10" s="118"/>
      <c r="PEK10" s="118"/>
      <c r="PEL10" s="118"/>
      <c r="PEM10" s="118"/>
      <c r="PEN10" s="118"/>
      <c r="PEO10" s="118"/>
      <c r="PEP10" s="118"/>
      <c r="PEQ10" s="118"/>
      <c r="PER10" s="118"/>
      <c r="PES10" s="118"/>
      <c r="PET10" s="118"/>
      <c r="PEU10" s="118"/>
      <c r="PEV10" s="118"/>
      <c r="PEW10" s="118"/>
      <c r="PEX10" s="118"/>
      <c r="PEY10" s="118"/>
      <c r="PEZ10" s="118"/>
      <c r="PFA10" s="118"/>
      <c r="PFB10" s="118"/>
      <c r="PFC10" s="118"/>
      <c r="PFD10" s="118"/>
      <c r="PFE10" s="118"/>
      <c r="PFF10" s="118"/>
      <c r="PFG10" s="118"/>
      <c r="PFH10" s="118"/>
      <c r="PFI10" s="118"/>
      <c r="PFJ10" s="118"/>
      <c r="PFK10" s="118"/>
      <c r="PFL10" s="118"/>
      <c r="PFM10" s="118"/>
      <c r="PFN10" s="118"/>
      <c r="PFO10" s="118"/>
      <c r="PFP10" s="118"/>
      <c r="PFQ10" s="118"/>
      <c r="PFR10" s="118"/>
      <c r="PFS10" s="118"/>
      <c r="PFT10" s="118"/>
      <c r="PFU10" s="118"/>
      <c r="PFV10" s="118"/>
      <c r="PFW10" s="118"/>
      <c r="PFX10" s="118"/>
      <c r="PFY10" s="118"/>
      <c r="PFZ10" s="118"/>
      <c r="PGA10" s="118"/>
      <c r="PGB10" s="118"/>
      <c r="PGC10" s="118"/>
      <c r="PGD10" s="118"/>
      <c r="PGE10" s="118"/>
      <c r="PGF10" s="118"/>
      <c r="PGG10" s="118"/>
      <c r="PGH10" s="118"/>
      <c r="PGI10" s="118"/>
      <c r="PGJ10" s="118"/>
      <c r="PGK10" s="118"/>
      <c r="PGL10" s="118"/>
      <c r="PGM10" s="118"/>
      <c r="PGN10" s="118"/>
      <c r="PGO10" s="118"/>
      <c r="PGP10" s="118"/>
      <c r="PGQ10" s="118"/>
      <c r="PGR10" s="118"/>
      <c r="PGS10" s="118"/>
      <c r="PGT10" s="118"/>
      <c r="PGU10" s="118"/>
      <c r="PGV10" s="118"/>
      <c r="PGW10" s="118"/>
      <c r="PGX10" s="118"/>
      <c r="PGY10" s="118"/>
      <c r="PGZ10" s="118"/>
      <c r="PHA10" s="118"/>
      <c r="PHB10" s="118"/>
      <c r="PHC10" s="118"/>
      <c r="PHD10" s="118"/>
      <c r="PHE10" s="118"/>
      <c r="PHF10" s="118"/>
      <c r="PHG10" s="118"/>
      <c r="PHH10" s="118"/>
      <c r="PHI10" s="118"/>
      <c r="PHJ10" s="118"/>
      <c r="PHK10" s="118"/>
      <c r="PHL10" s="118"/>
      <c r="PHM10" s="118"/>
      <c r="PHN10" s="118"/>
      <c r="PHO10" s="118"/>
      <c r="PHP10" s="118"/>
      <c r="PHQ10" s="118"/>
      <c r="PHR10" s="118"/>
      <c r="PHS10" s="118"/>
      <c r="PHT10" s="118"/>
      <c r="PHU10" s="118"/>
      <c r="PHV10" s="118"/>
      <c r="PHW10" s="118"/>
      <c r="PHX10" s="118"/>
      <c r="PHY10" s="118"/>
      <c r="PHZ10" s="118"/>
      <c r="PIA10" s="118"/>
      <c r="PIB10" s="118"/>
      <c r="PIC10" s="118"/>
      <c r="PID10" s="118"/>
      <c r="PIE10" s="118"/>
      <c r="PIF10" s="118"/>
      <c r="PIG10" s="118"/>
      <c r="PIH10" s="118"/>
      <c r="PII10" s="118"/>
      <c r="PIJ10" s="118"/>
      <c r="PIK10" s="118"/>
      <c r="PIL10" s="118"/>
      <c r="PIM10" s="118"/>
      <c r="PIN10" s="118"/>
      <c r="PIO10" s="118"/>
      <c r="PIP10" s="118"/>
      <c r="PIQ10" s="118"/>
      <c r="PIR10" s="118"/>
      <c r="PIS10" s="118"/>
      <c r="PIT10" s="118"/>
      <c r="PIU10" s="118"/>
      <c r="PIV10" s="118"/>
      <c r="PIW10" s="118"/>
      <c r="PIX10" s="118"/>
      <c r="PIY10" s="118"/>
      <c r="PIZ10" s="118"/>
      <c r="PJA10" s="118"/>
      <c r="PJB10" s="118"/>
      <c r="PJC10" s="118"/>
      <c r="PJD10" s="118"/>
      <c r="PJE10" s="118"/>
      <c r="PJF10" s="118"/>
      <c r="PJG10" s="118"/>
      <c r="PJH10" s="118"/>
      <c r="PJI10" s="118"/>
      <c r="PJJ10" s="118"/>
      <c r="PJK10" s="118"/>
      <c r="PJL10" s="118"/>
      <c r="PJM10" s="118"/>
      <c r="PJN10" s="118"/>
      <c r="PJO10" s="118"/>
      <c r="PJP10" s="118"/>
      <c r="PJQ10" s="118"/>
      <c r="PJR10" s="118"/>
      <c r="PJS10" s="118"/>
      <c r="PJT10" s="118"/>
      <c r="PJU10" s="118"/>
      <c r="PJV10" s="118"/>
      <c r="PJW10" s="118"/>
      <c r="PJX10" s="118"/>
      <c r="PJY10" s="118"/>
      <c r="PJZ10" s="118"/>
      <c r="PKA10" s="118"/>
      <c r="PKB10" s="118"/>
      <c r="PKC10" s="118"/>
      <c r="PKD10" s="118"/>
      <c r="PKE10" s="118"/>
      <c r="PKF10" s="118"/>
      <c r="PKG10" s="118"/>
      <c r="PKH10" s="118"/>
      <c r="PKI10" s="118"/>
      <c r="PKJ10" s="118"/>
      <c r="PKK10" s="118"/>
      <c r="PKL10" s="118"/>
      <c r="PKM10" s="118"/>
      <c r="PKN10" s="118"/>
      <c r="PKO10" s="118"/>
      <c r="PKP10" s="118"/>
      <c r="PKQ10" s="118"/>
      <c r="PKR10" s="118"/>
      <c r="PKS10" s="118"/>
      <c r="PKT10" s="118"/>
      <c r="PKU10" s="118"/>
      <c r="PKV10" s="118"/>
      <c r="PKW10" s="118"/>
      <c r="PKX10" s="118"/>
      <c r="PKY10" s="118"/>
      <c r="PKZ10" s="118"/>
      <c r="PLA10" s="118"/>
      <c r="PLB10" s="118"/>
      <c r="PLC10" s="118"/>
      <c r="PLD10" s="118"/>
      <c r="PLE10" s="118"/>
      <c r="PLF10" s="118"/>
      <c r="PLG10" s="118"/>
      <c r="PLH10" s="118"/>
      <c r="PLI10" s="118"/>
      <c r="PLJ10" s="118"/>
      <c r="PLK10" s="118"/>
      <c r="PLL10" s="118"/>
      <c r="PLM10" s="118"/>
      <c r="PLN10" s="118"/>
      <c r="PLO10" s="118"/>
      <c r="PLP10" s="118"/>
      <c r="PLQ10" s="118"/>
      <c r="PLR10" s="118"/>
      <c r="PLS10" s="118"/>
      <c r="PLT10" s="118"/>
      <c r="PLU10" s="118"/>
      <c r="PLV10" s="118"/>
      <c r="PLW10" s="118"/>
      <c r="PLX10" s="118"/>
      <c r="PLY10" s="118"/>
      <c r="PLZ10" s="118"/>
      <c r="PMA10" s="118"/>
      <c r="PMB10" s="118"/>
      <c r="PMC10" s="118"/>
      <c r="PMD10" s="118"/>
      <c r="PME10" s="118"/>
      <c r="PMF10" s="118"/>
      <c r="PMG10" s="118"/>
      <c r="PMH10" s="118"/>
      <c r="PMI10" s="118"/>
      <c r="PMJ10" s="118"/>
      <c r="PMK10" s="118"/>
      <c r="PML10" s="118"/>
      <c r="PMM10" s="118"/>
      <c r="PMN10" s="118"/>
      <c r="PMO10" s="118"/>
      <c r="PMP10" s="118"/>
      <c r="PMQ10" s="118"/>
      <c r="PMR10" s="118"/>
      <c r="PMS10" s="118"/>
      <c r="PMT10" s="118"/>
      <c r="PMU10" s="118"/>
      <c r="PMV10" s="118"/>
      <c r="PMW10" s="118"/>
      <c r="PMX10" s="118"/>
      <c r="PMY10" s="118"/>
      <c r="PMZ10" s="118"/>
      <c r="PNA10" s="118"/>
      <c r="PNB10" s="118"/>
      <c r="PNC10" s="118"/>
      <c r="PND10" s="118"/>
      <c r="PNE10" s="118"/>
      <c r="PNF10" s="118"/>
      <c r="PNG10" s="118"/>
      <c r="PNH10" s="118"/>
      <c r="PNI10" s="118"/>
      <c r="PNJ10" s="118"/>
      <c r="PNK10" s="118"/>
      <c r="PNL10" s="118"/>
      <c r="PNM10" s="118"/>
      <c r="PNN10" s="118"/>
      <c r="PNO10" s="118"/>
      <c r="PNP10" s="118"/>
      <c r="PNQ10" s="118"/>
      <c r="PNR10" s="118"/>
      <c r="PNS10" s="118"/>
      <c r="PNT10" s="118"/>
      <c r="PNU10" s="118"/>
      <c r="PNV10" s="118"/>
      <c r="PNW10" s="118"/>
      <c r="PNX10" s="118"/>
      <c r="PNY10" s="118"/>
      <c r="PNZ10" s="118"/>
      <c r="POA10" s="118"/>
      <c r="POB10" s="118"/>
      <c r="POC10" s="118"/>
      <c r="POD10" s="118"/>
      <c r="POE10" s="118"/>
      <c r="POF10" s="118"/>
      <c r="POG10" s="118"/>
      <c r="POH10" s="118"/>
      <c r="POI10" s="118"/>
      <c r="POJ10" s="118"/>
      <c r="POK10" s="118"/>
      <c r="POL10" s="118"/>
      <c r="POM10" s="118"/>
      <c r="PON10" s="118"/>
      <c r="POO10" s="118"/>
      <c r="POP10" s="118"/>
      <c r="POQ10" s="118"/>
      <c r="POR10" s="118"/>
      <c r="POS10" s="118"/>
      <c r="POT10" s="118"/>
      <c r="POU10" s="118"/>
      <c r="POV10" s="118"/>
      <c r="POW10" s="118"/>
      <c r="POX10" s="118"/>
      <c r="POY10" s="118"/>
      <c r="POZ10" s="118"/>
      <c r="PPA10" s="118"/>
      <c r="PPB10" s="118"/>
      <c r="PPC10" s="118"/>
      <c r="PPD10" s="118"/>
      <c r="PPE10" s="118"/>
      <c r="PPF10" s="118"/>
      <c r="PPG10" s="118"/>
      <c r="PPH10" s="118"/>
      <c r="PPI10" s="118"/>
      <c r="PPJ10" s="118"/>
      <c r="PPK10" s="118"/>
      <c r="PPL10" s="118"/>
      <c r="PPM10" s="118"/>
      <c r="PPN10" s="118"/>
      <c r="PPO10" s="118"/>
      <c r="PPP10" s="118"/>
      <c r="PPQ10" s="118"/>
      <c r="PPR10" s="118"/>
      <c r="PPS10" s="118"/>
      <c r="PPT10" s="118"/>
      <c r="PPU10" s="118"/>
      <c r="PPV10" s="118"/>
      <c r="PPW10" s="118"/>
      <c r="PPX10" s="118"/>
      <c r="PPY10" s="118"/>
      <c r="PPZ10" s="118"/>
      <c r="PQA10" s="118"/>
      <c r="PQB10" s="118"/>
      <c r="PQC10" s="118"/>
      <c r="PQD10" s="118"/>
      <c r="PQE10" s="118"/>
      <c r="PQF10" s="118"/>
      <c r="PQG10" s="118"/>
      <c r="PQH10" s="118"/>
      <c r="PQI10" s="118"/>
      <c r="PQJ10" s="118"/>
      <c r="PQK10" s="118"/>
      <c r="PQL10" s="118"/>
      <c r="PQM10" s="118"/>
      <c r="PQN10" s="118"/>
      <c r="PQO10" s="118"/>
      <c r="PQP10" s="118"/>
      <c r="PQQ10" s="118"/>
      <c r="PQR10" s="118"/>
      <c r="PQS10" s="118"/>
      <c r="PQT10" s="118"/>
      <c r="PQU10" s="118"/>
      <c r="PQV10" s="118"/>
      <c r="PQW10" s="118"/>
      <c r="PQX10" s="118"/>
      <c r="PQY10" s="118"/>
      <c r="PQZ10" s="118"/>
      <c r="PRA10" s="118"/>
      <c r="PRB10" s="118"/>
      <c r="PRC10" s="118"/>
      <c r="PRD10" s="118"/>
      <c r="PRE10" s="118"/>
      <c r="PRF10" s="118"/>
      <c r="PRG10" s="118"/>
      <c r="PRH10" s="118"/>
      <c r="PRI10" s="118"/>
      <c r="PRJ10" s="118"/>
      <c r="PRK10" s="118"/>
      <c r="PRL10" s="118"/>
      <c r="PRM10" s="118"/>
      <c r="PRN10" s="118"/>
      <c r="PRO10" s="118"/>
      <c r="PRP10" s="118"/>
      <c r="PRQ10" s="118"/>
      <c r="PRR10" s="118"/>
      <c r="PRS10" s="118"/>
      <c r="PRT10" s="118"/>
      <c r="PRU10" s="118"/>
      <c r="PRV10" s="118"/>
      <c r="PRW10" s="118"/>
      <c r="PRX10" s="118"/>
      <c r="PRY10" s="118"/>
      <c r="PRZ10" s="118"/>
      <c r="PSA10" s="118"/>
      <c r="PSB10" s="118"/>
      <c r="PSC10" s="118"/>
      <c r="PSD10" s="118"/>
      <c r="PSE10" s="118"/>
      <c r="PSF10" s="118"/>
      <c r="PSG10" s="118"/>
      <c r="PSH10" s="118"/>
      <c r="PSI10" s="118"/>
      <c r="PSJ10" s="118"/>
      <c r="PSK10" s="118"/>
      <c r="PSL10" s="118"/>
      <c r="PSM10" s="118"/>
      <c r="PSN10" s="118"/>
      <c r="PSO10" s="118"/>
      <c r="PSP10" s="118"/>
      <c r="PSQ10" s="118"/>
      <c r="PSR10" s="118"/>
      <c r="PSS10" s="118"/>
      <c r="PST10" s="118"/>
      <c r="PSU10" s="118"/>
      <c r="PSV10" s="118"/>
      <c r="PSW10" s="118"/>
      <c r="PSX10" s="118"/>
      <c r="PSY10" s="118"/>
      <c r="PSZ10" s="118"/>
      <c r="PTA10" s="118"/>
      <c r="PTB10" s="118"/>
      <c r="PTC10" s="118"/>
      <c r="PTD10" s="118"/>
      <c r="PTE10" s="118"/>
      <c r="PTF10" s="118"/>
      <c r="PTG10" s="118"/>
      <c r="PTH10" s="118"/>
      <c r="PTI10" s="118"/>
      <c r="PTJ10" s="118"/>
      <c r="PTK10" s="118"/>
      <c r="PTL10" s="118"/>
      <c r="PTM10" s="118"/>
      <c r="PTN10" s="118"/>
      <c r="PTO10" s="118"/>
      <c r="PTP10" s="118"/>
      <c r="PTQ10" s="118"/>
      <c r="PTR10" s="118"/>
      <c r="PTS10" s="118"/>
      <c r="PTT10" s="118"/>
      <c r="PTU10" s="118"/>
      <c r="PTV10" s="118"/>
      <c r="PTW10" s="118"/>
      <c r="PTX10" s="118"/>
      <c r="PTY10" s="118"/>
      <c r="PTZ10" s="118"/>
      <c r="PUA10" s="118"/>
      <c r="PUB10" s="118"/>
      <c r="PUC10" s="118"/>
      <c r="PUD10" s="118"/>
      <c r="PUE10" s="118"/>
      <c r="PUF10" s="118"/>
      <c r="PUG10" s="118"/>
      <c r="PUH10" s="118"/>
      <c r="PUI10" s="118"/>
      <c r="PUJ10" s="118"/>
      <c r="PUK10" s="118"/>
      <c r="PUL10" s="118"/>
      <c r="PUM10" s="118"/>
      <c r="PUN10" s="118"/>
      <c r="PUO10" s="118"/>
      <c r="PUP10" s="118"/>
      <c r="PUQ10" s="118"/>
      <c r="PUR10" s="118"/>
      <c r="PUS10" s="118"/>
      <c r="PUT10" s="118"/>
      <c r="PUU10" s="118"/>
      <c r="PUV10" s="118"/>
      <c r="PUW10" s="118"/>
      <c r="PUX10" s="118"/>
      <c r="PUY10" s="118"/>
      <c r="PUZ10" s="118"/>
      <c r="PVA10" s="118"/>
      <c r="PVB10" s="118"/>
      <c r="PVC10" s="118"/>
      <c r="PVD10" s="118"/>
      <c r="PVE10" s="118"/>
      <c r="PVF10" s="118"/>
      <c r="PVG10" s="118"/>
      <c r="PVH10" s="118"/>
      <c r="PVI10" s="118"/>
      <c r="PVJ10" s="118"/>
      <c r="PVK10" s="118"/>
      <c r="PVL10" s="118"/>
      <c r="PVM10" s="118"/>
      <c r="PVN10" s="118"/>
      <c r="PVO10" s="118"/>
      <c r="PVP10" s="118"/>
      <c r="PVQ10" s="118"/>
      <c r="PVR10" s="118"/>
      <c r="PVS10" s="118"/>
      <c r="PVT10" s="118"/>
      <c r="PVU10" s="118"/>
      <c r="PVV10" s="118"/>
      <c r="PVW10" s="118"/>
      <c r="PVX10" s="118"/>
      <c r="PVY10" s="118"/>
      <c r="PVZ10" s="118"/>
      <c r="PWA10" s="118"/>
      <c r="PWB10" s="118"/>
      <c r="PWC10" s="118"/>
      <c r="PWD10" s="118"/>
      <c r="PWE10" s="118"/>
      <c r="PWF10" s="118"/>
      <c r="PWG10" s="118"/>
      <c r="PWH10" s="118"/>
      <c r="PWI10" s="118"/>
      <c r="PWJ10" s="118"/>
      <c r="PWK10" s="118"/>
      <c r="PWL10" s="118"/>
      <c r="PWM10" s="118"/>
      <c r="PWN10" s="118"/>
      <c r="PWO10" s="118"/>
      <c r="PWP10" s="118"/>
      <c r="PWQ10" s="118"/>
      <c r="PWR10" s="118"/>
      <c r="PWS10" s="118"/>
      <c r="PWT10" s="118"/>
      <c r="PWU10" s="118"/>
      <c r="PWV10" s="118"/>
      <c r="PWW10" s="118"/>
      <c r="PWX10" s="118"/>
      <c r="PWY10" s="118"/>
      <c r="PWZ10" s="118"/>
      <c r="PXA10" s="118"/>
      <c r="PXB10" s="118"/>
      <c r="PXC10" s="118"/>
      <c r="PXD10" s="118"/>
      <c r="PXE10" s="118"/>
      <c r="PXF10" s="118"/>
      <c r="PXG10" s="118"/>
      <c r="PXH10" s="118"/>
      <c r="PXI10" s="118"/>
      <c r="PXJ10" s="118"/>
      <c r="PXK10" s="118"/>
      <c r="PXL10" s="118"/>
      <c r="PXM10" s="118"/>
      <c r="PXN10" s="118"/>
      <c r="PXO10" s="118"/>
      <c r="PXP10" s="118"/>
      <c r="PXQ10" s="118"/>
      <c r="PXR10" s="118"/>
      <c r="PXS10" s="118"/>
      <c r="PXT10" s="118"/>
      <c r="PXU10" s="118"/>
      <c r="PXV10" s="118"/>
      <c r="PXW10" s="118"/>
      <c r="PXX10" s="118"/>
      <c r="PXY10" s="118"/>
      <c r="PXZ10" s="118"/>
      <c r="PYA10" s="118"/>
      <c r="PYB10" s="118"/>
      <c r="PYC10" s="118"/>
      <c r="PYD10" s="118"/>
      <c r="PYE10" s="118"/>
      <c r="PYF10" s="118"/>
      <c r="PYG10" s="118"/>
      <c r="PYH10" s="118"/>
      <c r="PYI10" s="118"/>
      <c r="PYJ10" s="118"/>
      <c r="PYK10" s="118"/>
      <c r="PYL10" s="118"/>
      <c r="PYM10" s="118"/>
      <c r="PYN10" s="118"/>
      <c r="PYO10" s="118"/>
      <c r="PYP10" s="118"/>
      <c r="PYQ10" s="118"/>
      <c r="PYR10" s="118"/>
      <c r="PYS10" s="118"/>
      <c r="PYT10" s="118"/>
      <c r="PYU10" s="118"/>
      <c r="PYV10" s="118"/>
      <c r="PYW10" s="118"/>
      <c r="PYX10" s="118"/>
      <c r="PYY10" s="118"/>
      <c r="PYZ10" s="118"/>
      <c r="PZA10" s="118"/>
      <c r="PZB10" s="118"/>
      <c r="PZC10" s="118"/>
      <c r="PZD10" s="118"/>
      <c r="PZE10" s="118"/>
      <c r="PZF10" s="118"/>
      <c r="PZG10" s="118"/>
      <c r="PZH10" s="118"/>
      <c r="PZI10" s="118"/>
      <c r="PZJ10" s="118"/>
      <c r="PZK10" s="118"/>
      <c r="PZL10" s="118"/>
      <c r="PZM10" s="118"/>
      <c r="PZN10" s="118"/>
      <c r="PZO10" s="118"/>
      <c r="PZP10" s="118"/>
      <c r="PZQ10" s="118"/>
      <c r="PZR10" s="118"/>
      <c r="PZS10" s="118"/>
      <c r="PZT10" s="118"/>
      <c r="PZU10" s="118"/>
      <c r="PZV10" s="118"/>
      <c r="PZW10" s="118"/>
      <c r="PZX10" s="118"/>
      <c r="PZY10" s="118"/>
      <c r="PZZ10" s="118"/>
      <c r="QAA10" s="118"/>
      <c r="QAB10" s="118"/>
      <c r="QAC10" s="118"/>
      <c r="QAD10" s="118"/>
      <c r="QAE10" s="118"/>
      <c r="QAF10" s="118"/>
      <c r="QAG10" s="118"/>
      <c r="QAH10" s="118"/>
      <c r="QAI10" s="118"/>
      <c r="QAJ10" s="118"/>
      <c r="QAK10" s="118"/>
      <c r="QAL10" s="118"/>
      <c r="QAM10" s="118"/>
      <c r="QAN10" s="118"/>
      <c r="QAO10" s="118"/>
      <c r="QAP10" s="118"/>
      <c r="QAQ10" s="118"/>
      <c r="QAR10" s="118"/>
      <c r="QAS10" s="118"/>
      <c r="QAT10" s="118"/>
      <c r="QAU10" s="118"/>
      <c r="QAV10" s="118"/>
      <c r="QAW10" s="118"/>
      <c r="QAX10" s="118"/>
      <c r="QAY10" s="118"/>
      <c r="QAZ10" s="118"/>
      <c r="QBA10" s="118"/>
      <c r="QBB10" s="118"/>
      <c r="QBC10" s="118"/>
      <c r="QBD10" s="118"/>
      <c r="QBE10" s="118"/>
      <c r="QBF10" s="118"/>
      <c r="QBG10" s="118"/>
      <c r="QBH10" s="118"/>
      <c r="QBI10" s="118"/>
      <c r="QBJ10" s="118"/>
      <c r="QBK10" s="118"/>
      <c r="QBL10" s="118"/>
      <c r="QBM10" s="118"/>
      <c r="QBN10" s="118"/>
      <c r="QBO10" s="118"/>
      <c r="QBP10" s="118"/>
      <c r="QBQ10" s="118"/>
      <c r="QBR10" s="118"/>
      <c r="QBS10" s="118"/>
      <c r="QBT10" s="118"/>
      <c r="QBU10" s="118"/>
      <c r="QBV10" s="118"/>
      <c r="QBW10" s="118"/>
      <c r="QBX10" s="118"/>
      <c r="QBY10" s="118"/>
      <c r="QBZ10" s="118"/>
      <c r="QCA10" s="118"/>
      <c r="QCB10" s="118"/>
      <c r="QCC10" s="118"/>
      <c r="QCD10" s="118"/>
      <c r="QCE10" s="118"/>
      <c r="QCF10" s="118"/>
      <c r="QCG10" s="118"/>
      <c r="QCH10" s="118"/>
      <c r="QCI10" s="118"/>
      <c r="QCJ10" s="118"/>
      <c r="QCK10" s="118"/>
      <c r="QCL10" s="118"/>
      <c r="QCM10" s="118"/>
      <c r="QCN10" s="118"/>
      <c r="QCO10" s="118"/>
      <c r="QCP10" s="118"/>
      <c r="QCQ10" s="118"/>
      <c r="QCR10" s="118"/>
      <c r="QCS10" s="118"/>
      <c r="QCT10" s="118"/>
      <c r="QCU10" s="118"/>
      <c r="QCV10" s="118"/>
      <c r="QCW10" s="118"/>
      <c r="QCX10" s="118"/>
      <c r="QCY10" s="118"/>
      <c r="QCZ10" s="118"/>
      <c r="QDA10" s="118"/>
      <c r="QDB10" s="118"/>
      <c r="QDC10" s="118"/>
      <c r="QDD10" s="118"/>
      <c r="QDE10" s="118"/>
      <c r="QDF10" s="118"/>
      <c r="QDG10" s="118"/>
      <c r="QDH10" s="118"/>
      <c r="QDI10" s="118"/>
      <c r="QDJ10" s="118"/>
      <c r="QDK10" s="118"/>
      <c r="QDL10" s="118"/>
      <c r="QDM10" s="118"/>
      <c r="QDN10" s="118"/>
      <c r="QDO10" s="118"/>
      <c r="QDP10" s="118"/>
      <c r="QDQ10" s="118"/>
      <c r="QDR10" s="118"/>
      <c r="QDS10" s="118"/>
      <c r="QDT10" s="118"/>
      <c r="QDU10" s="118"/>
      <c r="QDV10" s="118"/>
      <c r="QDW10" s="118"/>
      <c r="QDX10" s="118"/>
      <c r="QDY10" s="118"/>
      <c r="QDZ10" s="118"/>
      <c r="QEA10" s="118"/>
      <c r="QEB10" s="118"/>
      <c r="QEC10" s="118"/>
      <c r="QED10" s="118"/>
      <c r="QEE10" s="118"/>
      <c r="QEF10" s="118"/>
      <c r="QEG10" s="118"/>
      <c r="QEH10" s="118"/>
      <c r="QEI10" s="118"/>
      <c r="QEJ10" s="118"/>
      <c r="QEK10" s="118"/>
      <c r="QEL10" s="118"/>
      <c r="QEM10" s="118"/>
      <c r="QEN10" s="118"/>
      <c r="QEO10" s="118"/>
      <c r="QEP10" s="118"/>
      <c r="QEQ10" s="118"/>
      <c r="QER10" s="118"/>
      <c r="QES10" s="118"/>
      <c r="QET10" s="118"/>
      <c r="QEU10" s="118"/>
      <c r="QEV10" s="118"/>
      <c r="QEW10" s="118"/>
      <c r="QEX10" s="118"/>
      <c r="QEY10" s="118"/>
      <c r="QEZ10" s="118"/>
      <c r="QFA10" s="118"/>
      <c r="QFB10" s="118"/>
      <c r="QFC10" s="118"/>
      <c r="QFD10" s="118"/>
      <c r="QFE10" s="118"/>
      <c r="QFF10" s="118"/>
      <c r="QFG10" s="118"/>
      <c r="QFH10" s="118"/>
      <c r="QFI10" s="118"/>
      <c r="QFJ10" s="118"/>
      <c r="QFK10" s="118"/>
      <c r="QFL10" s="118"/>
      <c r="QFM10" s="118"/>
      <c r="QFN10" s="118"/>
      <c r="QFO10" s="118"/>
      <c r="QFP10" s="118"/>
      <c r="QFQ10" s="118"/>
      <c r="QFR10" s="118"/>
      <c r="QFS10" s="118"/>
      <c r="QFT10" s="118"/>
      <c r="QFU10" s="118"/>
      <c r="QFV10" s="118"/>
      <c r="QFW10" s="118"/>
      <c r="QFX10" s="118"/>
      <c r="QFY10" s="118"/>
      <c r="QFZ10" s="118"/>
      <c r="QGA10" s="118"/>
      <c r="QGB10" s="118"/>
      <c r="QGC10" s="118"/>
      <c r="QGD10" s="118"/>
      <c r="QGE10" s="118"/>
      <c r="QGF10" s="118"/>
      <c r="QGG10" s="118"/>
      <c r="QGH10" s="118"/>
      <c r="QGI10" s="118"/>
      <c r="QGJ10" s="118"/>
      <c r="QGK10" s="118"/>
      <c r="QGL10" s="118"/>
      <c r="QGM10" s="118"/>
      <c r="QGN10" s="118"/>
      <c r="QGO10" s="118"/>
      <c r="QGP10" s="118"/>
      <c r="QGQ10" s="118"/>
      <c r="QGR10" s="118"/>
      <c r="QGS10" s="118"/>
      <c r="QGT10" s="118"/>
      <c r="QGU10" s="118"/>
      <c r="QGV10" s="118"/>
      <c r="QGW10" s="118"/>
      <c r="QGX10" s="118"/>
      <c r="QGY10" s="118"/>
      <c r="QGZ10" s="118"/>
      <c r="QHA10" s="118"/>
      <c r="QHB10" s="118"/>
      <c r="QHC10" s="118"/>
      <c r="QHD10" s="118"/>
      <c r="QHE10" s="118"/>
      <c r="QHF10" s="118"/>
      <c r="QHG10" s="118"/>
      <c r="QHH10" s="118"/>
      <c r="QHI10" s="118"/>
      <c r="QHJ10" s="118"/>
      <c r="QHK10" s="118"/>
      <c r="QHL10" s="118"/>
      <c r="QHM10" s="118"/>
      <c r="QHN10" s="118"/>
      <c r="QHO10" s="118"/>
      <c r="QHP10" s="118"/>
      <c r="QHQ10" s="118"/>
      <c r="QHR10" s="118"/>
      <c r="QHS10" s="118"/>
      <c r="QHT10" s="118"/>
      <c r="QHU10" s="118"/>
      <c r="QHV10" s="118"/>
      <c r="QHW10" s="118"/>
      <c r="QHX10" s="118"/>
      <c r="QHY10" s="118"/>
      <c r="QHZ10" s="118"/>
      <c r="QIA10" s="118"/>
      <c r="QIB10" s="118"/>
      <c r="QIC10" s="118"/>
      <c r="QID10" s="118"/>
      <c r="QIE10" s="118"/>
      <c r="QIF10" s="118"/>
      <c r="QIG10" s="118"/>
      <c r="QIH10" s="118"/>
      <c r="QII10" s="118"/>
      <c r="QIJ10" s="118"/>
      <c r="QIK10" s="118"/>
      <c r="QIL10" s="118"/>
      <c r="QIM10" s="118"/>
      <c r="QIN10" s="118"/>
      <c r="QIO10" s="118"/>
      <c r="QIP10" s="118"/>
      <c r="QIQ10" s="118"/>
      <c r="QIR10" s="118"/>
      <c r="QIS10" s="118"/>
      <c r="QIT10" s="118"/>
      <c r="QIU10" s="118"/>
      <c r="QIV10" s="118"/>
      <c r="QIW10" s="118"/>
      <c r="QIX10" s="118"/>
      <c r="QIY10" s="118"/>
      <c r="QIZ10" s="118"/>
      <c r="QJA10" s="118"/>
      <c r="QJB10" s="118"/>
      <c r="QJC10" s="118"/>
      <c r="QJD10" s="118"/>
      <c r="QJE10" s="118"/>
      <c r="QJF10" s="118"/>
      <c r="QJG10" s="118"/>
      <c r="QJH10" s="118"/>
      <c r="QJI10" s="118"/>
      <c r="QJJ10" s="118"/>
      <c r="QJK10" s="118"/>
      <c r="QJL10" s="118"/>
      <c r="QJM10" s="118"/>
      <c r="QJN10" s="118"/>
      <c r="QJO10" s="118"/>
      <c r="QJP10" s="118"/>
      <c r="QJQ10" s="118"/>
      <c r="QJR10" s="118"/>
      <c r="QJS10" s="118"/>
      <c r="QJT10" s="118"/>
      <c r="QJU10" s="118"/>
      <c r="QJV10" s="118"/>
      <c r="QJW10" s="118"/>
      <c r="QJX10" s="118"/>
      <c r="QJY10" s="118"/>
      <c r="QJZ10" s="118"/>
      <c r="QKA10" s="118"/>
      <c r="QKB10" s="118"/>
      <c r="QKC10" s="118"/>
      <c r="QKD10" s="118"/>
      <c r="QKE10" s="118"/>
      <c r="QKF10" s="118"/>
      <c r="QKG10" s="118"/>
      <c r="QKH10" s="118"/>
      <c r="QKI10" s="118"/>
      <c r="QKJ10" s="118"/>
      <c r="QKK10" s="118"/>
      <c r="QKL10" s="118"/>
      <c r="QKM10" s="118"/>
      <c r="QKN10" s="118"/>
      <c r="QKO10" s="118"/>
      <c r="QKP10" s="118"/>
      <c r="QKQ10" s="118"/>
      <c r="QKR10" s="118"/>
      <c r="QKS10" s="118"/>
      <c r="QKT10" s="118"/>
      <c r="QKU10" s="118"/>
      <c r="QKV10" s="118"/>
      <c r="QKW10" s="118"/>
      <c r="QKX10" s="118"/>
      <c r="QKY10" s="118"/>
      <c r="QKZ10" s="118"/>
      <c r="QLA10" s="118"/>
      <c r="QLB10" s="118"/>
      <c r="QLC10" s="118"/>
      <c r="QLD10" s="118"/>
      <c r="QLE10" s="118"/>
      <c r="QLF10" s="118"/>
      <c r="QLG10" s="118"/>
      <c r="QLH10" s="118"/>
      <c r="QLI10" s="118"/>
      <c r="QLJ10" s="118"/>
      <c r="QLK10" s="118"/>
      <c r="QLL10" s="118"/>
      <c r="QLM10" s="118"/>
      <c r="QLN10" s="118"/>
      <c r="QLO10" s="118"/>
      <c r="QLP10" s="118"/>
      <c r="QLQ10" s="118"/>
      <c r="QLR10" s="118"/>
      <c r="QLS10" s="118"/>
      <c r="QLT10" s="118"/>
      <c r="QLU10" s="118"/>
      <c r="QLV10" s="118"/>
      <c r="QLW10" s="118"/>
      <c r="QLX10" s="118"/>
      <c r="QLY10" s="118"/>
      <c r="QLZ10" s="118"/>
      <c r="QMA10" s="118"/>
      <c r="QMB10" s="118"/>
      <c r="QMC10" s="118"/>
      <c r="QMD10" s="118"/>
      <c r="QME10" s="118"/>
      <c r="QMF10" s="118"/>
      <c r="QMG10" s="118"/>
      <c r="QMH10" s="118"/>
      <c r="QMI10" s="118"/>
      <c r="QMJ10" s="118"/>
      <c r="QMK10" s="118"/>
      <c r="QML10" s="118"/>
      <c r="QMM10" s="118"/>
      <c r="QMN10" s="118"/>
      <c r="QMO10" s="118"/>
      <c r="QMP10" s="118"/>
      <c r="QMQ10" s="118"/>
      <c r="QMR10" s="118"/>
      <c r="QMS10" s="118"/>
      <c r="QMT10" s="118"/>
      <c r="QMU10" s="118"/>
      <c r="QMV10" s="118"/>
      <c r="QMW10" s="118"/>
      <c r="QMX10" s="118"/>
      <c r="QMY10" s="118"/>
      <c r="QMZ10" s="118"/>
      <c r="QNA10" s="118"/>
      <c r="QNB10" s="118"/>
      <c r="QNC10" s="118"/>
      <c r="QND10" s="118"/>
      <c r="QNE10" s="118"/>
      <c r="QNF10" s="118"/>
      <c r="QNG10" s="118"/>
      <c r="QNH10" s="118"/>
      <c r="QNI10" s="118"/>
      <c r="QNJ10" s="118"/>
      <c r="QNK10" s="118"/>
      <c r="QNL10" s="118"/>
      <c r="QNM10" s="118"/>
      <c r="QNN10" s="118"/>
      <c r="QNO10" s="118"/>
      <c r="QNP10" s="118"/>
      <c r="QNQ10" s="118"/>
      <c r="QNR10" s="118"/>
      <c r="QNS10" s="118"/>
      <c r="QNT10" s="118"/>
      <c r="QNU10" s="118"/>
      <c r="QNV10" s="118"/>
      <c r="QNW10" s="118"/>
      <c r="QNX10" s="118"/>
      <c r="QNY10" s="118"/>
      <c r="QNZ10" s="118"/>
      <c r="QOA10" s="118"/>
      <c r="QOB10" s="118"/>
      <c r="QOC10" s="118"/>
      <c r="QOD10" s="118"/>
      <c r="QOE10" s="118"/>
      <c r="QOF10" s="118"/>
      <c r="QOG10" s="118"/>
      <c r="QOH10" s="118"/>
      <c r="QOI10" s="118"/>
      <c r="QOJ10" s="118"/>
      <c r="QOK10" s="118"/>
      <c r="QOL10" s="118"/>
      <c r="QOM10" s="118"/>
      <c r="QON10" s="118"/>
      <c r="QOO10" s="118"/>
      <c r="QOP10" s="118"/>
      <c r="QOQ10" s="118"/>
      <c r="QOR10" s="118"/>
      <c r="QOS10" s="118"/>
      <c r="QOT10" s="118"/>
      <c r="QOU10" s="118"/>
      <c r="QOV10" s="118"/>
      <c r="QOW10" s="118"/>
      <c r="QOX10" s="118"/>
      <c r="QOY10" s="118"/>
      <c r="QOZ10" s="118"/>
      <c r="QPA10" s="118"/>
      <c r="QPB10" s="118"/>
      <c r="QPC10" s="118"/>
      <c r="QPD10" s="118"/>
      <c r="QPE10" s="118"/>
      <c r="QPF10" s="118"/>
      <c r="QPG10" s="118"/>
      <c r="QPH10" s="118"/>
      <c r="QPI10" s="118"/>
      <c r="QPJ10" s="118"/>
      <c r="QPK10" s="118"/>
      <c r="QPL10" s="118"/>
      <c r="QPM10" s="118"/>
      <c r="QPN10" s="118"/>
      <c r="QPO10" s="118"/>
      <c r="QPP10" s="118"/>
      <c r="QPQ10" s="118"/>
      <c r="QPR10" s="118"/>
      <c r="QPS10" s="118"/>
      <c r="QPT10" s="118"/>
      <c r="QPU10" s="118"/>
      <c r="QPV10" s="118"/>
      <c r="QPW10" s="118"/>
      <c r="QPX10" s="118"/>
      <c r="QPY10" s="118"/>
      <c r="QPZ10" s="118"/>
      <c r="QQA10" s="118"/>
      <c r="QQB10" s="118"/>
      <c r="QQC10" s="118"/>
      <c r="QQD10" s="118"/>
      <c r="QQE10" s="118"/>
      <c r="QQF10" s="118"/>
      <c r="QQG10" s="118"/>
      <c r="QQH10" s="118"/>
      <c r="QQI10" s="118"/>
      <c r="QQJ10" s="118"/>
      <c r="QQK10" s="118"/>
      <c r="QQL10" s="118"/>
      <c r="QQM10" s="118"/>
      <c r="QQN10" s="118"/>
      <c r="QQO10" s="118"/>
      <c r="QQP10" s="118"/>
      <c r="QQQ10" s="118"/>
      <c r="QQR10" s="118"/>
      <c r="QQS10" s="118"/>
      <c r="QQT10" s="118"/>
      <c r="QQU10" s="118"/>
      <c r="QQV10" s="118"/>
      <c r="QQW10" s="118"/>
      <c r="QQX10" s="118"/>
      <c r="QQY10" s="118"/>
      <c r="QQZ10" s="118"/>
      <c r="QRA10" s="118"/>
      <c r="QRB10" s="118"/>
      <c r="QRC10" s="118"/>
      <c r="QRD10" s="118"/>
      <c r="QRE10" s="118"/>
      <c r="QRF10" s="118"/>
      <c r="QRG10" s="118"/>
      <c r="QRH10" s="118"/>
      <c r="QRI10" s="118"/>
      <c r="QRJ10" s="118"/>
      <c r="QRK10" s="118"/>
      <c r="QRL10" s="118"/>
      <c r="QRM10" s="118"/>
      <c r="QRN10" s="118"/>
      <c r="QRO10" s="118"/>
      <c r="QRP10" s="118"/>
      <c r="QRQ10" s="118"/>
      <c r="QRR10" s="118"/>
      <c r="QRS10" s="118"/>
      <c r="QRT10" s="118"/>
      <c r="QRU10" s="118"/>
      <c r="QRV10" s="118"/>
      <c r="QRW10" s="118"/>
      <c r="QRX10" s="118"/>
      <c r="QRY10" s="118"/>
      <c r="QRZ10" s="118"/>
      <c r="QSA10" s="118"/>
      <c r="QSB10" s="118"/>
      <c r="QSC10" s="118"/>
      <c r="QSD10" s="118"/>
      <c r="QSE10" s="118"/>
      <c r="QSF10" s="118"/>
      <c r="QSG10" s="118"/>
      <c r="QSH10" s="118"/>
      <c r="QSI10" s="118"/>
      <c r="QSJ10" s="118"/>
      <c r="QSK10" s="118"/>
      <c r="QSL10" s="118"/>
      <c r="QSM10" s="118"/>
      <c r="QSN10" s="118"/>
      <c r="QSO10" s="118"/>
      <c r="QSP10" s="118"/>
      <c r="QSQ10" s="118"/>
      <c r="QSR10" s="118"/>
      <c r="QSS10" s="118"/>
      <c r="QST10" s="118"/>
      <c r="QSU10" s="118"/>
      <c r="QSV10" s="118"/>
      <c r="QSW10" s="118"/>
      <c r="QSX10" s="118"/>
      <c r="QSY10" s="118"/>
      <c r="QSZ10" s="118"/>
      <c r="QTA10" s="118"/>
      <c r="QTB10" s="118"/>
      <c r="QTC10" s="118"/>
      <c r="QTD10" s="118"/>
      <c r="QTE10" s="118"/>
      <c r="QTF10" s="118"/>
      <c r="QTG10" s="118"/>
      <c r="QTH10" s="118"/>
      <c r="QTI10" s="118"/>
      <c r="QTJ10" s="118"/>
      <c r="QTK10" s="118"/>
      <c r="QTL10" s="118"/>
      <c r="QTM10" s="118"/>
      <c r="QTN10" s="118"/>
      <c r="QTO10" s="118"/>
      <c r="QTP10" s="118"/>
      <c r="QTQ10" s="118"/>
      <c r="QTR10" s="118"/>
      <c r="QTS10" s="118"/>
      <c r="QTT10" s="118"/>
      <c r="QTU10" s="118"/>
      <c r="QTV10" s="118"/>
      <c r="QTW10" s="118"/>
      <c r="QTX10" s="118"/>
      <c r="QTY10" s="118"/>
      <c r="QTZ10" s="118"/>
      <c r="QUA10" s="118"/>
      <c r="QUB10" s="118"/>
      <c r="QUC10" s="118"/>
      <c r="QUD10" s="118"/>
      <c r="QUE10" s="118"/>
      <c r="QUF10" s="118"/>
      <c r="QUG10" s="118"/>
      <c r="QUH10" s="118"/>
      <c r="QUI10" s="118"/>
      <c r="QUJ10" s="118"/>
      <c r="QUK10" s="118"/>
      <c r="QUL10" s="118"/>
      <c r="QUM10" s="118"/>
      <c r="QUN10" s="118"/>
      <c r="QUO10" s="118"/>
      <c r="QUP10" s="118"/>
      <c r="QUQ10" s="118"/>
      <c r="QUR10" s="118"/>
      <c r="QUS10" s="118"/>
      <c r="QUT10" s="118"/>
      <c r="QUU10" s="118"/>
      <c r="QUV10" s="118"/>
      <c r="QUW10" s="118"/>
      <c r="QUX10" s="118"/>
      <c r="QUY10" s="118"/>
      <c r="QUZ10" s="118"/>
      <c r="QVA10" s="118"/>
      <c r="QVB10" s="118"/>
      <c r="QVC10" s="118"/>
      <c r="QVD10" s="118"/>
      <c r="QVE10" s="118"/>
      <c r="QVF10" s="118"/>
      <c r="QVG10" s="118"/>
      <c r="QVH10" s="118"/>
      <c r="QVI10" s="118"/>
      <c r="QVJ10" s="118"/>
      <c r="QVK10" s="118"/>
      <c r="QVL10" s="118"/>
      <c r="QVM10" s="118"/>
      <c r="QVN10" s="118"/>
      <c r="QVO10" s="118"/>
      <c r="QVP10" s="118"/>
      <c r="QVQ10" s="118"/>
      <c r="QVR10" s="118"/>
      <c r="QVS10" s="118"/>
      <c r="QVT10" s="118"/>
      <c r="QVU10" s="118"/>
      <c r="QVV10" s="118"/>
      <c r="QVW10" s="118"/>
      <c r="QVX10" s="118"/>
      <c r="QVY10" s="118"/>
      <c r="QVZ10" s="118"/>
      <c r="QWA10" s="118"/>
      <c r="QWB10" s="118"/>
      <c r="QWC10" s="118"/>
      <c r="QWD10" s="118"/>
      <c r="QWE10" s="118"/>
      <c r="QWF10" s="118"/>
      <c r="QWG10" s="118"/>
      <c r="QWH10" s="118"/>
      <c r="QWI10" s="118"/>
      <c r="QWJ10" s="118"/>
      <c r="QWK10" s="118"/>
      <c r="QWL10" s="118"/>
      <c r="QWM10" s="118"/>
      <c r="QWN10" s="118"/>
      <c r="QWO10" s="118"/>
      <c r="QWP10" s="118"/>
      <c r="QWQ10" s="118"/>
      <c r="QWR10" s="118"/>
      <c r="QWS10" s="118"/>
      <c r="QWT10" s="118"/>
      <c r="QWU10" s="118"/>
      <c r="QWV10" s="118"/>
      <c r="QWW10" s="118"/>
      <c r="QWX10" s="118"/>
      <c r="QWY10" s="118"/>
      <c r="QWZ10" s="118"/>
      <c r="QXA10" s="118"/>
      <c r="QXB10" s="118"/>
      <c r="QXC10" s="118"/>
      <c r="QXD10" s="118"/>
      <c r="QXE10" s="118"/>
      <c r="QXF10" s="118"/>
      <c r="QXG10" s="118"/>
      <c r="QXH10" s="118"/>
      <c r="QXI10" s="118"/>
      <c r="QXJ10" s="118"/>
      <c r="QXK10" s="118"/>
      <c r="QXL10" s="118"/>
      <c r="QXM10" s="118"/>
      <c r="QXN10" s="118"/>
      <c r="QXO10" s="118"/>
      <c r="QXP10" s="118"/>
      <c r="QXQ10" s="118"/>
      <c r="QXR10" s="118"/>
      <c r="QXS10" s="118"/>
      <c r="QXT10" s="118"/>
      <c r="QXU10" s="118"/>
      <c r="QXV10" s="118"/>
      <c r="QXW10" s="118"/>
      <c r="QXX10" s="118"/>
      <c r="QXY10" s="118"/>
      <c r="QXZ10" s="118"/>
      <c r="QYA10" s="118"/>
      <c r="QYB10" s="118"/>
      <c r="QYC10" s="118"/>
      <c r="QYD10" s="118"/>
      <c r="QYE10" s="118"/>
      <c r="QYF10" s="118"/>
      <c r="QYG10" s="118"/>
      <c r="QYH10" s="118"/>
      <c r="QYI10" s="118"/>
      <c r="QYJ10" s="118"/>
      <c r="QYK10" s="118"/>
      <c r="QYL10" s="118"/>
      <c r="QYM10" s="118"/>
      <c r="QYN10" s="118"/>
      <c r="QYO10" s="118"/>
      <c r="QYP10" s="118"/>
      <c r="QYQ10" s="118"/>
      <c r="QYR10" s="118"/>
      <c r="QYS10" s="118"/>
      <c r="QYT10" s="118"/>
      <c r="QYU10" s="118"/>
      <c r="QYV10" s="118"/>
      <c r="QYW10" s="118"/>
      <c r="QYX10" s="118"/>
      <c r="QYY10" s="118"/>
      <c r="QYZ10" s="118"/>
      <c r="QZA10" s="118"/>
      <c r="QZB10" s="118"/>
      <c r="QZC10" s="118"/>
      <c r="QZD10" s="118"/>
      <c r="QZE10" s="118"/>
      <c r="QZF10" s="118"/>
      <c r="QZG10" s="118"/>
      <c r="QZH10" s="118"/>
      <c r="QZI10" s="118"/>
      <c r="QZJ10" s="118"/>
      <c r="QZK10" s="118"/>
      <c r="QZL10" s="118"/>
      <c r="QZM10" s="118"/>
      <c r="QZN10" s="118"/>
      <c r="QZO10" s="118"/>
      <c r="QZP10" s="118"/>
      <c r="QZQ10" s="118"/>
      <c r="QZR10" s="118"/>
      <c r="QZS10" s="118"/>
      <c r="QZT10" s="118"/>
      <c r="QZU10" s="118"/>
      <c r="QZV10" s="118"/>
      <c r="QZW10" s="118"/>
      <c r="QZX10" s="118"/>
      <c r="QZY10" s="118"/>
      <c r="QZZ10" s="118"/>
      <c r="RAA10" s="118"/>
      <c r="RAB10" s="118"/>
      <c r="RAC10" s="118"/>
      <c r="RAD10" s="118"/>
      <c r="RAE10" s="118"/>
      <c r="RAF10" s="118"/>
      <c r="RAG10" s="118"/>
      <c r="RAH10" s="118"/>
      <c r="RAI10" s="118"/>
      <c r="RAJ10" s="118"/>
      <c r="RAK10" s="118"/>
      <c r="RAL10" s="118"/>
      <c r="RAM10" s="118"/>
      <c r="RAN10" s="118"/>
      <c r="RAO10" s="118"/>
      <c r="RAP10" s="118"/>
      <c r="RAQ10" s="118"/>
      <c r="RAR10" s="118"/>
      <c r="RAS10" s="118"/>
      <c r="RAT10" s="118"/>
      <c r="RAU10" s="118"/>
      <c r="RAV10" s="118"/>
      <c r="RAW10" s="118"/>
      <c r="RAX10" s="118"/>
      <c r="RAY10" s="118"/>
      <c r="RAZ10" s="118"/>
      <c r="RBA10" s="118"/>
      <c r="RBB10" s="118"/>
      <c r="RBC10" s="118"/>
      <c r="RBD10" s="118"/>
      <c r="RBE10" s="118"/>
      <c r="RBF10" s="118"/>
      <c r="RBG10" s="118"/>
      <c r="RBH10" s="118"/>
      <c r="RBI10" s="118"/>
      <c r="RBJ10" s="118"/>
      <c r="RBK10" s="118"/>
      <c r="RBL10" s="118"/>
      <c r="RBM10" s="118"/>
      <c r="RBN10" s="118"/>
      <c r="RBO10" s="118"/>
      <c r="RBP10" s="118"/>
      <c r="RBQ10" s="118"/>
      <c r="RBR10" s="118"/>
      <c r="RBS10" s="118"/>
      <c r="RBT10" s="118"/>
      <c r="RBU10" s="118"/>
      <c r="RBV10" s="118"/>
      <c r="RBW10" s="118"/>
      <c r="RBX10" s="118"/>
      <c r="RBY10" s="118"/>
      <c r="RBZ10" s="118"/>
      <c r="RCA10" s="118"/>
      <c r="RCB10" s="118"/>
      <c r="RCC10" s="118"/>
      <c r="RCD10" s="118"/>
      <c r="RCE10" s="118"/>
      <c r="RCF10" s="118"/>
      <c r="RCG10" s="118"/>
      <c r="RCH10" s="118"/>
      <c r="RCI10" s="118"/>
      <c r="RCJ10" s="118"/>
      <c r="RCK10" s="118"/>
      <c r="RCL10" s="118"/>
      <c r="RCM10" s="118"/>
      <c r="RCN10" s="118"/>
      <c r="RCO10" s="118"/>
      <c r="RCP10" s="118"/>
      <c r="RCQ10" s="118"/>
      <c r="RCR10" s="118"/>
      <c r="RCS10" s="118"/>
      <c r="RCT10" s="118"/>
      <c r="RCU10" s="118"/>
      <c r="RCV10" s="118"/>
      <c r="RCW10" s="118"/>
      <c r="RCX10" s="118"/>
      <c r="RCY10" s="118"/>
      <c r="RCZ10" s="118"/>
      <c r="RDA10" s="118"/>
      <c r="RDB10" s="118"/>
      <c r="RDC10" s="118"/>
      <c r="RDD10" s="118"/>
      <c r="RDE10" s="118"/>
      <c r="RDF10" s="118"/>
      <c r="RDG10" s="118"/>
      <c r="RDH10" s="118"/>
      <c r="RDI10" s="118"/>
      <c r="RDJ10" s="118"/>
      <c r="RDK10" s="118"/>
      <c r="RDL10" s="118"/>
      <c r="RDM10" s="118"/>
      <c r="RDN10" s="118"/>
      <c r="RDO10" s="118"/>
      <c r="RDP10" s="118"/>
      <c r="RDQ10" s="118"/>
      <c r="RDR10" s="118"/>
      <c r="RDS10" s="118"/>
      <c r="RDT10" s="118"/>
      <c r="RDU10" s="118"/>
      <c r="RDV10" s="118"/>
      <c r="RDW10" s="118"/>
      <c r="RDX10" s="118"/>
      <c r="RDY10" s="118"/>
      <c r="RDZ10" s="118"/>
      <c r="REA10" s="118"/>
      <c r="REB10" s="118"/>
      <c r="REC10" s="118"/>
      <c r="RED10" s="118"/>
      <c r="REE10" s="118"/>
      <c r="REF10" s="118"/>
      <c r="REG10" s="118"/>
      <c r="REH10" s="118"/>
      <c r="REI10" s="118"/>
      <c r="REJ10" s="118"/>
      <c r="REK10" s="118"/>
      <c r="REL10" s="118"/>
      <c r="REM10" s="118"/>
      <c r="REN10" s="118"/>
      <c r="REO10" s="118"/>
      <c r="REP10" s="118"/>
      <c r="REQ10" s="118"/>
      <c r="RER10" s="118"/>
      <c r="RES10" s="118"/>
      <c r="RET10" s="118"/>
      <c r="REU10" s="118"/>
      <c r="REV10" s="118"/>
      <c r="REW10" s="118"/>
      <c r="REX10" s="118"/>
      <c r="REY10" s="118"/>
      <c r="REZ10" s="118"/>
      <c r="RFA10" s="118"/>
      <c r="RFB10" s="118"/>
      <c r="RFC10" s="118"/>
      <c r="RFD10" s="118"/>
      <c r="RFE10" s="118"/>
      <c r="RFF10" s="118"/>
      <c r="RFG10" s="118"/>
      <c r="RFH10" s="118"/>
      <c r="RFI10" s="118"/>
      <c r="RFJ10" s="118"/>
      <c r="RFK10" s="118"/>
      <c r="RFL10" s="118"/>
      <c r="RFM10" s="118"/>
      <c r="RFN10" s="118"/>
      <c r="RFO10" s="118"/>
      <c r="RFP10" s="118"/>
      <c r="RFQ10" s="118"/>
      <c r="RFR10" s="118"/>
      <c r="RFS10" s="118"/>
      <c r="RFT10" s="118"/>
      <c r="RFU10" s="118"/>
      <c r="RFV10" s="118"/>
      <c r="RFW10" s="118"/>
      <c r="RFX10" s="118"/>
      <c r="RFY10" s="118"/>
      <c r="RFZ10" s="118"/>
      <c r="RGA10" s="118"/>
      <c r="RGB10" s="118"/>
      <c r="RGC10" s="118"/>
      <c r="RGD10" s="118"/>
      <c r="RGE10" s="118"/>
      <c r="RGF10" s="118"/>
      <c r="RGG10" s="118"/>
      <c r="RGH10" s="118"/>
      <c r="RGI10" s="118"/>
      <c r="RGJ10" s="118"/>
      <c r="RGK10" s="118"/>
      <c r="RGL10" s="118"/>
      <c r="RGM10" s="118"/>
      <c r="RGN10" s="118"/>
      <c r="RGO10" s="118"/>
      <c r="RGP10" s="118"/>
      <c r="RGQ10" s="118"/>
      <c r="RGR10" s="118"/>
      <c r="RGS10" s="118"/>
      <c r="RGT10" s="118"/>
      <c r="RGU10" s="118"/>
      <c r="RGV10" s="118"/>
      <c r="RGW10" s="118"/>
      <c r="RGX10" s="118"/>
      <c r="RGY10" s="118"/>
      <c r="RGZ10" s="118"/>
      <c r="RHA10" s="118"/>
      <c r="RHB10" s="118"/>
      <c r="RHC10" s="118"/>
      <c r="RHD10" s="118"/>
      <c r="RHE10" s="118"/>
      <c r="RHF10" s="118"/>
      <c r="RHG10" s="118"/>
      <c r="RHH10" s="118"/>
      <c r="RHI10" s="118"/>
      <c r="RHJ10" s="118"/>
      <c r="RHK10" s="118"/>
      <c r="RHL10" s="118"/>
      <c r="RHM10" s="118"/>
      <c r="RHN10" s="118"/>
      <c r="RHO10" s="118"/>
      <c r="RHP10" s="118"/>
      <c r="RHQ10" s="118"/>
      <c r="RHR10" s="118"/>
      <c r="RHS10" s="118"/>
      <c r="RHT10" s="118"/>
      <c r="RHU10" s="118"/>
      <c r="RHV10" s="118"/>
      <c r="RHW10" s="118"/>
      <c r="RHX10" s="118"/>
      <c r="RHY10" s="118"/>
      <c r="RHZ10" s="118"/>
      <c r="RIA10" s="118"/>
      <c r="RIB10" s="118"/>
      <c r="RIC10" s="118"/>
      <c r="RID10" s="118"/>
      <c r="RIE10" s="118"/>
      <c r="RIF10" s="118"/>
      <c r="RIG10" s="118"/>
      <c r="RIH10" s="118"/>
      <c r="RII10" s="118"/>
      <c r="RIJ10" s="118"/>
      <c r="RIK10" s="118"/>
      <c r="RIL10" s="118"/>
      <c r="RIM10" s="118"/>
      <c r="RIN10" s="118"/>
      <c r="RIO10" s="118"/>
      <c r="RIP10" s="118"/>
      <c r="RIQ10" s="118"/>
      <c r="RIR10" s="118"/>
      <c r="RIS10" s="118"/>
      <c r="RIT10" s="118"/>
      <c r="RIU10" s="118"/>
      <c r="RIV10" s="118"/>
      <c r="RIW10" s="118"/>
      <c r="RIX10" s="118"/>
      <c r="RIY10" s="118"/>
      <c r="RIZ10" s="118"/>
      <c r="RJA10" s="118"/>
      <c r="RJB10" s="118"/>
      <c r="RJC10" s="118"/>
      <c r="RJD10" s="118"/>
      <c r="RJE10" s="118"/>
      <c r="RJF10" s="118"/>
      <c r="RJG10" s="118"/>
      <c r="RJH10" s="118"/>
      <c r="RJI10" s="118"/>
      <c r="RJJ10" s="118"/>
      <c r="RJK10" s="118"/>
      <c r="RJL10" s="118"/>
      <c r="RJM10" s="118"/>
      <c r="RJN10" s="118"/>
      <c r="RJO10" s="118"/>
      <c r="RJP10" s="118"/>
      <c r="RJQ10" s="118"/>
      <c r="RJR10" s="118"/>
      <c r="RJS10" s="118"/>
      <c r="RJT10" s="118"/>
      <c r="RJU10" s="118"/>
      <c r="RJV10" s="118"/>
      <c r="RJW10" s="118"/>
      <c r="RJX10" s="118"/>
      <c r="RJY10" s="118"/>
      <c r="RJZ10" s="118"/>
      <c r="RKA10" s="118"/>
      <c r="RKB10" s="118"/>
      <c r="RKC10" s="118"/>
      <c r="RKD10" s="118"/>
      <c r="RKE10" s="118"/>
      <c r="RKF10" s="118"/>
      <c r="RKG10" s="118"/>
      <c r="RKH10" s="118"/>
      <c r="RKI10" s="118"/>
      <c r="RKJ10" s="118"/>
      <c r="RKK10" s="118"/>
      <c r="RKL10" s="118"/>
      <c r="RKM10" s="118"/>
      <c r="RKN10" s="118"/>
      <c r="RKO10" s="118"/>
      <c r="RKP10" s="118"/>
      <c r="RKQ10" s="118"/>
      <c r="RKR10" s="118"/>
      <c r="RKS10" s="118"/>
      <c r="RKT10" s="118"/>
      <c r="RKU10" s="118"/>
      <c r="RKV10" s="118"/>
      <c r="RKW10" s="118"/>
      <c r="RKX10" s="118"/>
      <c r="RKY10" s="118"/>
      <c r="RKZ10" s="118"/>
      <c r="RLA10" s="118"/>
      <c r="RLB10" s="118"/>
      <c r="RLC10" s="118"/>
      <c r="RLD10" s="118"/>
      <c r="RLE10" s="118"/>
      <c r="RLF10" s="118"/>
      <c r="RLG10" s="118"/>
      <c r="RLH10" s="118"/>
      <c r="RLI10" s="118"/>
      <c r="RLJ10" s="118"/>
      <c r="RLK10" s="118"/>
      <c r="RLL10" s="118"/>
      <c r="RLM10" s="118"/>
      <c r="RLN10" s="118"/>
      <c r="RLO10" s="118"/>
      <c r="RLP10" s="118"/>
      <c r="RLQ10" s="118"/>
      <c r="RLR10" s="118"/>
      <c r="RLS10" s="118"/>
      <c r="RLT10" s="118"/>
      <c r="RLU10" s="118"/>
      <c r="RLV10" s="118"/>
      <c r="RLW10" s="118"/>
      <c r="RLX10" s="118"/>
      <c r="RLY10" s="118"/>
      <c r="RLZ10" s="118"/>
      <c r="RMA10" s="118"/>
      <c r="RMB10" s="118"/>
      <c r="RMC10" s="118"/>
      <c r="RMD10" s="118"/>
      <c r="RME10" s="118"/>
      <c r="RMF10" s="118"/>
      <c r="RMG10" s="118"/>
      <c r="RMH10" s="118"/>
      <c r="RMI10" s="118"/>
      <c r="RMJ10" s="118"/>
      <c r="RMK10" s="118"/>
      <c r="RML10" s="118"/>
      <c r="RMM10" s="118"/>
      <c r="RMN10" s="118"/>
      <c r="RMO10" s="118"/>
      <c r="RMP10" s="118"/>
      <c r="RMQ10" s="118"/>
      <c r="RMR10" s="118"/>
      <c r="RMS10" s="118"/>
      <c r="RMT10" s="118"/>
      <c r="RMU10" s="118"/>
      <c r="RMV10" s="118"/>
      <c r="RMW10" s="118"/>
      <c r="RMX10" s="118"/>
      <c r="RMY10" s="118"/>
      <c r="RMZ10" s="118"/>
      <c r="RNA10" s="118"/>
      <c r="RNB10" s="118"/>
      <c r="RNC10" s="118"/>
      <c r="RND10" s="118"/>
      <c r="RNE10" s="118"/>
      <c r="RNF10" s="118"/>
      <c r="RNG10" s="118"/>
      <c r="RNH10" s="118"/>
      <c r="RNI10" s="118"/>
      <c r="RNJ10" s="118"/>
      <c r="RNK10" s="118"/>
      <c r="RNL10" s="118"/>
      <c r="RNM10" s="118"/>
      <c r="RNN10" s="118"/>
      <c r="RNO10" s="118"/>
      <c r="RNP10" s="118"/>
      <c r="RNQ10" s="118"/>
      <c r="RNR10" s="118"/>
      <c r="RNS10" s="118"/>
      <c r="RNT10" s="118"/>
      <c r="RNU10" s="118"/>
      <c r="RNV10" s="118"/>
      <c r="RNW10" s="118"/>
      <c r="RNX10" s="118"/>
      <c r="RNY10" s="118"/>
      <c r="RNZ10" s="118"/>
      <c r="ROA10" s="118"/>
      <c r="ROB10" s="118"/>
      <c r="ROC10" s="118"/>
      <c r="ROD10" s="118"/>
      <c r="ROE10" s="118"/>
      <c r="ROF10" s="118"/>
      <c r="ROG10" s="118"/>
      <c r="ROH10" s="118"/>
      <c r="ROI10" s="118"/>
      <c r="ROJ10" s="118"/>
      <c r="ROK10" s="118"/>
      <c r="ROL10" s="118"/>
      <c r="ROM10" s="118"/>
      <c r="RON10" s="118"/>
      <c r="ROO10" s="118"/>
      <c r="ROP10" s="118"/>
      <c r="ROQ10" s="118"/>
      <c r="ROR10" s="118"/>
      <c r="ROS10" s="118"/>
      <c r="ROT10" s="118"/>
      <c r="ROU10" s="118"/>
      <c r="ROV10" s="118"/>
      <c r="ROW10" s="118"/>
      <c r="ROX10" s="118"/>
      <c r="ROY10" s="118"/>
      <c r="ROZ10" s="118"/>
      <c r="RPA10" s="118"/>
      <c r="RPB10" s="118"/>
      <c r="RPC10" s="118"/>
      <c r="RPD10" s="118"/>
      <c r="RPE10" s="118"/>
      <c r="RPF10" s="118"/>
      <c r="RPG10" s="118"/>
      <c r="RPH10" s="118"/>
      <c r="RPI10" s="118"/>
      <c r="RPJ10" s="118"/>
      <c r="RPK10" s="118"/>
      <c r="RPL10" s="118"/>
      <c r="RPM10" s="118"/>
      <c r="RPN10" s="118"/>
      <c r="RPO10" s="118"/>
      <c r="RPP10" s="118"/>
      <c r="RPQ10" s="118"/>
      <c r="RPR10" s="118"/>
      <c r="RPS10" s="118"/>
      <c r="RPT10" s="118"/>
      <c r="RPU10" s="118"/>
      <c r="RPV10" s="118"/>
      <c r="RPW10" s="118"/>
      <c r="RPX10" s="118"/>
      <c r="RPY10" s="118"/>
      <c r="RPZ10" s="118"/>
      <c r="RQA10" s="118"/>
      <c r="RQB10" s="118"/>
      <c r="RQC10" s="118"/>
      <c r="RQD10" s="118"/>
      <c r="RQE10" s="118"/>
      <c r="RQF10" s="118"/>
      <c r="RQG10" s="118"/>
      <c r="RQH10" s="118"/>
      <c r="RQI10" s="118"/>
      <c r="RQJ10" s="118"/>
      <c r="RQK10" s="118"/>
      <c r="RQL10" s="118"/>
      <c r="RQM10" s="118"/>
      <c r="RQN10" s="118"/>
      <c r="RQO10" s="118"/>
      <c r="RQP10" s="118"/>
      <c r="RQQ10" s="118"/>
      <c r="RQR10" s="118"/>
      <c r="RQS10" s="118"/>
      <c r="RQT10" s="118"/>
      <c r="RQU10" s="118"/>
      <c r="RQV10" s="118"/>
      <c r="RQW10" s="118"/>
      <c r="RQX10" s="118"/>
      <c r="RQY10" s="118"/>
      <c r="RQZ10" s="118"/>
      <c r="RRA10" s="118"/>
      <c r="RRB10" s="118"/>
      <c r="RRC10" s="118"/>
      <c r="RRD10" s="118"/>
      <c r="RRE10" s="118"/>
      <c r="RRF10" s="118"/>
      <c r="RRG10" s="118"/>
      <c r="RRH10" s="118"/>
      <c r="RRI10" s="118"/>
      <c r="RRJ10" s="118"/>
      <c r="RRK10" s="118"/>
      <c r="RRL10" s="118"/>
      <c r="RRM10" s="118"/>
      <c r="RRN10" s="118"/>
      <c r="RRO10" s="118"/>
      <c r="RRP10" s="118"/>
      <c r="RRQ10" s="118"/>
      <c r="RRR10" s="118"/>
      <c r="RRS10" s="118"/>
      <c r="RRT10" s="118"/>
      <c r="RRU10" s="118"/>
      <c r="RRV10" s="118"/>
      <c r="RRW10" s="118"/>
      <c r="RRX10" s="118"/>
      <c r="RRY10" s="118"/>
      <c r="RRZ10" s="118"/>
      <c r="RSA10" s="118"/>
      <c r="RSB10" s="118"/>
      <c r="RSC10" s="118"/>
      <c r="RSD10" s="118"/>
      <c r="RSE10" s="118"/>
      <c r="RSF10" s="118"/>
      <c r="RSG10" s="118"/>
      <c r="RSH10" s="118"/>
      <c r="RSI10" s="118"/>
      <c r="RSJ10" s="118"/>
      <c r="RSK10" s="118"/>
      <c r="RSL10" s="118"/>
      <c r="RSM10" s="118"/>
      <c r="RSN10" s="118"/>
      <c r="RSO10" s="118"/>
      <c r="RSP10" s="118"/>
      <c r="RSQ10" s="118"/>
      <c r="RSR10" s="118"/>
      <c r="RSS10" s="118"/>
      <c r="RST10" s="118"/>
      <c r="RSU10" s="118"/>
      <c r="RSV10" s="118"/>
      <c r="RSW10" s="118"/>
      <c r="RSX10" s="118"/>
      <c r="RSY10" s="118"/>
      <c r="RSZ10" s="118"/>
      <c r="RTA10" s="118"/>
      <c r="RTB10" s="118"/>
      <c r="RTC10" s="118"/>
      <c r="RTD10" s="118"/>
      <c r="RTE10" s="118"/>
      <c r="RTF10" s="118"/>
      <c r="RTG10" s="118"/>
      <c r="RTH10" s="118"/>
      <c r="RTI10" s="118"/>
      <c r="RTJ10" s="118"/>
      <c r="RTK10" s="118"/>
      <c r="RTL10" s="118"/>
      <c r="RTM10" s="118"/>
      <c r="RTN10" s="118"/>
      <c r="RTO10" s="118"/>
      <c r="RTP10" s="118"/>
      <c r="RTQ10" s="118"/>
      <c r="RTR10" s="118"/>
      <c r="RTS10" s="118"/>
      <c r="RTT10" s="118"/>
      <c r="RTU10" s="118"/>
      <c r="RTV10" s="118"/>
      <c r="RTW10" s="118"/>
      <c r="RTX10" s="118"/>
      <c r="RTY10" s="118"/>
      <c r="RTZ10" s="118"/>
      <c r="RUA10" s="118"/>
      <c r="RUB10" s="118"/>
      <c r="RUC10" s="118"/>
      <c r="RUD10" s="118"/>
      <c r="RUE10" s="118"/>
      <c r="RUF10" s="118"/>
      <c r="RUG10" s="118"/>
      <c r="RUH10" s="118"/>
      <c r="RUI10" s="118"/>
      <c r="RUJ10" s="118"/>
      <c r="RUK10" s="118"/>
      <c r="RUL10" s="118"/>
      <c r="RUM10" s="118"/>
      <c r="RUN10" s="118"/>
      <c r="RUO10" s="118"/>
      <c r="RUP10" s="118"/>
      <c r="RUQ10" s="118"/>
      <c r="RUR10" s="118"/>
      <c r="RUS10" s="118"/>
      <c r="RUT10" s="118"/>
      <c r="RUU10" s="118"/>
      <c r="RUV10" s="118"/>
      <c r="RUW10" s="118"/>
      <c r="RUX10" s="118"/>
      <c r="RUY10" s="118"/>
      <c r="RUZ10" s="118"/>
      <c r="RVA10" s="118"/>
      <c r="RVB10" s="118"/>
      <c r="RVC10" s="118"/>
      <c r="RVD10" s="118"/>
      <c r="RVE10" s="118"/>
      <c r="RVF10" s="118"/>
      <c r="RVG10" s="118"/>
      <c r="RVH10" s="118"/>
      <c r="RVI10" s="118"/>
      <c r="RVJ10" s="118"/>
      <c r="RVK10" s="118"/>
      <c r="RVL10" s="118"/>
      <c r="RVM10" s="118"/>
      <c r="RVN10" s="118"/>
      <c r="RVO10" s="118"/>
      <c r="RVP10" s="118"/>
      <c r="RVQ10" s="118"/>
      <c r="RVR10" s="118"/>
      <c r="RVS10" s="118"/>
      <c r="RVT10" s="118"/>
      <c r="RVU10" s="118"/>
      <c r="RVV10" s="118"/>
      <c r="RVW10" s="118"/>
      <c r="RVX10" s="118"/>
      <c r="RVY10" s="118"/>
      <c r="RVZ10" s="118"/>
      <c r="RWA10" s="118"/>
      <c r="RWB10" s="118"/>
      <c r="RWC10" s="118"/>
      <c r="RWD10" s="118"/>
      <c r="RWE10" s="118"/>
      <c r="RWF10" s="118"/>
      <c r="RWG10" s="118"/>
      <c r="RWH10" s="118"/>
      <c r="RWI10" s="118"/>
      <c r="RWJ10" s="118"/>
      <c r="RWK10" s="118"/>
      <c r="RWL10" s="118"/>
      <c r="RWM10" s="118"/>
      <c r="RWN10" s="118"/>
      <c r="RWO10" s="118"/>
      <c r="RWP10" s="118"/>
      <c r="RWQ10" s="118"/>
      <c r="RWR10" s="118"/>
      <c r="RWS10" s="118"/>
      <c r="RWT10" s="118"/>
      <c r="RWU10" s="118"/>
      <c r="RWV10" s="118"/>
      <c r="RWW10" s="118"/>
      <c r="RWX10" s="118"/>
      <c r="RWY10" s="118"/>
      <c r="RWZ10" s="118"/>
      <c r="RXA10" s="118"/>
      <c r="RXB10" s="118"/>
      <c r="RXC10" s="118"/>
      <c r="RXD10" s="118"/>
      <c r="RXE10" s="118"/>
      <c r="RXF10" s="118"/>
      <c r="RXG10" s="118"/>
      <c r="RXH10" s="118"/>
      <c r="RXI10" s="118"/>
      <c r="RXJ10" s="118"/>
      <c r="RXK10" s="118"/>
      <c r="RXL10" s="118"/>
      <c r="RXM10" s="118"/>
      <c r="RXN10" s="118"/>
      <c r="RXO10" s="118"/>
      <c r="RXP10" s="118"/>
      <c r="RXQ10" s="118"/>
      <c r="RXR10" s="118"/>
      <c r="RXS10" s="118"/>
      <c r="RXT10" s="118"/>
      <c r="RXU10" s="118"/>
      <c r="RXV10" s="118"/>
      <c r="RXW10" s="118"/>
      <c r="RXX10" s="118"/>
      <c r="RXY10" s="118"/>
      <c r="RXZ10" s="118"/>
      <c r="RYA10" s="118"/>
      <c r="RYB10" s="118"/>
      <c r="RYC10" s="118"/>
      <c r="RYD10" s="118"/>
      <c r="RYE10" s="118"/>
      <c r="RYF10" s="118"/>
      <c r="RYG10" s="118"/>
      <c r="RYH10" s="118"/>
      <c r="RYI10" s="118"/>
      <c r="RYJ10" s="118"/>
      <c r="RYK10" s="118"/>
      <c r="RYL10" s="118"/>
      <c r="RYM10" s="118"/>
      <c r="RYN10" s="118"/>
      <c r="RYO10" s="118"/>
      <c r="RYP10" s="118"/>
      <c r="RYQ10" s="118"/>
      <c r="RYR10" s="118"/>
      <c r="RYS10" s="118"/>
      <c r="RYT10" s="118"/>
      <c r="RYU10" s="118"/>
      <c r="RYV10" s="118"/>
      <c r="RYW10" s="118"/>
      <c r="RYX10" s="118"/>
      <c r="RYY10" s="118"/>
      <c r="RYZ10" s="118"/>
      <c r="RZA10" s="118"/>
      <c r="RZB10" s="118"/>
      <c r="RZC10" s="118"/>
      <c r="RZD10" s="118"/>
      <c r="RZE10" s="118"/>
      <c r="RZF10" s="118"/>
      <c r="RZG10" s="118"/>
      <c r="RZH10" s="118"/>
      <c r="RZI10" s="118"/>
      <c r="RZJ10" s="118"/>
      <c r="RZK10" s="118"/>
      <c r="RZL10" s="118"/>
      <c r="RZM10" s="118"/>
      <c r="RZN10" s="118"/>
      <c r="RZO10" s="118"/>
      <c r="RZP10" s="118"/>
      <c r="RZQ10" s="118"/>
      <c r="RZR10" s="118"/>
      <c r="RZS10" s="118"/>
      <c r="RZT10" s="118"/>
      <c r="RZU10" s="118"/>
      <c r="RZV10" s="118"/>
      <c r="RZW10" s="118"/>
      <c r="RZX10" s="118"/>
      <c r="RZY10" s="118"/>
      <c r="RZZ10" s="118"/>
      <c r="SAA10" s="118"/>
      <c r="SAB10" s="118"/>
      <c r="SAC10" s="118"/>
      <c r="SAD10" s="118"/>
      <c r="SAE10" s="118"/>
      <c r="SAF10" s="118"/>
      <c r="SAG10" s="118"/>
      <c r="SAH10" s="118"/>
      <c r="SAI10" s="118"/>
      <c r="SAJ10" s="118"/>
      <c r="SAK10" s="118"/>
      <c r="SAL10" s="118"/>
      <c r="SAM10" s="118"/>
      <c r="SAN10" s="118"/>
      <c r="SAO10" s="118"/>
      <c r="SAP10" s="118"/>
      <c r="SAQ10" s="118"/>
      <c r="SAR10" s="118"/>
      <c r="SAS10" s="118"/>
      <c r="SAT10" s="118"/>
      <c r="SAU10" s="118"/>
      <c r="SAV10" s="118"/>
      <c r="SAW10" s="118"/>
      <c r="SAX10" s="118"/>
      <c r="SAY10" s="118"/>
      <c r="SAZ10" s="118"/>
      <c r="SBA10" s="118"/>
      <c r="SBB10" s="118"/>
      <c r="SBC10" s="118"/>
      <c r="SBD10" s="118"/>
      <c r="SBE10" s="118"/>
      <c r="SBF10" s="118"/>
      <c r="SBG10" s="118"/>
      <c r="SBH10" s="118"/>
      <c r="SBI10" s="118"/>
      <c r="SBJ10" s="118"/>
      <c r="SBK10" s="118"/>
      <c r="SBL10" s="118"/>
      <c r="SBM10" s="118"/>
      <c r="SBN10" s="118"/>
      <c r="SBO10" s="118"/>
      <c r="SBP10" s="118"/>
      <c r="SBQ10" s="118"/>
      <c r="SBR10" s="118"/>
      <c r="SBS10" s="118"/>
      <c r="SBT10" s="118"/>
      <c r="SBU10" s="118"/>
      <c r="SBV10" s="118"/>
      <c r="SBW10" s="118"/>
      <c r="SBX10" s="118"/>
      <c r="SBY10" s="118"/>
      <c r="SBZ10" s="118"/>
      <c r="SCA10" s="118"/>
      <c r="SCB10" s="118"/>
      <c r="SCC10" s="118"/>
      <c r="SCD10" s="118"/>
      <c r="SCE10" s="118"/>
      <c r="SCF10" s="118"/>
      <c r="SCG10" s="118"/>
      <c r="SCH10" s="118"/>
      <c r="SCI10" s="118"/>
      <c r="SCJ10" s="118"/>
      <c r="SCK10" s="118"/>
      <c r="SCL10" s="118"/>
      <c r="SCM10" s="118"/>
      <c r="SCN10" s="118"/>
      <c r="SCO10" s="118"/>
      <c r="SCP10" s="118"/>
      <c r="SCQ10" s="118"/>
      <c r="SCR10" s="118"/>
      <c r="SCS10" s="118"/>
      <c r="SCT10" s="118"/>
      <c r="SCU10" s="118"/>
      <c r="SCV10" s="118"/>
      <c r="SCW10" s="118"/>
      <c r="SCX10" s="118"/>
      <c r="SCY10" s="118"/>
      <c r="SCZ10" s="118"/>
      <c r="SDA10" s="118"/>
      <c r="SDB10" s="118"/>
      <c r="SDC10" s="118"/>
      <c r="SDD10" s="118"/>
      <c r="SDE10" s="118"/>
      <c r="SDF10" s="118"/>
      <c r="SDG10" s="118"/>
      <c r="SDH10" s="118"/>
      <c r="SDI10" s="118"/>
      <c r="SDJ10" s="118"/>
      <c r="SDK10" s="118"/>
      <c r="SDL10" s="118"/>
      <c r="SDM10" s="118"/>
      <c r="SDN10" s="118"/>
      <c r="SDO10" s="118"/>
      <c r="SDP10" s="118"/>
      <c r="SDQ10" s="118"/>
      <c r="SDR10" s="118"/>
      <c r="SDS10" s="118"/>
      <c r="SDT10" s="118"/>
      <c r="SDU10" s="118"/>
      <c r="SDV10" s="118"/>
      <c r="SDW10" s="118"/>
      <c r="SDX10" s="118"/>
      <c r="SDY10" s="118"/>
      <c r="SDZ10" s="118"/>
      <c r="SEA10" s="118"/>
      <c r="SEB10" s="118"/>
      <c r="SEC10" s="118"/>
      <c r="SED10" s="118"/>
      <c r="SEE10" s="118"/>
      <c r="SEF10" s="118"/>
      <c r="SEG10" s="118"/>
      <c r="SEH10" s="118"/>
      <c r="SEI10" s="118"/>
      <c r="SEJ10" s="118"/>
      <c r="SEK10" s="118"/>
      <c r="SEL10" s="118"/>
      <c r="SEM10" s="118"/>
      <c r="SEN10" s="118"/>
      <c r="SEO10" s="118"/>
      <c r="SEP10" s="118"/>
      <c r="SEQ10" s="118"/>
      <c r="SER10" s="118"/>
      <c r="SES10" s="118"/>
      <c r="SET10" s="118"/>
      <c r="SEU10" s="118"/>
      <c r="SEV10" s="118"/>
      <c r="SEW10" s="118"/>
      <c r="SEX10" s="118"/>
      <c r="SEY10" s="118"/>
      <c r="SEZ10" s="118"/>
      <c r="SFA10" s="118"/>
      <c r="SFB10" s="118"/>
      <c r="SFC10" s="118"/>
      <c r="SFD10" s="118"/>
      <c r="SFE10" s="118"/>
      <c r="SFF10" s="118"/>
      <c r="SFG10" s="118"/>
      <c r="SFH10" s="118"/>
      <c r="SFI10" s="118"/>
      <c r="SFJ10" s="118"/>
      <c r="SFK10" s="118"/>
      <c r="SFL10" s="118"/>
      <c r="SFM10" s="118"/>
      <c r="SFN10" s="118"/>
      <c r="SFO10" s="118"/>
      <c r="SFP10" s="118"/>
      <c r="SFQ10" s="118"/>
      <c r="SFR10" s="118"/>
      <c r="SFS10" s="118"/>
      <c r="SFT10" s="118"/>
      <c r="SFU10" s="118"/>
      <c r="SFV10" s="118"/>
      <c r="SFW10" s="118"/>
      <c r="SFX10" s="118"/>
      <c r="SFY10" s="118"/>
      <c r="SFZ10" s="118"/>
      <c r="SGA10" s="118"/>
      <c r="SGB10" s="118"/>
      <c r="SGC10" s="118"/>
      <c r="SGD10" s="118"/>
      <c r="SGE10" s="118"/>
      <c r="SGF10" s="118"/>
      <c r="SGG10" s="118"/>
      <c r="SGH10" s="118"/>
      <c r="SGI10" s="118"/>
      <c r="SGJ10" s="118"/>
      <c r="SGK10" s="118"/>
      <c r="SGL10" s="118"/>
      <c r="SGM10" s="118"/>
      <c r="SGN10" s="118"/>
      <c r="SGO10" s="118"/>
      <c r="SGP10" s="118"/>
      <c r="SGQ10" s="118"/>
      <c r="SGR10" s="118"/>
      <c r="SGS10" s="118"/>
      <c r="SGT10" s="118"/>
      <c r="SGU10" s="118"/>
      <c r="SGV10" s="118"/>
      <c r="SGW10" s="118"/>
      <c r="SGX10" s="118"/>
      <c r="SGY10" s="118"/>
      <c r="SGZ10" s="118"/>
      <c r="SHA10" s="118"/>
      <c r="SHB10" s="118"/>
      <c r="SHC10" s="118"/>
      <c r="SHD10" s="118"/>
      <c r="SHE10" s="118"/>
      <c r="SHF10" s="118"/>
      <c r="SHG10" s="118"/>
      <c r="SHH10" s="118"/>
      <c r="SHI10" s="118"/>
      <c r="SHJ10" s="118"/>
      <c r="SHK10" s="118"/>
      <c r="SHL10" s="118"/>
      <c r="SHM10" s="118"/>
      <c r="SHN10" s="118"/>
      <c r="SHO10" s="118"/>
      <c r="SHP10" s="118"/>
      <c r="SHQ10" s="118"/>
      <c r="SHR10" s="118"/>
      <c r="SHS10" s="118"/>
      <c r="SHT10" s="118"/>
      <c r="SHU10" s="118"/>
      <c r="SHV10" s="118"/>
      <c r="SHW10" s="118"/>
      <c r="SHX10" s="118"/>
      <c r="SHY10" s="118"/>
      <c r="SHZ10" s="118"/>
      <c r="SIA10" s="118"/>
      <c r="SIB10" s="118"/>
      <c r="SIC10" s="118"/>
      <c r="SID10" s="118"/>
      <c r="SIE10" s="118"/>
      <c r="SIF10" s="118"/>
      <c r="SIG10" s="118"/>
      <c r="SIH10" s="118"/>
      <c r="SII10" s="118"/>
      <c r="SIJ10" s="118"/>
      <c r="SIK10" s="118"/>
      <c r="SIL10" s="118"/>
      <c r="SIM10" s="118"/>
      <c r="SIN10" s="118"/>
      <c r="SIO10" s="118"/>
      <c r="SIP10" s="118"/>
      <c r="SIQ10" s="118"/>
      <c r="SIR10" s="118"/>
      <c r="SIS10" s="118"/>
      <c r="SIT10" s="118"/>
      <c r="SIU10" s="118"/>
      <c r="SIV10" s="118"/>
      <c r="SIW10" s="118"/>
      <c r="SIX10" s="118"/>
      <c r="SIY10" s="118"/>
      <c r="SIZ10" s="118"/>
      <c r="SJA10" s="118"/>
      <c r="SJB10" s="118"/>
      <c r="SJC10" s="118"/>
      <c r="SJD10" s="118"/>
      <c r="SJE10" s="118"/>
      <c r="SJF10" s="118"/>
      <c r="SJG10" s="118"/>
      <c r="SJH10" s="118"/>
      <c r="SJI10" s="118"/>
      <c r="SJJ10" s="118"/>
      <c r="SJK10" s="118"/>
      <c r="SJL10" s="118"/>
      <c r="SJM10" s="118"/>
      <c r="SJN10" s="118"/>
      <c r="SJO10" s="118"/>
      <c r="SJP10" s="118"/>
      <c r="SJQ10" s="118"/>
      <c r="SJR10" s="118"/>
      <c r="SJS10" s="118"/>
      <c r="SJT10" s="118"/>
      <c r="SJU10" s="118"/>
      <c r="SJV10" s="118"/>
      <c r="SJW10" s="118"/>
      <c r="SJX10" s="118"/>
      <c r="SJY10" s="118"/>
      <c r="SJZ10" s="118"/>
      <c r="SKA10" s="118"/>
      <c r="SKB10" s="118"/>
      <c r="SKC10" s="118"/>
      <c r="SKD10" s="118"/>
      <c r="SKE10" s="118"/>
      <c r="SKF10" s="118"/>
      <c r="SKG10" s="118"/>
      <c r="SKH10" s="118"/>
      <c r="SKI10" s="118"/>
      <c r="SKJ10" s="118"/>
      <c r="SKK10" s="118"/>
      <c r="SKL10" s="118"/>
      <c r="SKM10" s="118"/>
      <c r="SKN10" s="118"/>
      <c r="SKO10" s="118"/>
      <c r="SKP10" s="118"/>
      <c r="SKQ10" s="118"/>
      <c r="SKR10" s="118"/>
      <c r="SKS10" s="118"/>
      <c r="SKT10" s="118"/>
      <c r="SKU10" s="118"/>
      <c r="SKV10" s="118"/>
      <c r="SKW10" s="118"/>
      <c r="SKX10" s="118"/>
      <c r="SKY10" s="118"/>
      <c r="SKZ10" s="118"/>
      <c r="SLA10" s="118"/>
      <c r="SLB10" s="118"/>
      <c r="SLC10" s="118"/>
      <c r="SLD10" s="118"/>
      <c r="SLE10" s="118"/>
      <c r="SLF10" s="118"/>
      <c r="SLG10" s="118"/>
      <c r="SLH10" s="118"/>
      <c r="SLI10" s="118"/>
      <c r="SLJ10" s="118"/>
      <c r="SLK10" s="118"/>
      <c r="SLL10" s="118"/>
      <c r="SLM10" s="118"/>
      <c r="SLN10" s="118"/>
      <c r="SLO10" s="118"/>
      <c r="SLP10" s="118"/>
      <c r="SLQ10" s="118"/>
      <c r="SLR10" s="118"/>
      <c r="SLS10" s="118"/>
      <c r="SLT10" s="118"/>
      <c r="SLU10" s="118"/>
      <c r="SLV10" s="118"/>
      <c r="SLW10" s="118"/>
      <c r="SLX10" s="118"/>
      <c r="SLY10" s="118"/>
      <c r="SLZ10" s="118"/>
      <c r="SMA10" s="118"/>
      <c r="SMB10" s="118"/>
      <c r="SMC10" s="118"/>
      <c r="SMD10" s="118"/>
      <c r="SME10" s="118"/>
      <c r="SMF10" s="118"/>
      <c r="SMG10" s="118"/>
      <c r="SMH10" s="118"/>
      <c r="SMI10" s="118"/>
      <c r="SMJ10" s="118"/>
      <c r="SMK10" s="118"/>
      <c r="SML10" s="118"/>
      <c r="SMM10" s="118"/>
      <c r="SMN10" s="118"/>
      <c r="SMO10" s="118"/>
      <c r="SMP10" s="118"/>
      <c r="SMQ10" s="118"/>
      <c r="SMR10" s="118"/>
      <c r="SMS10" s="118"/>
      <c r="SMT10" s="118"/>
      <c r="SMU10" s="118"/>
      <c r="SMV10" s="118"/>
      <c r="SMW10" s="118"/>
      <c r="SMX10" s="118"/>
      <c r="SMY10" s="118"/>
      <c r="SMZ10" s="118"/>
      <c r="SNA10" s="118"/>
      <c r="SNB10" s="118"/>
      <c r="SNC10" s="118"/>
      <c r="SND10" s="118"/>
      <c r="SNE10" s="118"/>
      <c r="SNF10" s="118"/>
      <c r="SNG10" s="118"/>
      <c r="SNH10" s="118"/>
      <c r="SNI10" s="118"/>
      <c r="SNJ10" s="118"/>
      <c r="SNK10" s="118"/>
      <c r="SNL10" s="118"/>
      <c r="SNM10" s="118"/>
      <c r="SNN10" s="118"/>
      <c r="SNO10" s="118"/>
      <c r="SNP10" s="118"/>
      <c r="SNQ10" s="118"/>
      <c r="SNR10" s="118"/>
      <c r="SNS10" s="118"/>
      <c r="SNT10" s="118"/>
      <c r="SNU10" s="118"/>
      <c r="SNV10" s="118"/>
      <c r="SNW10" s="118"/>
      <c r="SNX10" s="118"/>
      <c r="SNY10" s="118"/>
      <c r="SNZ10" s="118"/>
      <c r="SOA10" s="118"/>
      <c r="SOB10" s="118"/>
      <c r="SOC10" s="118"/>
      <c r="SOD10" s="118"/>
      <c r="SOE10" s="118"/>
      <c r="SOF10" s="118"/>
      <c r="SOG10" s="118"/>
      <c r="SOH10" s="118"/>
      <c r="SOI10" s="118"/>
      <c r="SOJ10" s="118"/>
      <c r="SOK10" s="118"/>
      <c r="SOL10" s="118"/>
      <c r="SOM10" s="118"/>
      <c r="SON10" s="118"/>
      <c r="SOO10" s="118"/>
      <c r="SOP10" s="118"/>
      <c r="SOQ10" s="118"/>
      <c r="SOR10" s="118"/>
      <c r="SOS10" s="118"/>
      <c r="SOT10" s="118"/>
      <c r="SOU10" s="118"/>
      <c r="SOV10" s="118"/>
      <c r="SOW10" s="118"/>
      <c r="SOX10" s="118"/>
      <c r="SOY10" s="118"/>
      <c r="SOZ10" s="118"/>
      <c r="SPA10" s="118"/>
      <c r="SPB10" s="118"/>
      <c r="SPC10" s="118"/>
      <c r="SPD10" s="118"/>
      <c r="SPE10" s="118"/>
      <c r="SPF10" s="118"/>
      <c r="SPG10" s="118"/>
      <c r="SPH10" s="118"/>
      <c r="SPI10" s="118"/>
      <c r="SPJ10" s="118"/>
      <c r="SPK10" s="118"/>
      <c r="SPL10" s="118"/>
      <c r="SPM10" s="118"/>
      <c r="SPN10" s="118"/>
      <c r="SPO10" s="118"/>
      <c r="SPP10" s="118"/>
      <c r="SPQ10" s="118"/>
      <c r="SPR10" s="118"/>
      <c r="SPS10" s="118"/>
      <c r="SPT10" s="118"/>
      <c r="SPU10" s="118"/>
      <c r="SPV10" s="118"/>
      <c r="SPW10" s="118"/>
      <c r="SPX10" s="118"/>
      <c r="SPY10" s="118"/>
      <c r="SPZ10" s="118"/>
      <c r="SQA10" s="118"/>
      <c r="SQB10" s="118"/>
      <c r="SQC10" s="118"/>
      <c r="SQD10" s="118"/>
      <c r="SQE10" s="118"/>
      <c r="SQF10" s="118"/>
      <c r="SQG10" s="118"/>
      <c r="SQH10" s="118"/>
      <c r="SQI10" s="118"/>
      <c r="SQJ10" s="118"/>
      <c r="SQK10" s="118"/>
      <c r="SQL10" s="118"/>
      <c r="SQM10" s="118"/>
      <c r="SQN10" s="118"/>
      <c r="SQO10" s="118"/>
      <c r="SQP10" s="118"/>
      <c r="SQQ10" s="118"/>
      <c r="SQR10" s="118"/>
      <c r="SQS10" s="118"/>
      <c r="SQT10" s="118"/>
      <c r="SQU10" s="118"/>
      <c r="SQV10" s="118"/>
      <c r="SQW10" s="118"/>
      <c r="SQX10" s="118"/>
      <c r="SQY10" s="118"/>
      <c r="SQZ10" s="118"/>
      <c r="SRA10" s="118"/>
      <c r="SRB10" s="118"/>
      <c r="SRC10" s="118"/>
      <c r="SRD10" s="118"/>
      <c r="SRE10" s="118"/>
      <c r="SRF10" s="118"/>
      <c r="SRG10" s="118"/>
      <c r="SRH10" s="118"/>
      <c r="SRI10" s="118"/>
      <c r="SRJ10" s="118"/>
      <c r="SRK10" s="118"/>
      <c r="SRL10" s="118"/>
      <c r="SRM10" s="118"/>
      <c r="SRN10" s="118"/>
      <c r="SRO10" s="118"/>
      <c r="SRP10" s="118"/>
      <c r="SRQ10" s="118"/>
      <c r="SRR10" s="118"/>
      <c r="SRS10" s="118"/>
      <c r="SRT10" s="118"/>
      <c r="SRU10" s="118"/>
      <c r="SRV10" s="118"/>
      <c r="SRW10" s="118"/>
      <c r="SRX10" s="118"/>
      <c r="SRY10" s="118"/>
      <c r="SRZ10" s="118"/>
      <c r="SSA10" s="118"/>
      <c r="SSB10" s="118"/>
      <c r="SSC10" s="118"/>
      <c r="SSD10" s="118"/>
      <c r="SSE10" s="118"/>
      <c r="SSF10" s="118"/>
      <c r="SSG10" s="118"/>
      <c r="SSH10" s="118"/>
      <c r="SSI10" s="118"/>
      <c r="SSJ10" s="118"/>
      <c r="SSK10" s="118"/>
      <c r="SSL10" s="118"/>
      <c r="SSM10" s="118"/>
      <c r="SSN10" s="118"/>
      <c r="SSO10" s="118"/>
      <c r="SSP10" s="118"/>
      <c r="SSQ10" s="118"/>
      <c r="SSR10" s="118"/>
      <c r="SSS10" s="118"/>
      <c r="SST10" s="118"/>
      <c r="SSU10" s="118"/>
      <c r="SSV10" s="118"/>
      <c r="SSW10" s="118"/>
      <c r="SSX10" s="118"/>
      <c r="SSY10" s="118"/>
      <c r="SSZ10" s="118"/>
      <c r="STA10" s="118"/>
      <c r="STB10" s="118"/>
      <c r="STC10" s="118"/>
      <c r="STD10" s="118"/>
      <c r="STE10" s="118"/>
      <c r="STF10" s="118"/>
      <c r="STG10" s="118"/>
      <c r="STH10" s="118"/>
      <c r="STI10" s="118"/>
      <c r="STJ10" s="118"/>
      <c r="STK10" s="118"/>
      <c r="STL10" s="118"/>
      <c r="STM10" s="118"/>
      <c r="STN10" s="118"/>
      <c r="STO10" s="118"/>
      <c r="STP10" s="118"/>
      <c r="STQ10" s="118"/>
      <c r="STR10" s="118"/>
      <c r="STS10" s="118"/>
      <c r="STT10" s="118"/>
      <c r="STU10" s="118"/>
      <c r="STV10" s="118"/>
      <c r="STW10" s="118"/>
      <c r="STX10" s="118"/>
      <c r="STY10" s="118"/>
      <c r="STZ10" s="118"/>
      <c r="SUA10" s="118"/>
      <c r="SUB10" s="118"/>
      <c r="SUC10" s="118"/>
      <c r="SUD10" s="118"/>
      <c r="SUE10" s="118"/>
      <c r="SUF10" s="118"/>
      <c r="SUG10" s="118"/>
      <c r="SUH10" s="118"/>
      <c r="SUI10" s="118"/>
      <c r="SUJ10" s="118"/>
      <c r="SUK10" s="118"/>
      <c r="SUL10" s="118"/>
      <c r="SUM10" s="118"/>
      <c r="SUN10" s="118"/>
      <c r="SUO10" s="118"/>
      <c r="SUP10" s="118"/>
      <c r="SUQ10" s="118"/>
      <c r="SUR10" s="118"/>
      <c r="SUS10" s="118"/>
      <c r="SUT10" s="118"/>
      <c r="SUU10" s="118"/>
      <c r="SUV10" s="118"/>
      <c r="SUW10" s="118"/>
      <c r="SUX10" s="118"/>
      <c r="SUY10" s="118"/>
      <c r="SUZ10" s="118"/>
      <c r="SVA10" s="118"/>
      <c r="SVB10" s="118"/>
      <c r="SVC10" s="118"/>
      <c r="SVD10" s="118"/>
      <c r="SVE10" s="118"/>
      <c r="SVF10" s="118"/>
      <c r="SVG10" s="118"/>
      <c r="SVH10" s="118"/>
      <c r="SVI10" s="118"/>
      <c r="SVJ10" s="118"/>
      <c r="SVK10" s="118"/>
      <c r="SVL10" s="118"/>
      <c r="SVM10" s="118"/>
      <c r="SVN10" s="118"/>
      <c r="SVO10" s="118"/>
      <c r="SVP10" s="118"/>
      <c r="SVQ10" s="118"/>
      <c r="SVR10" s="118"/>
      <c r="SVS10" s="118"/>
      <c r="SVT10" s="118"/>
      <c r="SVU10" s="118"/>
      <c r="SVV10" s="118"/>
      <c r="SVW10" s="118"/>
      <c r="SVX10" s="118"/>
      <c r="SVY10" s="118"/>
      <c r="SVZ10" s="118"/>
      <c r="SWA10" s="118"/>
      <c r="SWB10" s="118"/>
      <c r="SWC10" s="118"/>
      <c r="SWD10" s="118"/>
      <c r="SWE10" s="118"/>
      <c r="SWF10" s="118"/>
      <c r="SWG10" s="118"/>
      <c r="SWH10" s="118"/>
      <c r="SWI10" s="118"/>
      <c r="SWJ10" s="118"/>
      <c r="SWK10" s="118"/>
      <c r="SWL10" s="118"/>
      <c r="SWM10" s="118"/>
      <c r="SWN10" s="118"/>
      <c r="SWO10" s="118"/>
      <c r="SWP10" s="118"/>
      <c r="SWQ10" s="118"/>
      <c r="SWR10" s="118"/>
      <c r="SWS10" s="118"/>
      <c r="SWT10" s="118"/>
      <c r="SWU10" s="118"/>
      <c r="SWV10" s="118"/>
      <c r="SWW10" s="118"/>
      <c r="SWX10" s="118"/>
      <c r="SWY10" s="118"/>
      <c r="SWZ10" s="118"/>
      <c r="SXA10" s="118"/>
      <c r="SXB10" s="118"/>
      <c r="SXC10" s="118"/>
      <c r="SXD10" s="118"/>
      <c r="SXE10" s="118"/>
      <c r="SXF10" s="118"/>
      <c r="SXG10" s="118"/>
      <c r="SXH10" s="118"/>
      <c r="SXI10" s="118"/>
      <c r="SXJ10" s="118"/>
      <c r="SXK10" s="118"/>
      <c r="SXL10" s="118"/>
      <c r="SXM10" s="118"/>
      <c r="SXN10" s="118"/>
      <c r="SXO10" s="118"/>
      <c r="SXP10" s="118"/>
      <c r="SXQ10" s="118"/>
      <c r="SXR10" s="118"/>
      <c r="SXS10" s="118"/>
      <c r="SXT10" s="118"/>
      <c r="SXU10" s="118"/>
      <c r="SXV10" s="118"/>
      <c r="SXW10" s="118"/>
      <c r="SXX10" s="118"/>
      <c r="SXY10" s="118"/>
      <c r="SXZ10" s="118"/>
      <c r="SYA10" s="118"/>
      <c r="SYB10" s="118"/>
      <c r="SYC10" s="118"/>
      <c r="SYD10" s="118"/>
      <c r="SYE10" s="118"/>
      <c r="SYF10" s="118"/>
      <c r="SYG10" s="118"/>
      <c r="SYH10" s="118"/>
      <c r="SYI10" s="118"/>
      <c r="SYJ10" s="118"/>
      <c r="SYK10" s="118"/>
      <c r="SYL10" s="118"/>
      <c r="SYM10" s="118"/>
      <c r="SYN10" s="118"/>
      <c r="SYO10" s="118"/>
      <c r="SYP10" s="118"/>
      <c r="SYQ10" s="118"/>
      <c r="SYR10" s="118"/>
      <c r="SYS10" s="118"/>
      <c r="SYT10" s="118"/>
      <c r="SYU10" s="118"/>
      <c r="SYV10" s="118"/>
      <c r="SYW10" s="118"/>
      <c r="SYX10" s="118"/>
      <c r="SYY10" s="118"/>
      <c r="SYZ10" s="118"/>
      <c r="SZA10" s="118"/>
      <c r="SZB10" s="118"/>
      <c r="SZC10" s="118"/>
      <c r="SZD10" s="118"/>
      <c r="SZE10" s="118"/>
      <c r="SZF10" s="118"/>
      <c r="SZG10" s="118"/>
      <c r="SZH10" s="118"/>
      <c r="SZI10" s="118"/>
      <c r="SZJ10" s="118"/>
      <c r="SZK10" s="118"/>
      <c r="SZL10" s="118"/>
      <c r="SZM10" s="118"/>
      <c r="SZN10" s="118"/>
      <c r="SZO10" s="118"/>
      <c r="SZP10" s="118"/>
      <c r="SZQ10" s="118"/>
      <c r="SZR10" s="118"/>
      <c r="SZS10" s="118"/>
      <c r="SZT10" s="118"/>
      <c r="SZU10" s="118"/>
      <c r="SZV10" s="118"/>
      <c r="SZW10" s="118"/>
      <c r="SZX10" s="118"/>
      <c r="SZY10" s="118"/>
      <c r="SZZ10" s="118"/>
      <c r="TAA10" s="118"/>
      <c r="TAB10" s="118"/>
      <c r="TAC10" s="118"/>
      <c r="TAD10" s="118"/>
      <c r="TAE10" s="118"/>
      <c r="TAF10" s="118"/>
      <c r="TAG10" s="118"/>
      <c r="TAH10" s="118"/>
      <c r="TAI10" s="118"/>
      <c r="TAJ10" s="118"/>
      <c r="TAK10" s="118"/>
      <c r="TAL10" s="118"/>
      <c r="TAM10" s="118"/>
      <c r="TAN10" s="118"/>
      <c r="TAO10" s="118"/>
      <c r="TAP10" s="118"/>
      <c r="TAQ10" s="118"/>
      <c r="TAR10" s="118"/>
      <c r="TAS10" s="118"/>
      <c r="TAT10" s="118"/>
      <c r="TAU10" s="118"/>
      <c r="TAV10" s="118"/>
      <c r="TAW10" s="118"/>
      <c r="TAX10" s="118"/>
      <c r="TAY10" s="118"/>
      <c r="TAZ10" s="118"/>
      <c r="TBA10" s="118"/>
      <c r="TBB10" s="118"/>
      <c r="TBC10" s="118"/>
      <c r="TBD10" s="118"/>
      <c r="TBE10" s="118"/>
      <c r="TBF10" s="118"/>
      <c r="TBG10" s="118"/>
      <c r="TBH10" s="118"/>
      <c r="TBI10" s="118"/>
      <c r="TBJ10" s="118"/>
      <c r="TBK10" s="118"/>
      <c r="TBL10" s="118"/>
      <c r="TBM10" s="118"/>
      <c r="TBN10" s="118"/>
      <c r="TBO10" s="118"/>
      <c r="TBP10" s="118"/>
      <c r="TBQ10" s="118"/>
      <c r="TBR10" s="118"/>
      <c r="TBS10" s="118"/>
      <c r="TBT10" s="118"/>
      <c r="TBU10" s="118"/>
      <c r="TBV10" s="118"/>
      <c r="TBW10" s="118"/>
      <c r="TBX10" s="118"/>
      <c r="TBY10" s="118"/>
      <c r="TBZ10" s="118"/>
      <c r="TCA10" s="118"/>
      <c r="TCB10" s="118"/>
      <c r="TCC10" s="118"/>
      <c r="TCD10" s="118"/>
      <c r="TCE10" s="118"/>
      <c r="TCF10" s="118"/>
      <c r="TCG10" s="118"/>
      <c r="TCH10" s="118"/>
      <c r="TCI10" s="118"/>
      <c r="TCJ10" s="118"/>
      <c r="TCK10" s="118"/>
      <c r="TCL10" s="118"/>
      <c r="TCM10" s="118"/>
      <c r="TCN10" s="118"/>
      <c r="TCO10" s="118"/>
      <c r="TCP10" s="118"/>
      <c r="TCQ10" s="118"/>
      <c r="TCR10" s="118"/>
      <c r="TCS10" s="118"/>
      <c r="TCT10" s="118"/>
      <c r="TCU10" s="118"/>
      <c r="TCV10" s="118"/>
      <c r="TCW10" s="118"/>
      <c r="TCX10" s="118"/>
      <c r="TCY10" s="118"/>
      <c r="TCZ10" s="118"/>
      <c r="TDA10" s="118"/>
      <c r="TDB10" s="118"/>
      <c r="TDC10" s="118"/>
      <c r="TDD10" s="118"/>
      <c r="TDE10" s="118"/>
      <c r="TDF10" s="118"/>
      <c r="TDG10" s="118"/>
      <c r="TDH10" s="118"/>
      <c r="TDI10" s="118"/>
      <c r="TDJ10" s="118"/>
      <c r="TDK10" s="118"/>
      <c r="TDL10" s="118"/>
      <c r="TDM10" s="118"/>
      <c r="TDN10" s="118"/>
      <c r="TDO10" s="118"/>
      <c r="TDP10" s="118"/>
      <c r="TDQ10" s="118"/>
      <c r="TDR10" s="118"/>
      <c r="TDS10" s="118"/>
      <c r="TDT10" s="118"/>
      <c r="TDU10" s="118"/>
      <c r="TDV10" s="118"/>
      <c r="TDW10" s="118"/>
      <c r="TDX10" s="118"/>
      <c r="TDY10" s="118"/>
      <c r="TDZ10" s="118"/>
      <c r="TEA10" s="118"/>
      <c r="TEB10" s="118"/>
      <c r="TEC10" s="118"/>
      <c r="TED10" s="118"/>
      <c r="TEE10" s="118"/>
      <c r="TEF10" s="118"/>
      <c r="TEG10" s="118"/>
      <c r="TEH10" s="118"/>
      <c r="TEI10" s="118"/>
      <c r="TEJ10" s="118"/>
      <c r="TEK10" s="118"/>
      <c r="TEL10" s="118"/>
      <c r="TEM10" s="118"/>
      <c r="TEN10" s="118"/>
      <c r="TEO10" s="118"/>
      <c r="TEP10" s="118"/>
      <c r="TEQ10" s="118"/>
      <c r="TER10" s="118"/>
      <c r="TES10" s="118"/>
      <c r="TET10" s="118"/>
      <c r="TEU10" s="118"/>
      <c r="TEV10" s="118"/>
      <c r="TEW10" s="118"/>
      <c r="TEX10" s="118"/>
      <c r="TEY10" s="118"/>
      <c r="TEZ10" s="118"/>
      <c r="TFA10" s="118"/>
      <c r="TFB10" s="118"/>
      <c r="TFC10" s="118"/>
      <c r="TFD10" s="118"/>
      <c r="TFE10" s="118"/>
      <c r="TFF10" s="118"/>
      <c r="TFG10" s="118"/>
      <c r="TFH10" s="118"/>
      <c r="TFI10" s="118"/>
      <c r="TFJ10" s="118"/>
      <c r="TFK10" s="118"/>
      <c r="TFL10" s="118"/>
      <c r="TFM10" s="118"/>
      <c r="TFN10" s="118"/>
      <c r="TFO10" s="118"/>
      <c r="TFP10" s="118"/>
      <c r="TFQ10" s="118"/>
      <c r="TFR10" s="118"/>
      <c r="TFS10" s="118"/>
      <c r="TFT10" s="118"/>
      <c r="TFU10" s="118"/>
      <c r="TFV10" s="118"/>
      <c r="TFW10" s="118"/>
      <c r="TFX10" s="118"/>
      <c r="TFY10" s="118"/>
      <c r="TFZ10" s="118"/>
      <c r="TGA10" s="118"/>
      <c r="TGB10" s="118"/>
      <c r="TGC10" s="118"/>
      <c r="TGD10" s="118"/>
      <c r="TGE10" s="118"/>
      <c r="TGF10" s="118"/>
      <c r="TGG10" s="118"/>
      <c r="TGH10" s="118"/>
      <c r="TGI10" s="118"/>
      <c r="TGJ10" s="118"/>
      <c r="TGK10" s="118"/>
      <c r="TGL10" s="118"/>
      <c r="TGM10" s="118"/>
      <c r="TGN10" s="118"/>
      <c r="TGO10" s="118"/>
      <c r="TGP10" s="118"/>
      <c r="TGQ10" s="118"/>
      <c r="TGR10" s="118"/>
      <c r="TGS10" s="118"/>
      <c r="TGT10" s="118"/>
      <c r="TGU10" s="118"/>
      <c r="TGV10" s="118"/>
      <c r="TGW10" s="118"/>
      <c r="TGX10" s="118"/>
      <c r="TGY10" s="118"/>
      <c r="TGZ10" s="118"/>
      <c r="THA10" s="118"/>
      <c r="THB10" s="118"/>
      <c r="THC10" s="118"/>
      <c r="THD10" s="118"/>
      <c r="THE10" s="118"/>
      <c r="THF10" s="118"/>
      <c r="THG10" s="118"/>
      <c r="THH10" s="118"/>
      <c r="THI10" s="118"/>
      <c r="THJ10" s="118"/>
      <c r="THK10" s="118"/>
      <c r="THL10" s="118"/>
      <c r="THM10" s="118"/>
      <c r="THN10" s="118"/>
      <c r="THO10" s="118"/>
      <c r="THP10" s="118"/>
      <c r="THQ10" s="118"/>
      <c r="THR10" s="118"/>
      <c r="THS10" s="118"/>
      <c r="THT10" s="118"/>
      <c r="THU10" s="118"/>
      <c r="THV10" s="118"/>
      <c r="THW10" s="118"/>
      <c r="THX10" s="118"/>
      <c r="THY10" s="118"/>
      <c r="THZ10" s="118"/>
      <c r="TIA10" s="118"/>
      <c r="TIB10" s="118"/>
      <c r="TIC10" s="118"/>
      <c r="TID10" s="118"/>
      <c r="TIE10" s="118"/>
      <c r="TIF10" s="118"/>
      <c r="TIG10" s="118"/>
      <c r="TIH10" s="118"/>
      <c r="TII10" s="118"/>
      <c r="TIJ10" s="118"/>
      <c r="TIK10" s="118"/>
      <c r="TIL10" s="118"/>
      <c r="TIM10" s="118"/>
      <c r="TIN10" s="118"/>
      <c r="TIO10" s="118"/>
      <c r="TIP10" s="118"/>
      <c r="TIQ10" s="118"/>
      <c r="TIR10" s="118"/>
      <c r="TIS10" s="118"/>
      <c r="TIT10" s="118"/>
      <c r="TIU10" s="118"/>
      <c r="TIV10" s="118"/>
      <c r="TIW10" s="118"/>
      <c r="TIX10" s="118"/>
      <c r="TIY10" s="118"/>
      <c r="TIZ10" s="118"/>
      <c r="TJA10" s="118"/>
      <c r="TJB10" s="118"/>
      <c r="TJC10" s="118"/>
      <c r="TJD10" s="118"/>
      <c r="TJE10" s="118"/>
      <c r="TJF10" s="118"/>
      <c r="TJG10" s="118"/>
      <c r="TJH10" s="118"/>
      <c r="TJI10" s="118"/>
      <c r="TJJ10" s="118"/>
      <c r="TJK10" s="118"/>
      <c r="TJL10" s="118"/>
      <c r="TJM10" s="118"/>
      <c r="TJN10" s="118"/>
      <c r="TJO10" s="118"/>
      <c r="TJP10" s="118"/>
      <c r="TJQ10" s="118"/>
      <c r="TJR10" s="118"/>
      <c r="TJS10" s="118"/>
      <c r="TJT10" s="118"/>
      <c r="TJU10" s="118"/>
      <c r="TJV10" s="118"/>
      <c r="TJW10" s="118"/>
      <c r="TJX10" s="118"/>
      <c r="TJY10" s="118"/>
      <c r="TJZ10" s="118"/>
      <c r="TKA10" s="118"/>
      <c r="TKB10" s="118"/>
      <c r="TKC10" s="118"/>
      <c r="TKD10" s="118"/>
      <c r="TKE10" s="118"/>
      <c r="TKF10" s="118"/>
      <c r="TKG10" s="118"/>
      <c r="TKH10" s="118"/>
      <c r="TKI10" s="118"/>
      <c r="TKJ10" s="118"/>
      <c r="TKK10" s="118"/>
      <c r="TKL10" s="118"/>
      <c r="TKM10" s="118"/>
      <c r="TKN10" s="118"/>
      <c r="TKO10" s="118"/>
      <c r="TKP10" s="118"/>
      <c r="TKQ10" s="118"/>
      <c r="TKR10" s="118"/>
      <c r="TKS10" s="118"/>
      <c r="TKT10" s="118"/>
      <c r="TKU10" s="118"/>
      <c r="TKV10" s="118"/>
      <c r="TKW10" s="118"/>
      <c r="TKX10" s="118"/>
      <c r="TKY10" s="118"/>
      <c r="TKZ10" s="118"/>
      <c r="TLA10" s="118"/>
      <c r="TLB10" s="118"/>
      <c r="TLC10" s="118"/>
      <c r="TLD10" s="118"/>
      <c r="TLE10" s="118"/>
      <c r="TLF10" s="118"/>
      <c r="TLG10" s="118"/>
      <c r="TLH10" s="118"/>
      <c r="TLI10" s="118"/>
      <c r="TLJ10" s="118"/>
      <c r="TLK10" s="118"/>
      <c r="TLL10" s="118"/>
      <c r="TLM10" s="118"/>
      <c r="TLN10" s="118"/>
      <c r="TLO10" s="118"/>
      <c r="TLP10" s="118"/>
      <c r="TLQ10" s="118"/>
      <c r="TLR10" s="118"/>
      <c r="TLS10" s="118"/>
      <c r="TLT10" s="118"/>
      <c r="TLU10" s="118"/>
      <c r="TLV10" s="118"/>
      <c r="TLW10" s="118"/>
      <c r="TLX10" s="118"/>
      <c r="TLY10" s="118"/>
      <c r="TLZ10" s="118"/>
      <c r="TMA10" s="118"/>
      <c r="TMB10" s="118"/>
      <c r="TMC10" s="118"/>
      <c r="TMD10" s="118"/>
      <c r="TME10" s="118"/>
      <c r="TMF10" s="118"/>
      <c r="TMG10" s="118"/>
      <c r="TMH10" s="118"/>
      <c r="TMI10" s="118"/>
      <c r="TMJ10" s="118"/>
      <c r="TMK10" s="118"/>
      <c r="TML10" s="118"/>
      <c r="TMM10" s="118"/>
      <c r="TMN10" s="118"/>
      <c r="TMO10" s="118"/>
      <c r="TMP10" s="118"/>
      <c r="TMQ10" s="118"/>
      <c r="TMR10" s="118"/>
      <c r="TMS10" s="118"/>
      <c r="TMT10" s="118"/>
      <c r="TMU10" s="118"/>
      <c r="TMV10" s="118"/>
      <c r="TMW10" s="118"/>
      <c r="TMX10" s="118"/>
      <c r="TMY10" s="118"/>
      <c r="TMZ10" s="118"/>
      <c r="TNA10" s="118"/>
      <c r="TNB10" s="118"/>
      <c r="TNC10" s="118"/>
      <c r="TND10" s="118"/>
      <c r="TNE10" s="118"/>
      <c r="TNF10" s="118"/>
      <c r="TNG10" s="118"/>
      <c r="TNH10" s="118"/>
      <c r="TNI10" s="118"/>
      <c r="TNJ10" s="118"/>
      <c r="TNK10" s="118"/>
      <c r="TNL10" s="118"/>
      <c r="TNM10" s="118"/>
      <c r="TNN10" s="118"/>
      <c r="TNO10" s="118"/>
      <c r="TNP10" s="118"/>
      <c r="TNQ10" s="118"/>
      <c r="TNR10" s="118"/>
      <c r="TNS10" s="118"/>
      <c r="TNT10" s="118"/>
      <c r="TNU10" s="118"/>
      <c r="TNV10" s="118"/>
      <c r="TNW10" s="118"/>
      <c r="TNX10" s="118"/>
      <c r="TNY10" s="118"/>
      <c r="TNZ10" s="118"/>
      <c r="TOA10" s="118"/>
      <c r="TOB10" s="118"/>
      <c r="TOC10" s="118"/>
      <c r="TOD10" s="118"/>
      <c r="TOE10" s="118"/>
      <c r="TOF10" s="118"/>
      <c r="TOG10" s="118"/>
      <c r="TOH10" s="118"/>
      <c r="TOI10" s="118"/>
      <c r="TOJ10" s="118"/>
      <c r="TOK10" s="118"/>
      <c r="TOL10" s="118"/>
      <c r="TOM10" s="118"/>
      <c r="TON10" s="118"/>
      <c r="TOO10" s="118"/>
      <c r="TOP10" s="118"/>
      <c r="TOQ10" s="118"/>
      <c r="TOR10" s="118"/>
      <c r="TOS10" s="118"/>
      <c r="TOT10" s="118"/>
      <c r="TOU10" s="118"/>
      <c r="TOV10" s="118"/>
      <c r="TOW10" s="118"/>
      <c r="TOX10" s="118"/>
      <c r="TOY10" s="118"/>
      <c r="TOZ10" s="118"/>
      <c r="TPA10" s="118"/>
      <c r="TPB10" s="118"/>
      <c r="TPC10" s="118"/>
      <c r="TPD10" s="118"/>
      <c r="TPE10" s="118"/>
      <c r="TPF10" s="118"/>
      <c r="TPG10" s="118"/>
      <c r="TPH10" s="118"/>
      <c r="TPI10" s="118"/>
      <c r="TPJ10" s="118"/>
      <c r="TPK10" s="118"/>
      <c r="TPL10" s="118"/>
      <c r="TPM10" s="118"/>
      <c r="TPN10" s="118"/>
      <c r="TPO10" s="118"/>
      <c r="TPP10" s="118"/>
      <c r="TPQ10" s="118"/>
      <c r="TPR10" s="118"/>
      <c r="TPS10" s="118"/>
      <c r="TPT10" s="118"/>
      <c r="TPU10" s="118"/>
      <c r="TPV10" s="118"/>
      <c r="TPW10" s="118"/>
      <c r="TPX10" s="118"/>
      <c r="TPY10" s="118"/>
      <c r="TPZ10" s="118"/>
      <c r="TQA10" s="118"/>
      <c r="TQB10" s="118"/>
      <c r="TQC10" s="118"/>
      <c r="TQD10" s="118"/>
      <c r="TQE10" s="118"/>
      <c r="TQF10" s="118"/>
      <c r="TQG10" s="118"/>
      <c r="TQH10" s="118"/>
      <c r="TQI10" s="118"/>
      <c r="TQJ10" s="118"/>
      <c r="TQK10" s="118"/>
      <c r="TQL10" s="118"/>
      <c r="TQM10" s="118"/>
      <c r="TQN10" s="118"/>
      <c r="TQO10" s="118"/>
      <c r="TQP10" s="118"/>
      <c r="TQQ10" s="118"/>
      <c r="TQR10" s="118"/>
      <c r="TQS10" s="118"/>
      <c r="TQT10" s="118"/>
      <c r="TQU10" s="118"/>
      <c r="TQV10" s="118"/>
      <c r="TQW10" s="118"/>
      <c r="TQX10" s="118"/>
      <c r="TQY10" s="118"/>
      <c r="TQZ10" s="118"/>
      <c r="TRA10" s="118"/>
      <c r="TRB10" s="118"/>
      <c r="TRC10" s="118"/>
      <c r="TRD10" s="118"/>
      <c r="TRE10" s="118"/>
      <c r="TRF10" s="118"/>
      <c r="TRG10" s="118"/>
      <c r="TRH10" s="118"/>
      <c r="TRI10" s="118"/>
      <c r="TRJ10" s="118"/>
      <c r="TRK10" s="118"/>
      <c r="TRL10" s="118"/>
      <c r="TRM10" s="118"/>
      <c r="TRN10" s="118"/>
      <c r="TRO10" s="118"/>
      <c r="TRP10" s="118"/>
      <c r="TRQ10" s="118"/>
      <c r="TRR10" s="118"/>
      <c r="TRS10" s="118"/>
      <c r="TRT10" s="118"/>
      <c r="TRU10" s="118"/>
      <c r="TRV10" s="118"/>
      <c r="TRW10" s="118"/>
      <c r="TRX10" s="118"/>
      <c r="TRY10" s="118"/>
      <c r="TRZ10" s="118"/>
      <c r="TSA10" s="118"/>
      <c r="TSB10" s="118"/>
      <c r="TSC10" s="118"/>
      <c r="TSD10" s="118"/>
      <c r="TSE10" s="118"/>
      <c r="TSF10" s="118"/>
      <c r="TSG10" s="118"/>
      <c r="TSH10" s="118"/>
      <c r="TSI10" s="118"/>
      <c r="TSJ10" s="118"/>
      <c r="TSK10" s="118"/>
      <c r="TSL10" s="118"/>
      <c r="TSM10" s="118"/>
      <c r="TSN10" s="118"/>
      <c r="TSO10" s="118"/>
      <c r="TSP10" s="118"/>
      <c r="TSQ10" s="118"/>
      <c r="TSR10" s="118"/>
      <c r="TSS10" s="118"/>
      <c r="TST10" s="118"/>
      <c r="TSU10" s="118"/>
      <c r="TSV10" s="118"/>
      <c r="TSW10" s="118"/>
      <c r="TSX10" s="118"/>
      <c r="TSY10" s="118"/>
      <c r="TSZ10" s="118"/>
      <c r="TTA10" s="118"/>
      <c r="TTB10" s="118"/>
      <c r="TTC10" s="118"/>
      <c r="TTD10" s="118"/>
      <c r="TTE10" s="118"/>
      <c r="TTF10" s="118"/>
      <c r="TTG10" s="118"/>
      <c r="TTH10" s="118"/>
      <c r="TTI10" s="118"/>
      <c r="TTJ10" s="118"/>
      <c r="TTK10" s="118"/>
      <c r="TTL10" s="118"/>
      <c r="TTM10" s="118"/>
      <c r="TTN10" s="118"/>
      <c r="TTO10" s="118"/>
      <c r="TTP10" s="118"/>
      <c r="TTQ10" s="118"/>
      <c r="TTR10" s="118"/>
      <c r="TTS10" s="118"/>
      <c r="TTT10" s="118"/>
      <c r="TTU10" s="118"/>
      <c r="TTV10" s="118"/>
      <c r="TTW10" s="118"/>
      <c r="TTX10" s="118"/>
      <c r="TTY10" s="118"/>
      <c r="TTZ10" s="118"/>
      <c r="TUA10" s="118"/>
      <c r="TUB10" s="118"/>
      <c r="TUC10" s="118"/>
      <c r="TUD10" s="118"/>
      <c r="TUE10" s="118"/>
      <c r="TUF10" s="118"/>
      <c r="TUG10" s="118"/>
      <c r="TUH10" s="118"/>
      <c r="TUI10" s="118"/>
      <c r="TUJ10" s="118"/>
      <c r="TUK10" s="118"/>
      <c r="TUL10" s="118"/>
      <c r="TUM10" s="118"/>
      <c r="TUN10" s="118"/>
      <c r="TUO10" s="118"/>
      <c r="TUP10" s="118"/>
      <c r="TUQ10" s="118"/>
      <c r="TUR10" s="118"/>
      <c r="TUS10" s="118"/>
      <c r="TUT10" s="118"/>
      <c r="TUU10" s="118"/>
      <c r="TUV10" s="118"/>
      <c r="TUW10" s="118"/>
      <c r="TUX10" s="118"/>
      <c r="TUY10" s="118"/>
      <c r="TUZ10" s="118"/>
      <c r="TVA10" s="118"/>
      <c r="TVB10" s="118"/>
      <c r="TVC10" s="118"/>
      <c r="TVD10" s="118"/>
      <c r="TVE10" s="118"/>
      <c r="TVF10" s="118"/>
      <c r="TVG10" s="118"/>
      <c r="TVH10" s="118"/>
      <c r="TVI10" s="118"/>
      <c r="TVJ10" s="118"/>
      <c r="TVK10" s="118"/>
      <c r="TVL10" s="118"/>
      <c r="TVM10" s="118"/>
      <c r="TVN10" s="118"/>
      <c r="TVO10" s="118"/>
      <c r="TVP10" s="118"/>
      <c r="TVQ10" s="118"/>
      <c r="TVR10" s="118"/>
      <c r="TVS10" s="118"/>
      <c r="TVT10" s="118"/>
      <c r="TVU10" s="118"/>
      <c r="TVV10" s="118"/>
      <c r="TVW10" s="118"/>
      <c r="TVX10" s="118"/>
      <c r="TVY10" s="118"/>
      <c r="TVZ10" s="118"/>
      <c r="TWA10" s="118"/>
      <c r="TWB10" s="118"/>
      <c r="TWC10" s="118"/>
      <c r="TWD10" s="118"/>
      <c r="TWE10" s="118"/>
      <c r="TWF10" s="118"/>
      <c r="TWG10" s="118"/>
      <c r="TWH10" s="118"/>
      <c r="TWI10" s="118"/>
      <c r="TWJ10" s="118"/>
      <c r="TWK10" s="118"/>
      <c r="TWL10" s="118"/>
      <c r="TWM10" s="118"/>
      <c r="TWN10" s="118"/>
      <c r="TWO10" s="118"/>
      <c r="TWP10" s="118"/>
      <c r="TWQ10" s="118"/>
      <c r="TWR10" s="118"/>
      <c r="TWS10" s="118"/>
      <c r="TWT10" s="118"/>
      <c r="TWU10" s="118"/>
      <c r="TWV10" s="118"/>
      <c r="TWW10" s="118"/>
      <c r="TWX10" s="118"/>
      <c r="TWY10" s="118"/>
      <c r="TWZ10" s="118"/>
      <c r="TXA10" s="118"/>
      <c r="TXB10" s="118"/>
      <c r="TXC10" s="118"/>
      <c r="TXD10" s="118"/>
      <c r="TXE10" s="118"/>
      <c r="TXF10" s="118"/>
      <c r="TXG10" s="118"/>
      <c r="TXH10" s="118"/>
      <c r="TXI10" s="118"/>
      <c r="TXJ10" s="118"/>
      <c r="TXK10" s="118"/>
      <c r="TXL10" s="118"/>
      <c r="TXM10" s="118"/>
      <c r="TXN10" s="118"/>
      <c r="TXO10" s="118"/>
      <c r="TXP10" s="118"/>
      <c r="TXQ10" s="118"/>
      <c r="TXR10" s="118"/>
      <c r="TXS10" s="118"/>
      <c r="TXT10" s="118"/>
      <c r="TXU10" s="118"/>
      <c r="TXV10" s="118"/>
      <c r="TXW10" s="118"/>
      <c r="TXX10" s="118"/>
      <c r="TXY10" s="118"/>
      <c r="TXZ10" s="118"/>
      <c r="TYA10" s="118"/>
      <c r="TYB10" s="118"/>
      <c r="TYC10" s="118"/>
      <c r="TYD10" s="118"/>
      <c r="TYE10" s="118"/>
      <c r="TYF10" s="118"/>
      <c r="TYG10" s="118"/>
      <c r="TYH10" s="118"/>
      <c r="TYI10" s="118"/>
      <c r="TYJ10" s="118"/>
      <c r="TYK10" s="118"/>
      <c r="TYL10" s="118"/>
      <c r="TYM10" s="118"/>
      <c r="TYN10" s="118"/>
      <c r="TYO10" s="118"/>
      <c r="TYP10" s="118"/>
      <c r="TYQ10" s="118"/>
      <c r="TYR10" s="118"/>
      <c r="TYS10" s="118"/>
      <c r="TYT10" s="118"/>
      <c r="TYU10" s="118"/>
      <c r="TYV10" s="118"/>
      <c r="TYW10" s="118"/>
      <c r="TYX10" s="118"/>
      <c r="TYY10" s="118"/>
      <c r="TYZ10" s="118"/>
      <c r="TZA10" s="118"/>
      <c r="TZB10" s="118"/>
      <c r="TZC10" s="118"/>
      <c r="TZD10" s="118"/>
      <c r="TZE10" s="118"/>
      <c r="TZF10" s="118"/>
      <c r="TZG10" s="118"/>
      <c r="TZH10" s="118"/>
      <c r="TZI10" s="118"/>
      <c r="TZJ10" s="118"/>
      <c r="TZK10" s="118"/>
      <c r="TZL10" s="118"/>
      <c r="TZM10" s="118"/>
      <c r="TZN10" s="118"/>
      <c r="TZO10" s="118"/>
      <c r="TZP10" s="118"/>
      <c r="TZQ10" s="118"/>
      <c r="TZR10" s="118"/>
      <c r="TZS10" s="118"/>
      <c r="TZT10" s="118"/>
      <c r="TZU10" s="118"/>
      <c r="TZV10" s="118"/>
      <c r="TZW10" s="118"/>
      <c r="TZX10" s="118"/>
      <c r="TZY10" s="118"/>
      <c r="TZZ10" s="118"/>
      <c r="UAA10" s="118"/>
      <c r="UAB10" s="118"/>
      <c r="UAC10" s="118"/>
      <c r="UAD10" s="118"/>
      <c r="UAE10" s="118"/>
      <c r="UAF10" s="118"/>
      <c r="UAG10" s="118"/>
      <c r="UAH10" s="118"/>
      <c r="UAI10" s="118"/>
      <c r="UAJ10" s="118"/>
      <c r="UAK10" s="118"/>
      <c r="UAL10" s="118"/>
      <c r="UAM10" s="118"/>
      <c r="UAN10" s="118"/>
      <c r="UAO10" s="118"/>
      <c r="UAP10" s="118"/>
      <c r="UAQ10" s="118"/>
      <c r="UAR10" s="118"/>
      <c r="UAS10" s="118"/>
      <c r="UAT10" s="118"/>
      <c r="UAU10" s="118"/>
      <c r="UAV10" s="118"/>
      <c r="UAW10" s="118"/>
      <c r="UAX10" s="118"/>
      <c r="UAY10" s="118"/>
      <c r="UAZ10" s="118"/>
      <c r="UBA10" s="118"/>
      <c r="UBB10" s="118"/>
      <c r="UBC10" s="118"/>
      <c r="UBD10" s="118"/>
      <c r="UBE10" s="118"/>
      <c r="UBF10" s="118"/>
      <c r="UBG10" s="118"/>
      <c r="UBH10" s="118"/>
      <c r="UBI10" s="118"/>
      <c r="UBJ10" s="118"/>
      <c r="UBK10" s="118"/>
      <c r="UBL10" s="118"/>
      <c r="UBM10" s="118"/>
      <c r="UBN10" s="118"/>
      <c r="UBO10" s="118"/>
      <c r="UBP10" s="118"/>
      <c r="UBQ10" s="118"/>
      <c r="UBR10" s="118"/>
      <c r="UBS10" s="118"/>
      <c r="UBT10" s="118"/>
      <c r="UBU10" s="118"/>
      <c r="UBV10" s="118"/>
      <c r="UBW10" s="118"/>
      <c r="UBX10" s="118"/>
      <c r="UBY10" s="118"/>
      <c r="UBZ10" s="118"/>
      <c r="UCA10" s="118"/>
      <c r="UCB10" s="118"/>
      <c r="UCC10" s="118"/>
      <c r="UCD10" s="118"/>
      <c r="UCE10" s="118"/>
      <c r="UCF10" s="118"/>
      <c r="UCG10" s="118"/>
      <c r="UCH10" s="118"/>
      <c r="UCI10" s="118"/>
      <c r="UCJ10" s="118"/>
      <c r="UCK10" s="118"/>
      <c r="UCL10" s="118"/>
      <c r="UCM10" s="118"/>
      <c r="UCN10" s="118"/>
      <c r="UCO10" s="118"/>
      <c r="UCP10" s="118"/>
      <c r="UCQ10" s="118"/>
      <c r="UCR10" s="118"/>
      <c r="UCS10" s="118"/>
      <c r="UCT10" s="118"/>
      <c r="UCU10" s="118"/>
      <c r="UCV10" s="118"/>
      <c r="UCW10" s="118"/>
      <c r="UCX10" s="118"/>
      <c r="UCY10" s="118"/>
      <c r="UCZ10" s="118"/>
      <c r="UDA10" s="118"/>
      <c r="UDB10" s="118"/>
      <c r="UDC10" s="118"/>
      <c r="UDD10" s="118"/>
      <c r="UDE10" s="118"/>
      <c r="UDF10" s="118"/>
      <c r="UDG10" s="118"/>
      <c r="UDH10" s="118"/>
      <c r="UDI10" s="118"/>
      <c r="UDJ10" s="118"/>
      <c r="UDK10" s="118"/>
      <c r="UDL10" s="118"/>
      <c r="UDM10" s="118"/>
      <c r="UDN10" s="118"/>
      <c r="UDO10" s="118"/>
      <c r="UDP10" s="118"/>
      <c r="UDQ10" s="118"/>
      <c r="UDR10" s="118"/>
      <c r="UDS10" s="118"/>
      <c r="UDT10" s="118"/>
      <c r="UDU10" s="118"/>
      <c r="UDV10" s="118"/>
      <c r="UDW10" s="118"/>
      <c r="UDX10" s="118"/>
      <c r="UDY10" s="118"/>
      <c r="UDZ10" s="118"/>
      <c r="UEA10" s="118"/>
      <c r="UEB10" s="118"/>
      <c r="UEC10" s="118"/>
      <c r="UED10" s="118"/>
      <c r="UEE10" s="118"/>
      <c r="UEF10" s="118"/>
      <c r="UEG10" s="118"/>
      <c r="UEH10" s="118"/>
      <c r="UEI10" s="118"/>
      <c r="UEJ10" s="118"/>
      <c r="UEK10" s="118"/>
      <c r="UEL10" s="118"/>
      <c r="UEM10" s="118"/>
      <c r="UEN10" s="118"/>
      <c r="UEO10" s="118"/>
      <c r="UEP10" s="118"/>
      <c r="UEQ10" s="118"/>
      <c r="UER10" s="118"/>
      <c r="UES10" s="118"/>
      <c r="UET10" s="118"/>
      <c r="UEU10" s="118"/>
      <c r="UEV10" s="118"/>
      <c r="UEW10" s="118"/>
      <c r="UEX10" s="118"/>
      <c r="UEY10" s="118"/>
      <c r="UEZ10" s="118"/>
      <c r="UFA10" s="118"/>
      <c r="UFB10" s="118"/>
      <c r="UFC10" s="118"/>
      <c r="UFD10" s="118"/>
      <c r="UFE10" s="118"/>
      <c r="UFF10" s="118"/>
      <c r="UFG10" s="118"/>
      <c r="UFH10" s="118"/>
      <c r="UFI10" s="118"/>
      <c r="UFJ10" s="118"/>
      <c r="UFK10" s="118"/>
      <c r="UFL10" s="118"/>
      <c r="UFM10" s="118"/>
      <c r="UFN10" s="118"/>
      <c r="UFO10" s="118"/>
      <c r="UFP10" s="118"/>
      <c r="UFQ10" s="118"/>
      <c r="UFR10" s="118"/>
      <c r="UFS10" s="118"/>
      <c r="UFT10" s="118"/>
      <c r="UFU10" s="118"/>
      <c r="UFV10" s="118"/>
      <c r="UFW10" s="118"/>
      <c r="UFX10" s="118"/>
      <c r="UFY10" s="118"/>
      <c r="UFZ10" s="118"/>
      <c r="UGA10" s="118"/>
      <c r="UGB10" s="118"/>
      <c r="UGC10" s="118"/>
      <c r="UGD10" s="118"/>
      <c r="UGE10" s="118"/>
      <c r="UGF10" s="118"/>
      <c r="UGG10" s="118"/>
      <c r="UGH10" s="118"/>
      <c r="UGI10" s="118"/>
      <c r="UGJ10" s="118"/>
      <c r="UGK10" s="118"/>
      <c r="UGL10" s="118"/>
      <c r="UGM10" s="118"/>
      <c r="UGN10" s="118"/>
      <c r="UGO10" s="118"/>
      <c r="UGP10" s="118"/>
      <c r="UGQ10" s="118"/>
      <c r="UGR10" s="118"/>
      <c r="UGS10" s="118"/>
      <c r="UGT10" s="118"/>
      <c r="UGU10" s="118"/>
      <c r="UGV10" s="118"/>
      <c r="UGW10" s="118"/>
      <c r="UGX10" s="118"/>
      <c r="UGY10" s="118"/>
      <c r="UGZ10" s="118"/>
      <c r="UHA10" s="118"/>
      <c r="UHB10" s="118"/>
      <c r="UHC10" s="118"/>
      <c r="UHD10" s="118"/>
      <c r="UHE10" s="118"/>
      <c r="UHF10" s="118"/>
      <c r="UHG10" s="118"/>
      <c r="UHH10" s="118"/>
      <c r="UHI10" s="118"/>
      <c r="UHJ10" s="118"/>
      <c r="UHK10" s="118"/>
      <c r="UHL10" s="118"/>
      <c r="UHM10" s="118"/>
      <c r="UHN10" s="118"/>
      <c r="UHO10" s="118"/>
      <c r="UHP10" s="118"/>
      <c r="UHQ10" s="118"/>
      <c r="UHR10" s="118"/>
      <c r="UHS10" s="118"/>
      <c r="UHT10" s="118"/>
      <c r="UHU10" s="118"/>
      <c r="UHV10" s="118"/>
      <c r="UHW10" s="118"/>
      <c r="UHX10" s="118"/>
      <c r="UHY10" s="118"/>
      <c r="UHZ10" s="118"/>
      <c r="UIA10" s="118"/>
      <c r="UIB10" s="118"/>
      <c r="UIC10" s="118"/>
      <c r="UID10" s="118"/>
      <c r="UIE10" s="118"/>
      <c r="UIF10" s="118"/>
      <c r="UIG10" s="118"/>
      <c r="UIH10" s="118"/>
      <c r="UII10" s="118"/>
      <c r="UIJ10" s="118"/>
      <c r="UIK10" s="118"/>
      <c r="UIL10" s="118"/>
      <c r="UIM10" s="118"/>
      <c r="UIN10" s="118"/>
      <c r="UIO10" s="118"/>
      <c r="UIP10" s="118"/>
      <c r="UIQ10" s="118"/>
      <c r="UIR10" s="118"/>
      <c r="UIS10" s="118"/>
      <c r="UIT10" s="118"/>
      <c r="UIU10" s="118"/>
      <c r="UIV10" s="118"/>
      <c r="UIW10" s="118"/>
      <c r="UIX10" s="118"/>
      <c r="UIY10" s="118"/>
      <c r="UIZ10" s="118"/>
      <c r="UJA10" s="118"/>
      <c r="UJB10" s="118"/>
      <c r="UJC10" s="118"/>
      <c r="UJD10" s="118"/>
      <c r="UJE10" s="118"/>
      <c r="UJF10" s="118"/>
      <c r="UJG10" s="118"/>
      <c r="UJH10" s="118"/>
      <c r="UJI10" s="118"/>
      <c r="UJJ10" s="118"/>
      <c r="UJK10" s="118"/>
      <c r="UJL10" s="118"/>
      <c r="UJM10" s="118"/>
      <c r="UJN10" s="118"/>
      <c r="UJO10" s="118"/>
      <c r="UJP10" s="118"/>
      <c r="UJQ10" s="118"/>
      <c r="UJR10" s="118"/>
      <c r="UJS10" s="118"/>
      <c r="UJT10" s="118"/>
      <c r="UJU10" s="118"/>
      <c r="UJV10" s="118"/>
      <c r="UJW10" s="118"/>
      <c r="UJX10" s="118"/>
      <c r="UJY10" s="118"/>
      <c r="UJZ10" s="118"/>
      <c r="UKA10" s="118"/>
      <c r="UKB10" s="118"/>
      <c r="UKC10" s="118"/>
      <c r="UKD10" s="118"/>
      <c r="UKE10" s="118"/>
      <c r="UKF10" s="118"/>
      <c r="UKG10" s="118"/>
      <c r="UKH10" s="118"/>
      <c r="UKI10" s="118"/>
      <c r="UKJ10" s="118"/>
      <c r="UKK10" s="118"/>
      <c r="UKL10" s="118"/>
      <c r="UKM10" s="118"/>
      <c r="UKN10" s="118"/>
      <c r="UKO10" s="118"/>
      <c r="UKP10" s="118"/>
      <c r="UKQ10" s="118"/>
      <c r="UKR10" s="118"/>
      <c r="UKS10" s="118"/>
      <c r="UKT10" s="118"/>
      <c r="UKU10" s="118"/>
      <c r="UKV10" s="118"/>
      <c r="UKW10" s="118"/>
      <c r="UKX10" s="118"/>
      <c r="UKY10" s="118"/>
      <c r="UKZ10" s="118"/>
      <c r="ULA10" s="118"/>
      <c r="ULB10" s="118"/>
      <c r="ULC10" s="118"/>
      <c r="ULD10" s="118"/>
      <c r="ULE10" s="118"/>
      <c r="ULF10" s="118"/>
      <c r="ULG10" s="118"/>
      <c r="ULH10" s="118"/>
      <c r="ULI10" s="118"/>
      <c r="ULJ10" s="118"/>
      <c r="ULK10" s="118"/>
      <c r="ULL10" s="118"/>
      <c r="ULM10" s="118"/>
      <c r="ULN10" s="118"/>
      <c r="ULO10" s="118"/>
      <c r="ULP10" s="118"/>
      <c r="ULQ10" s="118"/>
      <c r="ULR10" s="118"/>
      <c r="ULS10" s="118"/>
      <c r="ULT10" s="118"/>
      <c r="ULU10" s="118"/>
      <c r="ULV10" s="118"/>
      <c r="ULW10" s="118"/>
      <c r="ULX10" s="118"/>
      <c r="ULY10" s="118"/>
      <c r="ULZ10" s="118"/>
      <c r="UMA10" s="118"/>
      <c r="UMB10" s="118"/>
      <c r="UMC10" s="118"/>
      <c r="UMD10" s="118"/>
      <c r="UME10" s="118"/>
      <c r="UMF10" s="118"/>
      <c r="UMG10" s="118"/>
      <c r="UMH10" s="118"/>
      <c r="UMI10" s="118"/>
      <c r="UMJ10" s="118"/>
      <c r="UMK10" s="118"/>
      <c r="UML10" s="118"/>
      <c r="UMM10" s="118"/>
      <c r="UMN10" s="118"/>
      <c r="UMO10" s="118"/>
      <c r="UMP10" s="118"/>
      <c r="UMQ10" s="118"/>
      <c r="UMR10" s="118"/>
      <c r="UMS10" s="118"/>
      <c r="UMT10" s="118"/>
      <c r="UMU10" s="118"/>
      <c r="UMV10" s="118"/>
      <c r="UMW10" s="118"/>
      <c r="UMX10" s="118"/>
      <c r="UMY10" s="118"/>
      <c r="UMZ10" s="118"/>
      <c r="UNA10" s="118"/>
      <c r="UNB10" s="118"/>
      <c r="UNC10" s="118"/>
      <c r="UND10" s="118"/>
      <c r="UNE10" s="118"/>
      <c r="UNF10" s="118"/>
      <c r="UNG10" s="118"/>
      <c r="UNH10" s="118"/>
      <c r="UNI10" s="118"/>
      <c r="UNJ10" s="118"/>
      <c r="UNK10" s="118"/>
      <c r="UNL10" s="118"/>
      <c r="UNM10" s="118"/>
      <c r="UNN10" s="118"/>
      <c r="UNO10" s="118"/>
      <c r="UNP10" s="118"/>
      <c r="UNQ10" s="118"/>
      <c r="UNR10" s="118"/>
      <c r="UNS10" s="118"/>
      <c r="UNT10" s="118"/>
      <c r="UNU10" s="118"/>
      <c r="UNV10" s="118"/>
      <c r="UNW10" s="118"/>
      <c r="UNX10" s="118"/>
      <c r="UNY10" s="118"/>
      <c r="UNZ10" s="118"/>
      <c r="UOA10" s="118"/>
      <c r="UOB10" s="118"/>
      <c r="UOC10" s="118"/>
      <c r="UOD10" s="118"/>
      <c r="UOE10" s="118"/>
      <c r="UOF10" s="118"/>
      <c r="UOG10" s="118"/>
      <c r="UOH10" s="118"/>
      <c r="UOI10" s="118"/>
      <c r="UOJ10" s="118"/>
      <c r="UOK10" s="118"/>
      <c r="UOL10" s="118"/>
      <c r="UOM10" s="118"/>
      <c r="UON10" s="118"/>
      <c r="UOO10" s="118"/>
      <c r="UOP10" s="118"/>
      <c r="UOQ10" s="118"/>
      <c r="UOR10" s="118"/>
      <c r="UOS10" s="118"/>
      <c r="UOT10" s="118"/>
      <c r="UOU10" s="118"/>
      <c r="UOV10" s="118"/>
      <c r="UOW10" s="118"/>
      <c r="UOX10" s="118"/>
      <c r="UOY10" s="118"/>
      <c r="UOZ10" s="118"/>
      <c r="UPA10" s="118"/>
      <c r="UPB10" s="118"/>
      <c r="UPC10" s="118"/>
      <c r="UPD10" s="118"/>
      <c r="UPE10" s="118"/>
      <c r="UPF10" s="118"/>
      <c r="UPG10" s="118"/>
      <c r="UPH10" s="118"/>
      <c r="UPI10" s="118"/>
      <c r="UPJ10" s="118"/>
      <c r="UPK10" s="118"/>
      <c r="UPL10" s="118"/>
      <c r="UPM10" s="118"/>
      <c r="UPN10" s="118"/>
      <c r="UPO10" s="118"/>
      <c r="UPP10" s="118"/>
      <c r="UPQ10" s="118"/>
      <c r="UPR10" s="118"/>
      <c r="UPS10" s="118"/>
      <c r="UPT10" s="118"/>
    </row>
    <row r="11" spans="1:14632" s="66" customFormat="1" ht="15" customHeight="1" x14ac:dyDescent="0.3">
      <c r="A11" s="65"/>
      <c r="B11" s="106"/>
      <c r="C11" s="106"/>
      <c r="D11" s="254"/>
      <c r="E11" s="254"/>
      <c r="F11" s="254"/>
      <c r="G11" s="254"/>
      <c r="H11" s="254"/>
      <c r="I11" s="254"/>
      <c r="J11" s="254"/>
      <c r="K11" s="254"/>
      <c r="L11" s="254"/>
      <c r="M11" s="254"/>
      <c r="N11" s="254"/>
      <c r="O11" s="254"/>
      <c r="P11" s="254"/>
      <c r="Q11" s="254"/>
      <c r="R11" s="254"/>
      <c r="S11" s="254"/>
      <c r="T11" s="254"/>
      <c r="U11" s="254"/>
      <c r="V11" s="254"/>
      <c r="W11" s="254"/>
      <c r="X11" s="254"/>
      <c r="Y11" s="254"/>
      <c r="Z11" s="254"/>
      <c r="AA11" s="254"/>
      <c r="AB11" s="254"/>
      <c r="AC11" s="254"/>
      <c r="AD11" s="254"/>
      <c r="AE11" s="119"/>
      <c r="AF11" s="119"/>
      <c r="AG11" s="119"/>
      <c r="AH11" s="181"/>
      <c r="AI11" s="181"/>
      <c r="AJ11" s="119"/>
      <c r="AK11" s="119"/>
      <c r="AL11" s="119"/>
      <c r="AM11" s="254"/>
      <c r="AN11" s="254"/>
      <c r="AO11" s="254"/>
      <c r="AP11" s="254"/>
      <c r="AQ11" s="254"/>
      <c r="AR11" s="254"/>
      <c r="AS11" s="254"/>
      <c r="AT11" s="254"/>
      <c r="AU11" s="254"/>
      <c r="AV11" s="254"/>
      <c r="AW11" s="254"/>
      <c r="AX11" s="254"/>
      <c r="AY11" s="254"/>
      <c r="AZ11" s="254"/>
      <c r="BA11" s="254"/>
      <c r="BB11" s="254"/>
      <c r="BC11" s="254"/>
      <c r="BD11" s="254"/>
      <c r="BE11" s="254"/>
      <c r="BF11" s="254"/>
      <c r="BG11" s="254"/>
      <c r="BH11" s="254"/>
      <c r="BI11" s="254"/>
      <c r="BJ11" s="254"/>
      <c r="BK11" s="254"/>
      <c r="BL11" s="254"/>
      <c r="BM11" s="254"/>
      <c r="BN11" s="106"/>
      <c r="BO11" s="106"/>
      <c r="BP11" s="118"/>
      <c r="BQ11" s="118"/>
      <c r="BR11" s="118"/>
      <c r="BS11" s="118"/>
      <c r="BT11" s="118"/>
      <c r="BU11" s="118"/>
      <c r="BV11" s="118"/>
      <c r="BW11" s="118"/>
      <c r="BX11" s="118"/>
      <c r="BY11" s="118"/>
      <c r="BZ11" s="118"/>
      <c r="CA11" s="118"/>
      <c r="CB11" s="118"/>
      <c r="CC11" s="118"/>
      <c r="CD11" s="118"/>
      <c r="CE11" s="118"/>
      <c r="CF11" s="118"/>
      <c r="CG11" s="118"/>
      <c r="CH11" s="118"/>
      <c r="CI11" s="118"/>
      <c r="CJ11" s="118"/>
      <c r="CK11" s="118"/>
      <c r="CL11" s="118"/>
      <c r="CM11" s="118"/>
      <c r="CN11" s="118"/>
      <c r="CO11" s="118"/>
      <c r="CP11" s="118"/>
      <c r="CQ11" s="118"/>
      <c r="CR11" s="118"/>
      <c r="CS11" s="118"/>
      <c r="CT11" s="118"/>
      <c r="CU11" s="118"/>
      <c r="CV11" s="118"/>
      <c r="CW11" s="118"/>
      <c r="CX11" s="118"/>
      <c r="CY11" s="118"/>
      <c r="CZ11" s="118"/>
      <c r="DA11" s="118"/>
      <c r="DB11" s="118"/>
      <c r="DC11" s="118"/>
      <c r="DD11" s="118"/>
      <c r="DE11" s="118"/>
      <c r="DF11" s="118"/>
      <c r="DG11" s="118"/>
      <c r="DH11" s="118"/>
      <c r="DI11" s="118"/>
      <c r="DJ11" s="118"/>
      <c r="DK11" s="118"/>
      <c r="DL11" s="118"/>
      <c r="DM11" s="118"/>
      <c r="DN11" s="118"/>
      <c r="DO11" s="118"/>
      <c r="DP11" s="118"/>
      <c r="DQ11" s="118"/>
      <c r="DR11" s="118"/>
      <c r="DS11" s="118"/>
      <c r="DT11" s="118"/>
      <c r="DU11" s="118"/>
      <c r="DV11" s="118"/>
      <c r="DW11" s="118"/>
      <c r="DX11" s="118"/>
      <c r="DY11" s="118"/>
      <c r="DZ11" s="118"/>
      <c r="EA11" s="118"/>
      <c r="EB11" s="118"/>
      <c r="EC11" s="118"/>
      <c r="ED11" s="118"/>
      <c r="EE11" s="118"/>
      <c r="EF11" s="118"/>
      <c r="EG11" s="118"/>
      <c r="EH11" s="118"/>
      <c r="EI11" s="118"/>
      <c r="EJ11" s="118"/>
      <c r="EK11" s="118"/>
      <c r="EL11" s="118"/>
      <c r="EM11" s="118"/>
      <c r="EN11" s="118"/>
      <c r="EO11" s="118"/>
      <c r="EP11" s="118"/>
      <c r="EQ11" s="118"/>
      <c r="ER11" s="118"/>
      <c r="ES11" s="118"/>
      <c r="ET11" s="118"/>
      <c r="EU11" s="118"/>
      <c r="EV11" s="118"/>
      <c r="EW11" s="118"/>
      <c r="EX11" s="118"/>
      <c r="EY11" s="118"/>
      <c r="EZ11" s="118"/>
      <c r="FA11" s="118"/>
      <c r="FB11" s="118"/>
      <c r="FC11" s="118"/>
      <c r="FD11" s="118"/>
      <c r="FE11" s="118"/>
      <c r="FF11" s="118"/>
      <c r="FG11" s="118"/>
      <c r="FH11" s="118"/>
      <c r="FI11" s="118"/>
      <c r="FJ11" s="118"/>
      <c r="FK11" s="118"/>
      <c r="FL11" s="118"/>
      <c r="FM11" s="118"/>
      <c r="FN11" s="118"/>
      <c r="FO11" s="118"/>
      <c r="FP11" s="118"/>
      <c r="FQ11" s="118"/>
      <c r="FR11" s="118"/>
      <c r="FS11" s="118"/>
      <c r="FT11" s="118"/>
      <c r="FU11" s="118"/>
      <c r="FV11" s="118"/>
      <c r="FW11" s="118"/>
      <c r="FX11" s="118"/>
      <c r="FY11" s="118"/>
      <c r="FZ11" s="118"/>
      <c r="GA11" s="118"/>
      <c r="GB11" s="118"/>
      <c r="GC11" s="118"/>
      <c r="GD11" s="118"/>
      <c r="GE11" s="118"/>
      <c r="GF11" s="118"/>
      <c r="GG11" s="118"/>
      <c r="GH11" s="118"/>
      <c r="GI11" s="118"/>
      <c r="GJ11" s="118"/>
      <c r="GK11" s="118"/>
      <c r="GL11" s="118"/>
      <c r="GM11" s="118"/>
      <c r="GN11" s="118"/>
      <c r="GO11" s="118"/>
      <c r="GP11" s="118"/>
      <c r="GQ11" s="118"/>
      <c r="GR11" s="118"/>
      <c r="GS11" s="118"/>
      <c r="GT11" s="118"/>
      <c r="GU11" s="118"/>
      <c r="GV11" s="118"/>
      <c r="GW11" s="118"/>
      <c r="GX11" s="118"/>
      <c r="GY11" s="118"/>
      <c r="GZ11" s="118"/>
      <c r="HA11" s="118"/>
      <c r="HB11" s="118"/>
      <c r="HC11" s="118"/>
      <c r="HD11" s="118"/>
      <c r="HE11" s="118"/>
      <c r="HF11" s="118"/>
      <c r="HG11" s="118"/>
      <c r="HH11" s="118"/>
      <c r="HI11" s="118"/>
      <c r="HJ11" s="118"/>
      <c r="HK11" s="118"/>
      <c r="HL11" s="118"/>
      <c r="HM11" s="118"/>
      <c r="HN11" s="118"/>
      <c r="HO11" s="118"/>
      <c r="HP11" s="118"/>
      <c r="HQ11" s="118"/>
      <c r="HR11" s="118"/>
      <c r="HS11" s="118"/>
      <c r="HT11" s="118"/>
      <c r="HU11" s="118"/>
      <c r="HV11" s="118"/>
      <c r="HW11" s="118"/>
      <c r="HX11" s="118"/>
      <c r="HY11" s="118"/>
      <c r="HZ11" s="118"/>
      <c r="IA11" s="118"/>
      <c r="IB11" s="118"/>
      <c r="IC11" s="118"/>
      <c r="ID11" s="118"/>
      <c r="IE11" s="118"/>
      <c r="IF11" s="118"/>
      <c r="IG11" s="118"/>
      <c r="IH11" s="118"/>
      <c r="II11" s="118"/>
      <c r="IJ11" s="118"/>
      <c r="IK11" s="118"/>
      <c r="IL11" s="118"/>
      <c r="IM11" s="118"/>
      <c r="IN11" s="118"/>
      <c r="IO11" s="118"/>
      <c r="IP11" s="118"/>
      <c r="IQ11" s="118"/>
      <c r="IR11" s="118"/>
      <c r="IS11" s="118"/>
      <c r="IT11" s="118"/>
      <c r="IU11" s="118"/>
      <c r="IV11" s="118"/>
      <c r="IW11" s="118"/>
      <c r="IX11" s="118"/>
      <c r="IY11" s="118"/>
      <c r="IZ11" s="118"/>
      <c r="JA11" s="118"/>
      <c r="JB11" s="118"/>
      <c r="JC11" s="118"/>
      <c r="JD11" s="118"/>
      <c r="JE11" s="118"/>
      <c r="JF11" s="118"/>
      <c r="JG11" s="118"/>
      <c r="JH11" s="118"/>
      <c r="JI11" s="118"/>
      <c r="JJ11" s="118"/>
      <c r="JK11" s="118"/>
      <c r="JL11" s="118"/>
      <c r="JM11" s="118"/>
      <c r="JN11" s="118"/>
      <c r="JO11" s="118"/>
      <c r="JP11" s="118"/>
      <c r="JQ11" s="118"/>
      <c r="JR11" s="118"/>
      <c r="JS11" s="118"/>
      <c r="JT11" s="118"/>
      <c r="JU11" s="118"/>
      <c r="JV11" s="118"/>
      <c r="JW11" s="118"/>
      <c r="JX11" s="118"/>
      <c r="JY11" s="118"/>
      <c r="JZ11" s="118"/>
      <c r="KA11" s="118"/>
      <c r="KB11" s="118"/>
      <c r="KC11" s="118"/>
      <c r="KD11" s="118"/>
      <c r="KE11" s="118"/>
      <c r="KF11" s="118"/>
      <c r="KG11" s="118"/>
      <c r="KH11" s="118"/>
      <c r="KI11" s="118"/>
      <c r="KJ11" s="118"/>
      <c r="KK11" s="118"/>
      <c r="KL11" s="118"/>
      <c r="KM11" s="118"/>
      <c r="KN11" s="118"/>
      <c r="KO11" s="118"/>
      <c r="KP11" s="118"/>
      <c r="KQ11" s="118"/>
      <c r="KR11" s="118"/>
      <c r="KS11" s="118"/>
      <c r="KT11" s="118"/>
      <c r="KU11" s="118"/>
      <c r="KV11" s="118"/>
      <c r="KW11" s="118"/>
      <c r="KX11" s="118"/>
      <c r="KY11" s="118"/>
      <c r="KZ11" s="118"/>
      <c r="LA11" s="118"/>
      <c r="LB11" s="118"/>
      <c r="LC11" s="118"/>
      <c r="LD11" s="118"/>
      <c r="LE11" s="118"/>
      <c r="LF11" s="118"/>
      <c r="LG11" s="118"/>
      <c r="LH11" s="118"/>
      <c r="LI11" s="118"/>
      <c r="LJ11" s="118"/>
      <c r="LK11" s="118"/>
      <c r="LL11" s="118"/>
      <c r="LM11" s="118"/>
      <c r="LN11" s="118"/>
      <c r="LO11" s="118"/>
      <c r="LP11" s="118"/>
      <c r="LQ11" s="118"/>
      <c r="LR11" s="118"/>
      <c r="LS11" s="118"/>
      <c r="LT11" s="118"/>
      <c r="LU11" s="118"/>
      <c r="LV11" s="118"/>
      <c r="LW11" s="118"/>
      <c r="LX11" s="118"/>
      <c r="LY11" s="118"/>
      <c r="LZ11" s="118"/>
      <c r="MA11" s="118"/>
      <c r="MB11" s="118"/>
      <c r="MC11" s="118"/>
      <c r="MD11" s="118"/>
      <c r="ME11" s="118"/>
      <c r="MF11" s="118"/>
      <c r="MG11" s="118"/>
      <c r="MH11" s="118"/>
      <c r="MI11" s="118"/>
      <c r="MJ11" s="118"/>
      <c r="MK11" s="118"/>
      <c r="ML11" s="118"/>
      <c r="MM11" s="118"/>
      <c r="MN11" s="118"/>
      <c r="MO11" s="118"/>
      <c r="MP11" s="118"/>
      <c r="MQ11" s="118"/>
      <c r="MR11" s="118"/>
      <c r="MS11" s="118"/>
      <c r="MT11" s="118"/>
      <c r="MU11" s="118"/>
      <c r="MV11" s="118"/>
      <c r="MW11" s="118"/>
      <c r="MX11" s="118"/>
      <c r="MY11" s="118"/>
      <c r="MZ11" s="118"/>
      <c r="NA11" s="118"/>
      <c r="NB11" s="118"/>
      <c r="NC11" s="118"/>
      <c r="ND11" s="118"/>
      <c r="NE11" s="118"/>
      <c r="NF11" s="118"/>
      <c r="NG11" s="118"/>
      <c r="NH11" s="118"/>
      <c r="NI11" s="118"/>
      <c r="NJ11" s="118"/>
      <c r="NK11" s="118"/>
      <c r="NL11" s="118"/>
      <c r="NM11" s="118"/>
      <c r="NN11" s="118"/>
      <c r="NO11" s="118"/>
      <c r="NP11" s="118"/>
      <c r="NQ11" s="118"/>
      <c r="NR11" s="118"/>
      <c r="NS11" s="118"/>
      <c r="NT11" s="118"/>
      <c r="NU11" s="118"/>
      <c r="NV11" s="118"/>
      <c r="NW11" s="118"/>
      <c r="NX11" s="118"/>
      <c r="NY11" s="118"/>
      <c r="NZ11" s="118"/>
      <c r="OA11" s="118"/>
      <c r="OB11" s="118"/>
      <c r="OC11" s="118"/>
      <c r="OD11" s="118"/>
      <c r="OE11" s="118"/>
      <c r="OF11" s="118"/>
      <c r="OG11" s="118"/>
      <c r="OH11" s="118"/>
      <c r="OI11" s="118"/>
      <c r="OJ11" s="118"/>
      <c r="OK11" s="118"/>
      <c r="OL11" s="118"/>
      <c r="OM11" s="118"/>
      <c r="ON11" s="118"/>
      <c r="OO11" s="118"/>
      <c r="OP11" s="118"/>
      <c r="OQ11" s="118"/>
      <c r="OR11" s="118"/>
      <c r="OS11" s="118"/>
      <c r="OT11" s="118"/>
      <c r="OU11" s="118"/>
      <c r="OV11" s="118"/>
      <c r="OW11" s="118"/>
      <c r="OX11" s="118"/>
      <c r="OY11" s="118"/>
      <c r="OZ11" s="118"/>
      <c r="PA11" s="118"/>
      <c r="PB11" s="118"/>
      <c r="PC11" s="118"/>
      <c r="PD11" s="118"/>
      <c r="PE11" s="118"/>
      <c r="PF11" s="118"/>
      <c r="PG11" s="118"/>
      <c r="PH11" s="118"/>
      <c r="PI11" s="118"/>
      <c r="PJ11" s="118"/>
      <c r="PK11" s="118"/>
      <c r="PL11" s="118"/>
      <c r="PM11" s="118"/>
      <c r="PN11" s="118"/>
      <c r="PO11" s="118"/>
      <c r="PP11" s="118"/>
      <c r="PQ11" s="118"/>
      <c r="PR11" s="118"/>
      <c r="PS11" s="118"/>
      <c r="PT11" s="118"/>
      <c r="PU11" s="118"/>
      <c r="PV11" s="118"/>
      <c r="PW11" s="118"/>
      <c r="PX11" s="118"/>
      <c r="PY11" s="118"/>
      <c r="PZ11" s="118"/>
      <c r="QA11" s="118"/>
      <c r="QB11" s="118"/>
      <c r="QC11" s="118"/>
      <c r="QD11" s="118"/>
      <c r="QE11" s="118"/>
      <c r="QF11" s="118"/>
      <c r="QG11" s="118"/>
      <c r="QH11" s="118"/>
      <c r="QI11" s="118"/>
      <c r="QJ11" s="118"/>
      <c r="QK11" s="118"/>
      <c r="QL11" s="118"/>
      <c r="QM11" s="118"/>
      <c r="QN11" s="118"/>
      <c r="QO11" s="118"/>
      <c r="QP11" s="118"/>
      <c r="QQ11" s="118"/>
      <c r="QR11" s="118"/>
      <c r="QS11" s="118"/>
      <c r="QT11" s="118"/>
      <c r="QU11" s="118"/>
      <c r="QV11" s="118"/>
      <c r="QW11" s="118"/>
      <c r="QX11" s="118"/>
      <c r="QY11" s="118"/>
      <c r="QZ11" s="118"/>
      <c r="RA11" s="118"/>
      <c r="RB11" s="118"/>
      <c r="RC11" s="118"/>
      <c r="RD11" s="118"/>
      <c r="RE11" s="118"/>
      <c r="RF11" s="118"/>
      <c r="RG11" s="118"/>
      <c r="RH11" s="118"/>
      <c r="RI11" s="118"/>
      <c r="RJ11" s="118"/>
      <c r="RK11" s="118"/>
      <c r="RL11" s="118"/>
      <c r="RM11" s="118"/>
      <c r="RN11" s="118"/>
      <c r="RO11" s="118"/>
      <c r="RP11" s="118"/>
      <c r="RQ11" s="118"/>
      <c r="RR11" s="118"/>
      <c r="RS11" s="118"/>
      <c r="RT11" s="118"/>
      <c r="RU11" s="118"/>
      <c r="RV11" s="118"/>
      <c r="RW11" s="118"/>
      <c r="RX11" s="118"/>
      <c r="RY11" s="118"/>
      <c r="RZ11" s="118"/>
      <c r="SA11" s="118"/>
      <c r="SB11" s="118"/>
      <c r="SC11" s="118"/>
      <c r="SD11" s="118"/>
      <c r="SE11" s="118"/>
      <c r="SF11" s="118"/>
      <c r="SG11" s="118"/>
      <c r="SH11" s="118"/>
      <c r="SI11" s="118"/>
      <c r="SJ11" s="118"/>
      <c r="SK11" s="118"/>
      <c r="SL11" s="118"/>
      <c r="SM11" s="118"/>
      <c r="SN11" s="118"/>
      <c r="SO11" s="118"/>
      <c r="SP11" s="118"/>
      <c r="SQ11" s="118"/>
      <c r="SR11" s="118"/>
      <c r="SS11" s="118"/>
      <c r="ST11" s="118"/>
      <c r="SU11" s="118"/>
      <c r="SV11" s="118"/>
      <c r="SW11" s="118"/>
      <c r="SX11" s="118"/>
      <c r="SY11" s="118"/>
      <c r="SZ11" s="118"/>
      <c r="TA11" s="118"/>
      <c r="TB11" s="118"/>
      <c r="TC11" s="118"/>
      <c r="TD11" s="118"/>
      <c r="TE11" s="118"/>
      <c r="TF11" s="118"/>
      <c r="TG11" s="118"/>
      <c r="TH11" s="118"/>
      <c r="TI11" s="118"/>
      <c r="TJ11" s="118"/>
      <c r="TK11" s="118"/>
      <c r="TL11" s="118"/>
      <c r="TM11" s="118"/>
      <c r="TN11" s="118"/>
      <c r="TO11" s="118"/>
      <c r="TP11" s="118"/>
      <c r="TQ11" s="118"/>
      <c r="TR11" s="118"/>
      <c r="TS11" s="118"/>
      <c r="TT11" s="118"/>
      <c r="TU11" s="118"/>
      <c r="TV11" s="118"/>
      <c r="TW11" s="118"/>
      <c r="TX11" s="118"/>
      <c r="TY11" s="118"/>
      <c r="TZ11" s="118"/>
      <c r="UA11" s="118"/>
      <c r="UB11" s="118"/>
      <c r="UC11" s="118"/>
      <c r="UD11" s="118"/>
      <c r="UE11" s="118"/>
      <c r="UF11" s="118"/>
      <c r="UG11" s="118"/>
      <c r="UH11" s="118"/>
      <c r="UI11" s="118"/>
      <c r="UJ11" s="118"/>
      <c r="UK11" s="118"/>
      <c r="UL11" s="118"/>
      <c r="UM11" s="118"/>
      <c r="UN11" s="118"/>
      <c r="UO11" s="118"/>
      <c r="UP11" s="118"/>
      <c r="UQ11" s="118"/>
      <c r="UR11" s="118"/>
      <c r="US11" s="118"/>
      <c r="UT11" s="118"/>
      <c r="UU11" s="118"/>
      <c r="UV11" s="118"/>
      <c r="UW11" s="118"/>
      <c r="UX11" s="118"/>
      <c r="UY11" s="118"/>
      <c r="UZ11" s="118"/>
      <c r="VA11" s="118"/>
      <c r="VB11" s="118"/>
      <c r="VC11" s="118"/>
      <c r="VD11" s="118"/>
      <c r="VE11" s="118"/>
      <c r="VF11" s="118"/>
      <c r="VG11" s="118"/>
      <c r="VH11" s="118"/>
      <c r="VI11" s="118"/>
      <c r="VJ11" s="118"/>
      <c r="VK11" s="118"/>
      <c r="VL11" s="118"/>
      <c r="VM11" s="118"/>
      <c r="VN11" s="118"/>
      <c r="VO11" s="118"/>
      <c r="VP11" s="118"/>
      <c r="VQ11" s="118"/>
      <c r="VR11" s="118"/>
      <c r="VS11" s="118"/>
      <c r="VT11" s="118"/>
      <c r="VU11" s="118"/>
      <c r="VV11" s="118"/>
      <c r="VW11" s="118"/>
      <c r="VX11" s="118"/>
      <c r="VY11" s="118"/>
      <c r="VZ11" s="118"/>
      <c r="WA11" s="118"/>
      <c r="WB11" s="118"/>
      <c r="WC11" s="118"/>
      <c r="WD11" s="118"/>
      <c r="WE11" s="118"/>
      <c r="WF11" s="118"/>
      <c r="WG11" s="118"/>
      <c r="WH11" s="118"/>
      <c r="WI11" s="118"/>
      <c r="WJ11" s="118"/>
      <c r="WK11" s="118"/>
      <c r="WL11" s="118"/>
      <c r="WM11" s="118"/>
      <c r="WN11" s="118"/>
      <c r="WO11" s="118"/>
      <c r="WP11" s="118"/>
      <c r="WQ11" s="118"/>
      <c r="WR11" s="118"/>
      <c r="WS11" s="118"/>
      <c r="WT11" s="118"/>
      <c r="WU11" s="118"/>
      <c r="WV11" s="118"/>
      <c r="WW11" s="118"/>
      <c r="WX11" s="118"/>
      <c r="WY11" s="118"/>
      <c r="WZ11" s="118"/>
      <c r="XA11" s="118"/>
      <c r="XB11" s="118"/>
      <c r="XC11" s="118"/>
      <c r="XD11" s="118"/>
      <c r="XE11" s="118"/>
      <c r="XF11" s="118"/>
      <c r="XG11" s="118"/>
      <c r="XH11" s="118"/>
      <c r="XI11" s="118"/>
      <c r="XJ11" s="118"/>
      <c r="XK11" s="118"/>
      <c r="XL11" s="118"/>
      <c r="XM11" s="118"/>
      <c r="XN11" s="118"/>
      <c r="XO11" s="118"/>
      <c r="XP11" s="118"/>
      <c r="XQ11" s="118"/>
      <c r="XR11" s="118"/>
      <c r="XS11" s="118"/>
      <c r="XT11" s="118"/>
      <c r="XU11" s="118"/>
      <c r="XV11" s="118"/>
      <c r="XW11" s="118"/>
      <c r="XX11" s="118"/>
      <c r="XY11" s="118"/>
      <c r="XZ11" s="118"/>
      <c r="YA11" s="118"/>
      <c r="YB11" s="118"/>
      <c r="YC11" s="118"/>
      <c r="YD11" s="118"/>
      <c r="YE11" s="118"/>
      <c r="YF11" s="118"/>
      <c r="YG11" s="118"/>
      <c r="YH11" s="118"/>
      <c r="YI11" s="118"/>
      <c r="YJ11" s="118"/>
      <c r="YK11" s="118"/>
      <c r="YL11" s="118"/>
      <c r="YM11" s="118"/>
      <c r="YN11" s="118"/>
      <c r="YO11" s="118"/>
      <c r="YP11" s="118"/>
      <c r="YQ11" s="118"/>
      <c r="YR11" s="118"/>
      <c r="YS11" s="118"/>
      <c r="YT11" s="118"/>
      <c r="YU11" s="118"/>
      <c r="YV11" s="118"/>
      <c r="YW11" s="118"/>
      <c r="YX11" s="118"/>
      <c r="YY11" s="118"/>
      <c r="YZ11" s="118"/>
      <c r="ZA11" s="118"/>
      <c r="ZB11" s="118"/>
      <c r="ZC11" s="118"/>
      <c r="ZD11" s="118"/>
      <c r="ZE11" s="118"/>
      <c r="ZF11" s="118"/>
      <c r="ZG11" s="118"/>
      <c r="ZH11" s="118"/>
      <c r="ZI11" s="118"/>
      <c r="ZJ11" s="118"/>
      <c r="ZK11" s="118"/>
      <c r="ZL11" s="118"/>
      <c r="ZM11" s="118"/>
      <c r="ZN11" s="118"/>
      <c r="ZO11" s="118"/>
      <c r="ZP11" s="118"/>
      <c r="ZQ11" s="118"/>
      <c r="ZR11" s="118"/>
      <c r="ZS11" s="118"/>
      <c r="ZT11" s="118"/>
      <c r="ZU11" s="118"/>
      <c r="ZV11" s="118"/>
      <c r="ZW11" s="118"/>
      <c r="ZX11" s="118"/>
      <c r="ZY11" s="118"/>
      <c r="ZZ11" s="118"/>
      <c r="AAA11" s="118"/>
      <c r="AAB11" s="118"/>
      <c r="AAC11" s="118"/>
      <c r="AAD11" s="118"/>
      <c r="AAE11" s="118"/>
      <c r="AAF11" s="118"/>
      <c r="AAG11" s="118"/>
      <c r="AAH11" s="118"/>
      <c r="AAI11" s="118"/>
      <c r="AAJ11" s="118"/>
      <c r="AAK11" s="118"/>
      <c r="AAL11" s="118"/>
      <c r="AAM11" s="118"/>
      <c r="AAN11" s="118"/>
      <c r="AAO11" s="118"/>
      <c r="AAP11" s="118"/>
      <c r="AAQ11" s="118"/>
      <c r="AAR11" s="118"/>
      <c r="AAS11" s="118"/>
      <c r="AAT11" s="118"/>
      <c r="AAU11" s="118"/>
      <c r="AAV11" s="118"/>
      <c r="AAW11" s="118"/>
      <c r="AAX11" s="118"/>
      <c r="AAY11" s="118"/>
      <c r="AAZ11" s="118"/>
      <c r="ABA11" s="118"/>
      <c r="ABB11" s="118"/>
      <c r="ABC11" s="118"/>
      <c r="ABD11" s="118"/>
      <c r="ABE11" s="118"/>
      <c r="ABF11" s="118"/>
      <c r="ABG11" s="118"/>
      <c r="ABH11" s="118"/>
      <c r="ABI11" s="118"/>
      <c r="ABJ11" s="118"/>
      <c r="ABK11" s="118"/>
      <c r="ABL11" s="118"/>
      <c r="ABM11" s="118"/>
      <c r="ABN11" s="118"/>
      <c r="ABO11" s="118"/>
      <c r="ABP11" s="118"/>
      <c r="ABQ11" s="118"/>
      <c r="ABR11" s="118"/>
      <c r="ABS11" s="118"/>
      <c r="ABT11" s="118"/>
      <c r="ABU11" s="118"/>
      <c r="ABV11" s="118"/>
      <c r="ABW11" s="118"/>
      <c r="ABX11" s="118"/>
      <c r="ABY11" s="118"/>
      <c r="ABZ11" s="118"/>
      <c r="ACA11" s="118"/>
      <c r="ACB11" s="118"/>
      <c r="ACC11" s="118"/>
      <c r="ACD11" s="118"/>
      <c r="ACE11" s="118"/>
      <c r="ACF11" s="118"/>
      <c r="ACG11" s="118"/>
      <c r="ACH11" s="118"/>
      <c r="ACI11" s="118"/>
      <c r="ACJ11" s="118"/>
      <c r="ACK11" s="118"/>
      <c r="ACL11" s="118"/>
      <c r="ACM11" s="118"/>
      <c r="ACN11" s="118"/>
      <c r="ACO11" s="118"/>
      <c r="ACP11" s="118"/>
      <c r="ACQ11" s="118"/>
      <c r="ACR11" s="118"/>
      <c r="ACS11" s="118"/>
      <c r="ACT11" s="118"/>
      <c r="ACU11" s="118"/>
      <c r="ACV11" s="118"/>
      <c r="ACW11" s="118"/>
      <c r="ACX11" s="118"/>
      <c r="ACY11" s="118"/>
      <c r="ACZ11" s="118"/>
      <c r="ADA11" s="118"/>
      <c r="ADB11" s="118"/>
      <c r="ADC11" s="118"/>
      <c r="ADD11" s="118"/>
      <c r="ADE11" s="118"/>
      <c r="ADF11" s="118"/>
      <c r="ADG11" s="118"/>
      <c r="ADH11" s="118"/>
      <c r="ADI11" s="118"/>
      <c r="ADJ11" s="118"/>
      <c r="ADK11" s="118"/>
      <c r="ADL11" s="118"/>
      <c r="ADM11" s="118"/>
      <c r="ADN11" s="118"/>
      <c r="ADO11" s="118"/>
      <c r="ADP11" s="118"/>
      <c r="ADQ11" s="118"/>
      <c r="ADR11" s="118"/>
      <c r="ADS11" s="118"/>
      <c r="ADT11" s="118"/>
      <c r="ADU11" s="118"/>
      <c r="ADV11" s="118"/>
      <c r="ADW11" s="118"/>
      <c r="ADX11" s="118"/>
      <c r="ADY11" s="118"/>
      <c r="ADZ11" s="118"/>
      <c r="AEA11" s="118"/>
      <c r="AEB11" s="118"/>
      <c r="AEC11" s="118"/>
      <c r="AED11" s="118"/>
      <c r="AEE11" s="118"/>
      <c r="AEF11" s="118"/>
      <c r="AEG11" s="118"/>
      <c r="AEH11" s="118"/>
      <c r="AEI11" s="118"/>
      <c r="AEJ11" s="118"/>
      <c r="AEK11" s="118"/>
      <c r="AEL11" s="118"/>
      <c r="AEM11" s="118"/>
      <c r="AEN11" s="118"/>
      <c r="AEO11" s="118"/>
      <c r="AEP11" s="118"/>
      <c r="AEQ11" s="118"/>
      <c r="AER11" s="118"/>
      <c r="AES11" s="118"/>
      <c r="AET11" s="118"/>
      <c r="AEU11" s="118"/>
      <c r="AEV11" s="118"/>
      <c r="AEW11" s="118"/>
      <c r="AEX11" s="118"/>
      <c r="AEY11" s="118"/>
      <c r="AEZ11" s="118"/>
      <c r="AFA11" s="118"/>
      <c r="AFB11" s="118"/>
      <c r="AFC11" s="118"/>
      <c r="AFD11" s="118"/>
      <c r="AFE11" s="118"/>
      <c r="AFF11" s="118"/>
      <c r="AFG11" s="118"/>
      <c r="AFH11" s="118"/>
      <c r="AFI11" s="118"/>
      <c r="AFJ11" s="118"/>
      <c r="AFK11" s="118"/>
      <c r="AFL11" s="118"/>
      <c r="AFM11" s="118"/>
      <c r="AFN11" s="118"/>
      <c r="AFO11" s="118"/>
      <c r="AFP11" s="118"/>
      <c r="AFQ11" s="118"/>
      <c r="AFR11" s="118"/>
      <c r="AFS11" s="118"/>
      <c r="AFT11" s="118"/>
      <c r="AFU11" s="118"/>
      <c r="AFV11" s="118"/>
      <c r="AFW11" s="118"/>
      <c r="AFX11" s="118"/>
      <c r="AFY11" s="118"/>
      <c r="AFZ11" s="118"/>
      <c r="AGA11" s="118"/>
      <c r="AGB11" s="118"/>
      <c r="AGC11" s="118"/>
      <c r="AGD11" s="118"/>
      <c r="AGE11" s="118"/>
      <c r="AGF11" s="118"/>
      <c r="AGG11" s="118"/>
      <c r="AGH11" s="118"/>
      <c r="AGI11" s="118"/>
      <c r="AGJ11" s="118"/>
      <c r="AGK11" s="118"/>
      <c r="AGL11" s="118"/>
      <c r="AGM11" s="118"/>
      <c r="AGN11" s="118"/>
      <c r="AGO11" s="118"/>
      <c r="AGP11" s="118"/>
      <c r="AGQ11" s="118"/>
      <c r="AGR11" s="118"/>
      <c r="AGS11" s="118"/>
      <c r="AGT11" s="118"/>
      <c r="AGU11" s="118"/>
      <c r="AGV11" s="118"/>
      <c r="AGW11" s="118"/>
      <c r="AGX11" s="118"/>
      <c r="AGY11" s="118"/>
      <c r="AGZ11" s="118"/>
      <c r="AHA11" s="118"/>
      <c r="AHB11" s="118"/>
      <c r="AHC11" s="118"/>
      <c r="AHD11" s="118"/>
      <c r="AHE11" s="118"/>
      <c r="AHF11" s="118"/>
      <c r="AHG11" s="118"/>
      <c r="AHH11" s="118"/>
      <c r="AHI11" s="118"/>
      <c r="AHJ11" s="118"/>
      <c r="AHK11" s="118"/>
      <c r="AHL11" s="118"/>
      <c r="AHM11" s="118"/>
      <c r="AHN11" s="118"/>
      <c r="AHO11" s="118"/>
      <c r="AHP11" s="118"/>
      <c r="AHQ11" s="118"/>
      <c r="AHR11" s="118"/>
      <c r="AHS11" s="118"/>
      <c r="AHT11" s="118"/>
      <c r="AHU11" s="118"/>
      <c r="AHV11" s="118"/>
      <c r="AHW11" s="118"/>
      <c r="AHX11" s="118"/>
      <c r="AHY11" s="118"/>
      <c r="AHZ11" s="118"/>
      <c r="AIA11" s="118"/>
      <c r="AIB11" s="118"/>
      <c r="AIC11" s="118"/>
      <c r="AID11" s="118"/>
      <c r="AIE11" s="118"/>
      <c r="AIF11" s="118"/>
      <c r="AIG11" s="118"/>
      <c r="AIH11" s="118"/>
      <c r="AII11" s="118"/>
      <c r="AIJ11" s="118"/>
      <c r="AIK11" s="118"/>
      <c r="AIL11" s="118"/>
      <c r="AIM11" s="118"/>
      <c r="AIN11" s="118"/>
      <c r="AIO11" s="118"/>
      <c r="AIP11" s="118"/>
      <c r="AIQ11" s="118"/>
      <c r="AIR11" s="118"/>
      <c r="AIS11" s="118"/>
      <c r="AIT11" s="118"/>
      <c r="AIU11" s="118"/>
      <c r="AIV11" s="118"/>
      <c r="AIW11" s="118"/>
      <c r="AIX11" s="118"/>
      <c r="AIY11" s="118"/>
      <c r="AIZ11" s="118"/>
      <c r="AJA11" s="118"/>
      <c r="AJB11" s="118"/>
      <c r="AJC11" s="118"/>
      <c r="AJD11" s="118"/>
      <c r="AJE11" s="118"/>
      <c r="AJF11" s="118"/>
      <c r="AJG11" s="118"/>
      <c r="AJH11" s="118"/>
      <c r="AJI11" s="118"/>
      <c r="AJJ11" s="118"/>
      <c r="AJK11" s="118"/>
      <c r="AJL11" s="118"/>
      <c r="AJM11" s="118"/>
      <c r="AJN11" s="118"/>
      <c r="AJO11" s="118"/>
      <c r="AJP11" s="118"/>
      <c r="AJQ11" s="118"/>
      <c r="AJR11" s="118"/>
      <c r="AJS11" s="118"/>
      <c r="AJT11" s="118"/>
      <c r="AJU11" s="118"/>
      <c r="AJV11" s="118"/>
      <c r="AJW11" s="118"/>
      <c r="AJX11" s="118"/>
      <c r="AJY11" s="118"/>
      <c r="AJZ11" s="118"/>
      <c r="AKA11" s="118"/>
      <c r="AKB11" s="118"/>
      <c r="AKC11" s="118"/>
      <c r="AKD11" s="118"/>
      <c r="AKE11" s="118"/>
      <c r="AKF11" s="118"/>
      <c r="AKG11" s="118"/>
      <c r="AKH11" s="118"/>
      <c r="AKI11" s="118"/>
      <c r="AKJ11" s="118"/>
      <c r="AKK11" s="118"/>
      <c r="AKL11" s="118"/>
      <c r="AKM11" s="118"/>
      <c r="AKN11" s="118"/>
      <c r="AKO11" s="118"/>
      <c r="AKP11" s="118"/>
      <c r="AKQ11" s="118"/>
      <c r="AKR11" s="118"/>
      <c r="AKS11" s="118"/>
      <c r="AKT11" s="118"/>
      <c r="AKU11" s="118"/>
      <c r="AKV11" s="118"/>
      <c r="AKW11" s="118"/>
      <c r="AKX11" s="118"/>
      <c r="AKY11" s="118"/>
      <c r="AKZ11" s="118"/>
      <c r="ALA11" s="118"/>
      <c r="ALB11" s="118"/>
      <c r="ALC11" s="118"/>
      <c r="ALD11" s="118"/>
      <c r="ALE11" s="118"/>
      <c r="ALF11" s="118"/>
      <c r="ALG11" s="118"/>
      <c r="ALH11" s="118"/>
      <c r="ALI11" s="118"/>
      <c r="ALJ11" s="118"/>
      <c r="ALK11" s="118"/>
      <c r="ALL11" s="118"/>
      <c r="ALM11" s="118"/>
      <c r="ALN11" s="118"/>
      <c r="ALO11" s="118"/>
      <c r="ALP11" s="118"/>
      <c r="ALQ11" s="118"/>
      <c r="ALR11" s="118"/>
      <c r="ALS11" s="118"/>
      <c r="ALT11" s="118"/>
      <c r="ALU11" s="118"/>
      <c r="ALV11" s="118"/>
      <c r="ALW11" s="118"/>
      <c r="ALX11" s="118"/>
      <c r="ALY11" s="118"/>
      <c r="ALZ11" s="118"/>
      <c r="AMA11" s="118"/>
      <c r="AMB11" s="118"/>
      <c r="AMC11" s="118"/>
      <c r="AMD11" s="118"/>
      <c r="AME11" s="118"/>
      <c r="AMF11" s="118"/>
      <c r="AMG11" s="118"/>
      <c r="AMH11" s="118"/>
      <c r="AMI11" s="118"/>
      <c r="AMJ11" s="118"/>
      <c r="AMK11" s="118"/>
      <c r="AML11" s="118"/>
      <c r="AMM11" s="118"/>
      <c r="AMN11" s="118"/>
      <c r="AMO11" s="118"/>
      <c r="AMP11" s="118"/>
      <c r="AMQ11" s="118"/>
      <c r="AMR11" s="118"/>
      <c r="AMS11" s="118"/>
      <c r="AMT11" s="118"/>
      <c r="AMU11" s="118"/>
      <c r="AMV11" s="118"/>
      <c r="AMW11" s="118"/>
      <c r="AMX11" s="118"/>
      <c r="AMY11" s="118"/>
      <c r="AMZ11" s="118"/>
      <c r="ANA11" s="118"/>
      <c r="ANB11" s="118"/>
      <c r="ANC11" s="118"/>
      <c r="AND11" s="118"/>
      <c r="ANE11" s="118"/>
      <c r="ANF11" s="118"/>
      <c r="ANG11" s="118"/>
      <c r="ANH11" s="118"/>
      <c r="ANI11" s="118"/>
      <c r="ANJ11" s="118"/>
      <c r="ANK11" s="118"/>
      <c r="ANL11" s="118"/>
      <c r="ANM11" s="118"/>
      <c r="ANN11" s="118"/>
      <c r="ANO11" s="118"/>
      <c r="ANP11" s="118"/>
      <c r="ANQ11" s="118"/>
      <c r="ANR11" s="118"/>
      <c r="ANS11" s="118"/>
      <c r="ANT11" s="118"/>
      <c r="ANU11" s="118"/>
      <c r="ANV11" s="118"/>
      <c r="ANW11" s="118"/>
      <c r="ANX11" s="118"/>
      <c r="ANY11" s="118"/>
      <c r="ANZ11" s="118"/>
      <c r="AOA11" s="118"/>
      <c r="AOB11" s="118"/>
      <c r="AOC11" s="118"/>
      <c r="AOD11" s="118"/>
      <c r="AOE11" s="118"/>
      <c r="AOF11" s="118"/>
      <c r="AOG11" s="118"/>
      <c r="AOH11" s="118"/>
      <c r="AOI11" s="118"/>
      <c r="AOJ11" s="118"/>
      <c r="AOK11" s="118"/>
      <c r="AOL11" s="118"/>
      <c r="AOM11" s="118"/>
      <c r="AON11" s="118"/>
      <c r="AOO11" s="118"/>
      <c r="AOP11" s="118"/>
      <c r="AOQ11" s="118"/>
      <c r="AOR11" s="118"/>
      <c r="AOS11" s="118"/>
      <c r="AOT11" s="118"/>
      <c r="AOU11" s="118"/>
      <c r="AOV11" s="118"/>
      <c r="AOW11" s="118"/>
      <c r="AOX11" s="118"/>
      <c r="AOY11" s="118"/>
      <c r="AOZ11" s="118"/>
      <c r="APA11" s="118"/>
      <c r="APB11" s="118"/>
      <c r="APC11" s="118"/>
      <c r="APD11" s="118"/>
      <c r="APE11" s="118"/>
      <c r="APF11" s="118"/>
      <c r="APG11" s="118"/>
      <c r="APH11" s="118"/>
      <c r="API11" s="118"/>
      <c r="APJ11" s="118"/>
      <c r="APK11" s="118"/>
      <c r="APL11" s="118"/>
      <c r="APM11" s="118"/>
      <c r="APN11" s="118"/>
      <c r="APO11" s="118"/>
      <c r="APP11" s="118"/>
      <c r="APQ11" s="118"/>
      <c r="APR11" s="118"/>
      <c r="APS11" s="118"/>
      <c r="APT11" s="118"/>
      <c r="APU11" s="118"/>
      <c r="APV11" s="118"/>
      <c r="APW11" s="118"/>
      <c r="APX11" s="118"/>
      <c r="APY11" s="118"/>
      <c r="APZ11" s="118"/>
      <c r="AQA11" s="118"/>
      <c r="AQB11" s="118"/>
      <c r="AQC11" s="118"/>
      <c r="AQD11" s="118"/>
      <c r="AQE11" s="118"/>
      <c r="AQF11" s="118"/>
      <c r="AQG11" s="118"/>
      <c r="AQH11" s="118"/>
      <c r="AQI11" s="118"/>
      <c r="AQJ11" s="118"/>
      <c r="AQK11" s="118"/>
      <c r="AQL11" s="118"/>
      <c r="AQM11" s="118"/>
      <c r="AQN11" s="118"/>
      <c r="AQO11" s="118"/>
      <c r="AQP11" s="118"/>
      <c r="AQQ11" s="118"/>
      <c r="AQR11" s="118"/>
      <c r="AQS11" s="118"/>
      <c r="AQT11" s="118"/>
      <c r="AQU11" s="118"/>
      <c r="AQV11" s="118"/>
      <c r="AQW11" s="118"/>
      <c r="AQX11" s="118"/>
      <c r="AQY11" s="118"/>
      <c r="AQZ11" s="118"/>
      <c r="ARA11" s="118"/>
      <c r="ARB11" s="118"/>
      <c r="ARC11" s="118"/>
      <c r="ARD11" s="118"/>
      <c r="ARE11" s="118"/>
      <c r="ARF11" s="118"/>
      <c r="ARG11" s="118"/>
      <c r="ARH11" s="118"/>
      <c r="ARI11" s="118"/>
      <c r="ARJ11" s="118"/>
      <c r="ARK11" s="118"/>
      <c r="ARL11" s="118"/>
      <c r="ARM11" s="118"/>
      <c r="ARN11" s="118"/>
      <c r="ARO11" s="118"/>
      <c r="ARP11" s="118"/>
      <c r="ARQ11" s="118"/>
      <c r="ARR11" s="118"/>
      <c r="ARS11" s="118"/>
      <c r="ART11" s="118"/>
      <c r="ARU11" s="118"/>
      <c r="ARV11" s="118"/>
      <c r="ARW11" s="118"/>
      <c r="ARX11" s="118"/>
      <c r="ARY11" s="118"/>
      <c r="ARZ11" s="118"/>
      <c r="ASA11" s="118"/>
      <c r="ASB11" s="118"/>
      <c r="ASC11" s="118"/>
      <c r="ASD11" s="118"/>
      <c r="ASE11" s="118"/>
      <c r="ASF11" s="118"/>
      <c r="ASG11" s="118"/>
      <c r="ASH11" s="118"/>
      <c r="ASI11" s="118"/>
      <c r="ASJ11" s="118"/>
      <c r="ASK11" s="118"/>
      <c r="ASL11" s="118"/>
      <c r="ASM11" s="118"/>
      <c r="ASN11" s="118"/>
      <c r="ASO11" s="118"/>
      <c r="ASP11" s="118"/>
      <c r="ASQ11" s="118"/>
      <c r="ASR11" s="118"/>
      <c r="ASS11" s="118"/>
      <c r="AST11" s="118"/>
      <c r="ASU11" s="118"/>
      <c r="ASV11" s="118"/>
      <c r="ASW11" s="118"/>
      <c r="ASX11" s="118"/>
      <c r="ASY11" s="118"/>
      <c r="ASZ11" s="118"/>
      <c r="ATA11" s="118"/>
      <c r="ATB11" s="118"/>
      <c r="ATC11" s="118"/>
      <c r="ATD11" s="118"/>
      <c r="ATE11" s="118"/>
      <c r="ATF11" s="118"/>
      <c r="ATG11" s="118"/>
      <c r="ATH11" s="118"/>
      <c r="ATI11" s="118"/>
      <c r="ATJ11" s="118"/>
      <c r="ATK11" s="118"/>
      <c r="ATL11" s="118"/>
      <c r="ATM11" s="118"/>
      <c r="ATN11" s="118"/>
      <c r="ATO11" s="118"/>
      <c r="ATP11" s="118"/>
      <c r="ATQ11" s="118"/>
      <c r="ATR11" s="118"/>
      <c r="ATS11" s="118"/>
      <c r="ATT11" s="118"/>
      <c r="ATU11" s="118"/>
      <c r="ATV11" s="118"/>
      <c r="ATW11" s="118"/>
      <c r="ATX11" s="118"/>
      <c r="ATY11" s="118"/>
      <c r="ATZ11" s="118"/>
      <c r="AUA11" s="118"/>
      <c r="AUB11" s="118"/>
      <c r="AUC11" s="118"/>
      <c r="AUD11" s="118"/>
      <c r="AUE11" s="118"/>
      <c r="AUF11" s="118"/>
      <c r="AUG11" s="118"/>
      <c r="AUH11" s="118"/>
      <c r="AUI11" s="118"/>
      <c r="AUJ11" s="118"/>
      <c r="AUK11" s="118"/>
      <c r="AUL11" s="118"/>
      <c r="AUM11" s="118"/>
      <c r="AUN11" s="118"/>
      <c r="AUO11" s="118"/>
      <c r="AUP11" s="118"/>
      <c r="AUQ11" s="118"/>
      <c r="AUR11" s="118"/>
      <c r="AUS11" s="118"/>
      <c r="AUT11" s="118"/>
      <c r="AUU11" s="118"/>
      <c r="AUV11" s="118"/>
      <c r="AUW11" s="118"/>
      <c r="AUX11" s="118"/>
      <c r="AUY11" s="118"/>
      <c r="AUZ11" s="118"/>
      <c r="AVA11" s="118"/>
      <c r="AVB11" s="118"/>
      <c r="AVC11" s="118"/>
      <c r="AVD11" s="118"/>
      <c r="AVE11" s="118"/>
      <c r="AVF11" s="118"/>
      <c r="AVG11" s="118"/>
      <c r="AVH11" s="118"/>
      <c r="AVI11" s="118"/>
      <c r="AVJ11" s="118"/>
      <c r="AVK11" s="118"/>
      <c r="AVL11" s="118"/>
      <c r="AVM11" s="118"/>
      <c r="AVN11" s="118"/>
      <c r="AVO11" s="118"/>
      <c r="AVP11" s="118"/>
      <c r="AVQ11" s="118"/>
      <c r="AVR11" s="118"/>
      <c r="AVS11" s="118"/>
      <c r="AVT11" s="118"/>
      <c r="AVU11" s="118"/>
      <c r="AVV11" s="118"/>
      <c r="AVW11" s="118"/>
      <c r="AVX11" s="118"/>
      <c r="AVY11" s="118"/>
      <c r="AVZ11" s="118"/>
      <c r="AWA11" s="118"/>
      <c r="AWB11" s="118"/>
      <c r="AWC11" s="118"/>
      <c r="AWD11" s="118"/>
      <c r="AWE11" s="118"/>
      <c r="AWF11" s="118"/>
      <c r="AWG11" s="118"/>
      <c r="AWH11" s="118"/>
      <c r="AWI11" s="118"/>
      <c r="AWJ11" s="118"/>
      <c r="AWK11" s="118"/>
      <c r="AWL11" s="118"/>
      <c r="AWM11" s="118"/>
      <c r="AWN11" s="118"/>
      <c r="AWO11" s="118"/>
      <c r="AWP11" s="118"/>
      <c r="AWQ11" s="118"/>
      <c r="AWR11" s="118"/>
      <c r="AWS11" s="118"/>
      <c r="AWT11" s="118"/>
      <c r="AWU11" s="118"/>
      <c r="AWV11" s="118"/>
      <c r="AWW11" s="118"/>
      <c r="AWX11" s="118"/>
      <c r="AWY11" s="118"/>
      <c r="AWZ11" s="118"/>
      <c r="AXA11" s="118"/>
      <c r="AXB11" s="118"/>
      <c r="AXC11" s="118"/>
      <c r="AXD11" s="118"/>
      <c r="AXE11" s="118"/>
      <c r="AXF11" s="118"/>
      <c r="AXG11" s="118"/>
      <c r="AXH11" s="118"/>
      <c r="AXI11" s="118"/>
      <c r="AXJ11" s="118"/>
      <c r="AXK11" s="118"/>
      <c r="AXL11" s="118"/>
      <c r="AXM11" s="118"/>
      <c r="AXN11" s="118"/>
      <c r="AXO11" s="118"/>
      <c r="AXP11" s="118"/>
      <c r="AXQ11" s="118"/>
      <c r="AXR11" s="118"/>
      <c r="AXS11" s="118"/>
      <c r="AXT11" s="118"/>
      <c r="AXU11" s="118"/>
      <c r="AXV11" s="118"/>
      <c r="AXW11" s="118"/>
      <c r="AXX11" s="118"/>
      <c r="AXY11" s="118"/>
      <c r="AXZ11" s="118"/>
      <c r="AYA11" s="118"/>
      <c r="AYB11" s="118"/>
      <c r="AYC11" s="118"/>
      <c r="AYD11" s="118"/>
      <c r="AYE11" s="118"/>
      <c r="AYF11" s="118"/>
      <c r="AYG11" s="118"/>
      <c r="AYH11" s="118"/>
      <c r="AYI11" s="118"/>
      <c r="AYJ11" s="118"/>
      <c r="AYK11" s="118"/>
      <c r="AYL11" s="118"/>
      <c r="AYM11" s="118"/>
      <c r="AYN11" s="118"/>
      <c r="AYO11" s="118"/>
      <c r="AYP11" s="118"/>
      <c r="AYQ11" s="118"/>
      <c r="AYR11" s="118"/>
      <c r="AYS11" s="118"/>
      <c r="AYT11" s="118"/>
      <c r="AYU11" s="118"/>
      <c r="AYV11" s="118"/>
      <c r="AYW11" s="118"/>
      <c r="AYX11" s="118"/>
      <c r="AYY11" s="118"/>
      <c r="AYZ11" s="118"/>
      <c r="AZA11" s="118"/>
      <c r="AZB11" s="118"/>
      <c r="AZC11" s="118"/>
      <c r="AZD11" s="118"/>
      <c r="AZE11" s="118"/>
      <c r="AZF11" s="118"/>
      <c r="AZG11" s="118"/>
      <c r="AZH11" s="118"/>
      <c r="AZI11" s="118"/>
      <c r="AZJ11" s="118"/>
      <c r="AZK11" s="118"/>
      <c r="AZL11" s="118"/>
      <c r="AZM11" s="118"/>
      <c r="AZN11" s="118"/>
      <c r="AZO11" s="118"/>
      <c r="AZP11" s="118"/>
      <c r="AZQ11" s="118"/>
      <c r="AZR11" s="118"/>
      <c r="AZS11" s="118"/>
      <c r="AZT11" s="118"/>
      <c r="AZU11" s="118"/>
      <c r="AZV11" s="118"/>
      <c r="AZW11" s="118"/>
      <c r="AZX11" s="118"/>
      <c r="AZY11" s="118"/>
      <c r="AZZ11" s="118"/>
      <c r="BAA11" s="118"/>
      <c r="BAB11" s="118"/>
      <c r="BAC11" s="118"/>
      <c r="BAD11" s="118"/>
      <c r="BAE11" s="118"/>
      <c r="BAF11" s="118"/>
      <c r="BAG11" s="118"/>
      <c r="BAH11" s="118"/>
      <c r="BAI11" s="118"/>
      <c r="BAJ11" s="118"/>
      <c r="BAK11" s="118"/>
      <c r="BAL11" s="118"/>
      <c r="BAM11" s="118"/>
      <c r="BAN11" s="118"/>
      <c r="BAO11" s="118"/>
      <c r="BAP11" s="118"/>
      <c r="BAQ11" s="118"/>
      <c r="BAR11" s="118"/>
      <c r="BAS11" s="118"/>
      <c r="BAT11" s="118"/>
      <c r="BAU11" s="118"/>
      <c r="BAV11" s="118"/>
      <c r="BAW11" s="118"/>
      <c r="BAX11" s="118"/>
      <c r="BAY11" s="118"/>
      <c r="BAZ11" s="118"/>
      <c r="BBA11" s="118"/>
      <c r="BBB11" s="118"/>
      <c r="BBC11" s="118"/>
      <c r="BBD11" s="118"/>
      <c r="BBE11" s="118"/>
      <c r="BBF11" s="118"/>
      <c r="BBG11" s="118"/>
      <c r="BBH11" s="118"/>
      <c r="BBI11" s="118"/>
      <c r="BBJ11" s="118"/>
      <c r="BBK11" s="118"/>
      <c r="BBL11" s="118"/>
      <c r="BBM11" s="118"/>
      <c r="BBN11" s="118"/>
      <c r="BBO11" s="118"/>
      <c r="BBP11" s="118"/>
      <c r="BBQ11" s="118"/>
      <c r="BBR11" s="118"/>
      <c r="BBS11" s="118"/>
      <c r="BBT11" s="118"/>
      <c r="BBU11" s="118"/>
      <c r="BBV11" s="118"/>
      <c r="BBW11" s="118"/>
      <c r="BBX11" s="118"/>
      <c r="BBY11" s="118"/>
      <c r="BBZ11" s="118"/>
      <c r="BCA11" s="118"/>
      <c r="BCB11" s="118"/>
      <c r="BCC11" s="118"/>
      <c r="BCD11" s="118"/>
      <c r="BCE11" s="118"/>
      <c r="BCF11" s="118"/>
      <c r="BCG11" s="118"/>
      <c r="BCH11" s="118"/>
      <c r="BCI11" s="118"/>
      <c r="BCJ11" s="118"/>
      <c r="BCK11" s="118"/>
      <c r="BCL11" s="118"/>
      <c r="BCM11" s="118"/>
      <c r="BCN11" s="118"/>
      <c r="BCO11" s="118"/>
      <c r="BCP11" s="118"/>
      <c r="BCQ11" s="118"/>
      <c r="BCR11" s="118"/>
      <c r="BCS11" s="118"/>
      <c r="BCT11" s="118"/>
      <c r="BCU11" s="118"/>
      <c r="BCV11" s="118"/>
      <c r="BCW11" s="118"/>
      <c r="BCX11" s="118"/>
      <c r="BCY11" s="118"/>
      <c r="BCZ11" s="118"/>
      <c r="BDA11" s="118"/>
      <c r="BDB11" s="118"/>
      <c r="BDC11" s="118"/>
      <c r="BDD11" s="118"/>
      <c r="BDE11" s="118"/>
      <c r="BDF11" s="118"/>
      <c r="BDG11" s="118"/>
      <c r="BDH11" s="118"/>
      <c r="BDI11" s="118"/>
      <c r="BDJ11" s="118"/>
      <c r="BDK11" s="118"/>
      <c r="BDL11" s="118"/>
      <c r="BDM11" s="118"/>
      <c r="BDN11" s="118"/>
      <c r="BDO11" s="118"/>
      <c r="BDP11" s="118"/>
      <c r="BDQ11" s="118"/>
      <c r="BDR11" s="118"/>
      <c r="BDS11" s="118"/>
      <c r="BDT11" s="118"/>
      <c r="BDU11" s="118"/>
      <c r="BDV11" s="118"/>
      <c r="BDW11" s="118"/>
      <c r="BDX11" s="118"/>
      <c r="BDY11" s="118"/>
      <c r="BDZ11" s="118"/>
      <c r="BEA11" s="118"/>
      <c r="BEB11" s="118"/>
      <c r="BEC11" s="118"/>
      <c r="BED11" s="118"/>
      <c r="BEE11" s="118"/>
      <c r="BEF11" s="118"/>
      <c r="BEG11" s="118"/>
      <c r="BEH11" s="118"/>
      <c r="BEI11" s="118"/>
      <c r="BEJ11" s="118"/>
      <c r="BEK11" s="118"/>
      <c r="BEL11" s="118"/>
      <c r="BEM11" s="118"/>
      <c r="BEN11" s="118"/>
      <c r="BEO11" s="118"/>
      <c r="BEP11" s="118"/>
      <c r="BEQ11" s="118"/>
      <c r="BER11" s="118"/>
      <c r="BES11" s="118"/>
      <c r="BET11" s="118"/>
      <c r="BEU11" s="118"/>
      <c r="BEV11" s="118"/>
      <c r="BEW11" s="118"/>
      <c r="BEX11" s="118"/>
      <c r="BEY11" s="118"/>
      <c r="BEZ11" s="118"/>
      <c r="BFA11" s="118"/>
      <c r="BFB11" s="118"/>
      <c r="BFC11" s="118"/>
      <c r="BFD11" s="118"/>
      <c r="BFE11" s="118"/>
      <c r="BFF11" s="118"/>
      <c r="BFG11" s="118"/>
      <c r="BFH11" s="118"/>
      <c r="BFI11" s="118"/>
      <c r="BFJ11" s="118"/>
      <c r="BFK11" s="118"/>
      <c r="BFL11" s="118"/>
      <c r="BFM11" s="118"/>
      <c r="BFN11" s="118"/>
      <c r="BFO11" s="118"/>
      <c r="BFP11" s="118"/>
      <c r="BFQ11" s="118"/>
      <c r="BFR11" s="118"/>
      <c r="BFS11" s="118"/>
      <c r="BFT11" s="118"/>
      <c r="BFU11" s="118"/>
      <c r="BFV11" s="118"/>
      <c r="BFW11" s="118"/>
      <c r="BFX11" s="118"/>
      <c r="BFY11" s="118"/>
      <c r="BFZ11" s="118"/>
      <c r="BGA11" s="118"/>
      <c r="BGB11" s="118"/>
      <c r="BGC11" s="118"/>
      <c r="BGD11" s="118"/>
      <c r="BGE11" s="118"/>
      <c r="BGF11" s="118"/>
      <c r="BGG11" s="118"/>
      <c r="BGH11" s="118"/>
      <c r="BGI11" s="118"/>
      <c r="BGJ11" s="118"/>
      <c r="BGK11" s="118"/>
      <c r="BGL11" s="118"/>
      <c r="BGM11" s="118"/>
      <c r="BGN11" s="118"/>
      <c r="BGO11" s="118"/>
      <c r="BGP11" s="118"/>
      <c r="BGQ11" s="118"/>
      <c r="BGR11" s="118"/>
      <c r="BGS11" s="118"/>
      <c r="BGT11" s="118"/>
      <c r="BGU11" s="118"/>
      <c r="BGV11" s="118"/>
      <c r="BGW11" s="118"/>
      <c r="BGX11" s="118"/>
      <c r="BGY11" s="118"/>
      <c r="BGZ11" s="118"/>
      <c r="BHA11" s="118"/>
      <c r="BHB11" s="118"/>
      <c r="BHC11" s="118"/>
      <c r="BHD11" s="118"/>
      <c r="BHE11" s="118"/>
      <c r="BHF11" s="118"/>
      <c r="BHG11" s="118"/>
      <c r="BHH11" s="118"/>
      <c r="BHI11" s="118"/>
      <c r="BHJ11" s="118"/>
      <c r="BHK11" s="118"/>
      <c r="BHL11" s="118"/>
      <c r="BHM11" s="118"/>
      <c r="BHN11" s="118"/>
      <c r="BHO11" s="118"/>
      <c r="BHP11" s="118"/>
      <c r="BHQ11" s="118"/>
      <c r="BHR11" s="118"/>
      <c r="BHS11" s="118"/>
      <c r="BHT11" s="118"/>
      <c r="BHU11" s="118"/>
      <c r="BHV11" s="118"/>
      <c r="BHW11" s="118"/>
      <c r="BHX11" s="118"/>
      <c r="BHY11" s="118"/>
      <c r="BHZ11" s="118"/>
      <c r="BIA11" s="118"/>
      <c r="BIB11" s="118"/>
      <c r="BIC11" s="118"/>
      <c r="BID11" s="118"/>
      <c r="BIE11" s="118"/>
      <c r="BIF11" s="118"/>
      <c r="BIG11" s="118"/>
      <c r="BIH11" s="118"/>
      <c r="BII11" s="118"/>
      <c r="BIJ11" s="118"/>
      <c r="BIK11" s="118"/>
      <c r="BIL11" s="118"/>
      <c r="BIM11" s="118"/>
      <c r="BIN11" s="118"/>
      <c r="BIO11" s="118"/>
      <c r="BIP11" s="118"/>
      <c r="BIQ11" s="118"/>
      <c r="BIR11" s="118"/>
      <c r="BIS11" s="118"/>
      <c r="BIT11" s="118"/>
      <c r="BIU11" s="118"/>
      <c r="BIV11" s="118"/>
      <c r="BIW11" s="118"/>
      <c r="BIX11" s="118"/>
      <c r="BIY11" s="118"/>
      <c r="BIZ11" s="118"/>
      <c r="BJA11" s="118"/>
      <c r="BJB11" s="118"/>
      <c r="BJC11" s="118"/>
      <c r="BJD11" s="118"/>
      <c r="BJE11" s="118"/>
      <c r="BJF11" s="118"/>
      <c r="BJG11" s="118"/>
      <c r="BJH11" s="118"/>
      <c r="BJI11" s="118"/>
      <c r="BJJ11" s="118"/>
      <c r="BJK11" s="118"/>
      <c r="BJL11" s="118"/>
      <c r="BJM11" s="118"/>
      <c r="BJN11" s="118"/>
      <c r="BJO11" s="118"/>
      <c r="BJP11" s="118"/>
      <c r="BJQ11" s="118"/>
      <c r="BJR11" s="118"/>
      <c r="BJS11" s="118"/>
      <c r="BJT11" s="118"/>
      <c r="BJU11" s="118"/>
      <c r="BJV11" s="118"/>
      <c r="BJW11" s="118"/>
      <c r="BJX11" s="118"/>
      <c r="BJY11" s="118"/>
      <c r="BJZ11" s="118"/>
      <c r="BKA11" s="118"/>
      <c r="BKB11" s="118"/>
      <c r="BKC11" s="118"/>
      <c r="BKD11" s="118"/>
      <c r="BKE11" s="118"/>
      <c r="BKF11" s="118"/>
      <c r="BKG11" s="118"/>
      <c r="BKH11" s="118"/>
      <c r="BKI11" s="118"/>
      <c r="BKJ11" s="118"/>
      <c r="BKK11" s="118"/>
      <c r="BKL11" s="118"/>
      <c r="BKM11" s="118"/>
      <c r="BKN11" s="118"/>
      <c r="BKO11" s="118"/>
      <c r="BKP11" s="118"/>
      <c r="BKQ11" s="118"/>
      <c r="BKR11" s="118"/>
      <c r="BKS11" s="118"/>
      <c r="BKT11" s="118"/>
      <c r="BKU11" s="118"/>
      <c r="BKV11" s="118"/>
      <c r="BKW11" s="118"/>
      <c r="BKX11" s="118"/>
      <c r="BKY11" s="118"/>
      <c r="BKZ11" s="118"/>
      <c r="BLA11" s="118"/>
      <c r="BLB11" s="118"/>
      <c r="BLC11" s="118"/>
      <c r="BLD11" s="118"/>
      <c r="BLE11" s="118"/>
      <c r="BLF11" s="118"/>
      <c r="BLG11" s="118"/>
      <c r="BLH11" s="118"/>
      <c r="BLI11" s="118"/>
      <c r="BLJ11" s="118"/>
      <c r="BLK11" s="118"/>
      <c r="BLL11" s="118"/>
      <c r="BLM11" s="118"/>
      <c r="BLN11" s="118"/>
      <c r="BLO11" s="118"/>
      <c r="BLP11" s="118"/>
      <c r="BLQ11" s="118"/>
      <c r="BLR11" s="118"/>
      <c r="BLS11" s="118"/>
      <c r="BLT11" s="118"/>
      <c r="BLU11" s="118"/>
      <c r="BLV11" s="118"/>
      <c r="BLW11" s="118"/>
      <c r="BLX11" s="118"/>
      <c r="BLY11" s="118"/>
      <c r="BLZ11" s="118"/>
      <c r="BMA11" s="118"/>
      <c r="BMB11" s="118"/>
      <c r="BMC11" s="118"/>
      <c r="BMD11" s="118"/>
      <c r="BME11" s="118"/>
      <c r="BMF11" s="118"/>
      <c r="BMG11" s="118"/>
      <c r="BMH11" s="118"/>
      <c r="BMI11" s="118"/>
      <c r="BMJ11" s="118"/>
      <c r="BMK11" s="118"/>
      <c r="BML11" s="118"/>
      <c r="BMM11" s="118"/>
      <c r="BMN11" s="118"/>
      <c r="BMO11" s="118"/>
      <c r="BMP11" s="118"/>
      <c r="BMQ11" s="118"/>
      <c r="BMR11" s="118"/>
      <c r="BMS11" s="118"/>
      <c r="BMT11" s="118"/>
      <c r="BMU11" s="118"/>
      <c r="BMV11" s="118"/>
      <c r="BMW11" s="118"/>
      <c r="BMX11" s="118"/>
      <c r="BMY11" s="118"/>
      <c r="BMZ11" s="118"/>
      <c r="BNA11" s="118"/>
      <c r="BNB11" s="118"/>
      <c r="BNC11" s="118"/>
      <c r="BND11" s="118"/>
      <c r="BNE11" s="118"/>
      <c r="BNF11" s="118"/>
      <c r="BNG11" s="118"/>
      <c r="BNH11" s="118"/>
      <c r="BNI11" s="118"/>
      <c r="BNJ11" s="118"/>
      <c r="BNK11" s="118"/>
      <c r="BNL11" s="118"/>
      <c r="BNM11" s="118"/>
      <c r="BNN11" s="118"/>
      <c r="BNO11" s="118"/>
      <c r="BNP11" s="118"/>
      <c r="BNQ11" s="118"/>
      <c r="BNR11" s="118"/>
      <c r="BNS11" s="118"/>
      <c r="BNT11" s="118"/>
      <c r="BNU11" s="118"/>
      <c r="BNV11" s="118"/>
      <c r="BNW11" s="118"/>
      <c r="BNX11" s="118"/>
      <c r="BNY11" s="118"/>
      <c r="BNZ11" s="118"/>
      <c r="BOA11" s="118"/>
      <c r="BOB11" s="118"/>
      <c r="BOC11" s="118"/>
      <c r="BOD11" s="118"/>
      <c r="BOE11" s="118"/>
      <c r="BOF11" s="118"/>
      <c r="BOG11" s="118"/>
      <c r="BOH11" s="118"/>
      <c r="BOI11" s="118"/>
      <c r="BOJ11" s="118"/>
      <c r="BOK11" s="118"/>
      <c r="BOL11" s="118"/>
      <c r="BOM11" s="118"/>
      <c r="BON11" s="118"/>
      <c r="BOO11" s="118"/>
      <c r="BOP11" s="118"/>
      <c r="BOQ11" s="118"/>
      <c r="BOR11" s="118"/>
      <c r="BOS11" s="118"/>
      <c r="BOT11" s="118"/>
      <c r="BOU11" s="118"/>
      <c r="BOV11" s="118"/>
      <c r="BOW11" s="118"/>
      <c r="BOX11" s="118"/>
      <c r="BOY11" s="118"/>
      <c r="BOZ11" s="118"/>
      <c r="BPA11" s="118"/>
      <c r="BPB11" s="118"/>
      <c r="BPC11" s="118"/>
      <c r="BPD11" s="118"/>
      <c r="BPE11" s="118"/>
      <c r="BPF11" s="118"/>
      <c r="BPG11" s="118"/>
      <c r="BPH11" s="118"/>
      <c r="BPI11" s="118"/>
      <c r="BPJ11" s="118"/>
      <c r="BPK11" s="118"/>
      <c r="BPL11" s="118"/>
      <c r="BPM11" s="118"/>
      <c r="BPN11" s="118"/>
      <c r="BPO11" s="118"/>
      <c r="BPP11" s="118"/>
      <c r="BPQ11" s="118"/>
      <c r="BPR11" s="118"/>
      <c r="BPS11" s="118"/>
      <c r="BPT11" s="118"/>
      <c r="BPU11" s="118"/>
      <c r="BPV11" s="118"/>
      <c r="BPW11" s="118"/>
      <c r="BPX11" s="118"/>
      <c r="BPY11" s="118"/>
      <c r="BPZ11" s="118"/>
      <c r="BQA11" s="118"/>
      <c r="BQB11" s="118"/>
      <c r="BQC11" s="118"/>
      <c r="BQD11" s="118"/>
      <c r="BQE11" s="118"/>
      <c r="BQF11" s="118"/>
      <c r="BQG11" s="118"/>
      <c r="BQH11" s="118"/>
      <c r="BQI11" s="118"/>
      <c r="BQJ11" s="118"/>
      <c r="BQK11" s="118"/>
      <c r="BQL11" s="118"/>
      <c r="BQM11" s="118"/>
      <c r="BQN11" s="118"/>
      <c r="BQO11" s="118"/>
      <c r="BQP11" s="118"/>
      <c r="BQQ11" s="118"/>
      <c r="BQR11" s="118"/>
      <c r="BQS11" s="118"/>
      <c r="BQT11" s="118"/>
      <c r="BQU11" s="118"/>
      <c r="BQV11" s="118"/>
      <c r="BQW11" s="118"/>
      <c r="BQX11" s="118"/>
      <c r="BQY11" s="118"/>
      <c r="BQZ11" s="118"/>
      <c r="BRA11" s="118"/>
      <c r="BRB11" s="118"/>
      <c r="BRC11" s="118"/>
      <c r="BRD11" s="118"/>
      <c r="BRE11" s="118"/>
      <c r="BRF11" s="118"/>
      <c r="BRG11" s="118"/>
      <c r="BRH11" s="118"/>
      <c r="BRI11" s="118"/>
      <c r="BRJ11" s="118"/>
      <c r="BRK11" s="118"/>
      <c r="BRL11" s="118"/>
      <c r="BRM11" s="118"/>
      <c r="BRN11" s="118"/>
      <c r="BRO11" s="118"/>
      <c r="BRP11" s="118"/>
      <c r="BRQ11" s="118"/>
      <c r="BRR11" s="118"/>
      <c r="BRS11" s="118"/>
      <c r="BRT11" s="118"/>
      <c r="BRU11" s="118"/>
      <c r="BRV11" s="118"/>
      <c r="BRW11" s="118"/>
      <c r="BRX11" s="118"/>
      <c r="BRY11" s="118"/>
      <c r="BRZ11" s="118"/>
      <c r="BSA11" s="118"/>
      <c r="BSB11" s="118"/>
      <c r="BSC11" s="118"/>
      <c r="BSD11" s="118"/>
      <c r="BSE11" s="118"/>
      <c r="BSF11" s="118"/>
      <c r="BSG11" s="118"/>
      <c r="BSH11" s="118"/>
      <c r="BSI11" s="118"/>
      <c r="BSJ11" s="118"/>
      <c r="BSK11" s="118"/>
      <c r="BSL11" s="118"/>
      <c r="BSM11" s="118"/>
      <c r="BSN11" s="118"/>
      <c r="BSO11" s="118"/>
      <c r="BSP11" s="118"/>
      <c r="BSQ11" s="118"/>
      <c r="BSR11" s="118"/>
      <c r="BSS11" s="118"/>
      <c r="BST11" s="118"/>
      <c r="BSU11" s="118"/>
      <c r="BSV11" s="118"/>
      <c r="BSW11" s="118"/>
      <c r="BSX11" s="118"/>
      <c r="BSY11" s="118"/>
      <c r="BSZ11" s="118"/>
      <c r="BTA11" s="118"/>
      <c r="BTB11" s="118"/>
      <c r="BTC11" s="118"/>
      <c r="BTD11" s="118"/>
      <c r="BTE11" s="118"/>
      <c r="BTF11" s="118"/>
      <c r="BTG11" s="118"/>
      <c r="BTH11" s="118"/>
      <c r="BTI11" s="118"/>
      <c r="BTJ11" s="118"/>
      <c r="BTK11" s="118"/>
      <c r="BTL11" s="118"/>
      <c r="BTM11" s="118"/>
      <c r="BTN11" s="118"/>
      <c r="BTO11" s="118"/>
      <c r="BTP11" s="118"/>
      <c r="BTQ11" s="118"/>
      <c r="BTR11" s="118"/>
      <c r="BTS11" s="118"/>
      <c r="BTT11" s="118"/>
      <c r="BTU11" s="118"/>
      <c r="BTV11" s="118"/>
      <c r="BTW11" s="118"/>
      <c r="BTX11" s="118"/>
      <c r="BTY11" s="118"/>
      <c r="BTZ11" s="118"/>
      <c r="BUA11" s="118"/>
      <c r="BUB11" s="118"/>
      <c r="BUC11" s="118"/>
      <c r="BUD11" s="118"/>
      <c r="BUE11" s="118"/>
      <c r="BUF11" s="118"/>
      <c r="BUG11" s="118"/>
      <c r="BUH11" s="118"/>
      <c r="BUI11" s="118"/>
      <c r="BUJ11" s="118"/>
      <c r="BUK11" s="118"/>
      <c r="BUL11" s="118"/>
      <c r="BUM11" s="118"/>
      <c r="BUN11" s="118"/>
      <c r="BUO11" s="118"/>
      <c r="BUP11" s="118"/>
      <c r="BUQ11" s="118"/>
      <c r="BUR11" s="118"/>
      <c r="BUS11" s="118"/>
      <c r="BUT11" s="118"/>
      <c r="BUU11" s="118"/>
      <c r="BUV11" s="118"/>
      <c r="BUW11" s="118"/>
      <c r="BUX11" s="118"/>
      <c r="BUY11" s="118"/>
      <c r="BUZ11" s="118"/>
      <c r="BVA11" s="118"/>
      <c r="BVB11" s="118"/>
      <c r="BVC11" s="118"/>
      <c r="BVD11" s="118"/>
      <c r="BVE11" s="118"/>
      <c r="BVF11" s="118"/>
      <c r="BVG11" s="118"/>
      <c r="BVH11" s="118"/>
      <c r="BVI11" s="118"/>
      <c r="BVJ11" s="118"/>
      <c r="BVK11" s="118"/>
      <c r="BVL11" s="118"/>
      <c r="BVM11" s="118"/>
      <c r="BVN11" s="118"/>
      <c r="BVO11" s="118"/>
      <c r="BVP11" s="118"/>
      <c r="BVQ11" s="118"/>
      <c r="BVR11" s="118"/>
      <c r="BVS11" s="118"/>
      <c r="BVT11" s="118"/>
      <c r="BVU11" s="118"/>
      <c r="BVV11" s="118"/>
      <c r="BVW11" s="118"/>
      <c r="BVX11" s="118"/>
      <c r="BVY11" s="118"/>
      <c r="BVZ11" s="118"/>
      <c r="BWA11" s="118"/>
      <c r="BWB11" s="118"/>
      <c r="BWC11" s="118"/>
      <c r="BWD11" s="118"/>
      <c r="BWE11" s="118"/>
      <c r="BWF11" s="118"/>
      <c r="BWG11" s="118"/>
      <c r="BWH11" s="118"/>
      <c r="BWI11" s="118"/>
      <c r="BWJ11" s="118"/>
      <c r="BWK11" s="118"/>
      <c r="BWL11" s="118"/>
      <c r="BWM11" s="118"/>
      <c r="BWN11" s="118"/>
      <c r="BWO11" s="118"/>
      <c r="BWP11" s="118"/>
      <c r="BWQ11" s="118"/>
      <c r="BWR11" s="118"/>
      <c r="BWS11" s="118"/>
      <c r="BWT11" s="118"/>
      <c r="BWU11" s="118"/>
      <c r="BWV11" s="118"/>
      <c r="BWW11" s="118"/>
      <c r="BWX11" s="118"/>
      <c r="BWY11" s="118"/>
      <c r="BWZ11" s="118"/>
      <c r="BXA11" s="118"/>
      <c r="BXB11" s="118"/>
      <c r="BXC11" s="118"/>
      <c r="BXD11" s="118"/>
      <c r="BXE11" s="118"/>
      <c r="BXF11" s="118"/>
      <c r="BXG11" s="118"/>
      <c r="BXH11" s="118"/>
      <c r="BXI11" s="118"/>
      <c r="BXJ11" s="118"/>
      <c r="BXK11" s="118"/>
      <c r="BXL11" s="118"/>
      <c r="BXM11" s="118"/>
      <c r="BXN11" s="118"/>
      <c r="BXO11" s="118"/>
      <c r="BXP11" s="118"/>
      <c r="BXQ11" s="118"/>
      <c r="BXR11" s="118"/>
      <c r="BXS11" s="118"/>
      <c r="BXT11" s="118"/>
      <c r="BXU11" s="118"/>
      <c r="BXV11" s="118"/>
      <c r="BXW11" s="118"/>
      <c r="BXX11" s="118"/>
      <c r="BXY11" s="118"/>
      <c r="BXZ11" s="118"/>
      <c r="BYA11" s="118"/>
      <c r="BYB11" s="118"/>
      <c r="BYC11" s="118"/>
      <c r="BYD11" s="118"/>
      <c r="BYE11" s="118"/>
      <c r="BYF11" s="118"/>
      <c r="BYG11" s="118"/>
      <c r="BYH11" s="118"/>
      <c r="BYI11" s="118"/>
      <c r="BYJ11" s="118"/>
      <c r="BYK11" s="118"/>
      <c r="BYL11" s="118"/>
      <c r="BYM11" s="118"/>
      <c r="BYN11" s="118"/>
      <c r="BYO11" s="118"/>
      <c r="BYP11" s="118"/>
      <c r="BYQ11" s="118"/>
      <c r="BYR11" s="118"/>
      <c r="BYS11" s="118"/>
      <c r="BYT11" s="118"/>
      <c r="BYU11" s="118"/>
      <c r="BYV11" s="118"/>
      <c r="BYW11" s="118"/>
      <c r="BYX11" s="118"/>
      <c r="BYY11" s="118"/>
      <c r="BYZ11" s="118"/>
      <c r="BZA11" s="118"/>
      <c r="BZB11" s="118"/>
      <c r="BZC11" s="118"/>
      <c r="BZD11" s="118"/>
      <c r="BZE11" s="118"/>
      <c r="BZF11" s="118"/>
      <c r="BZG11" s="118"/>
      <c r="BZH11" s="118"/>
      <c r="BZI11" s="118"/>
      <c r="BZJ11" s="118"/>
      <c r="BZK11" s="118"/>
      <c r="BZL11" s="118"/>
      <c r="BZM11" s="118"/>
      <c r="BZN11" s="118"/>
      <c r="BZO11" s="118"/>
      <c r="BZP11" s="118"/>
      <c r="BZQ11" s="118"/>
      <c r="BZR11" s="118"/>
      <c r="BZS11" s="118"/>
      <c r="BZT11" s="118"/>
      <c r="BZU11" s="118"/>
      <c r="BZV11" s="118"/>
      <c r="BZW11" s="118"/>
      <c r="BZX11" s="118"/>
      <c r="BZY11" s="118"/>
      <c r="BZZ11" s="118"/>
      <c r="CAA11" s="118"/>
      <c r="CAB11" s="118"/>
      <c r="CAC11" s="118"/>
      <c r="CAD11" s="118"/>
      <c r="CAE11" s="118"/>
      <c r="CAF11" s="118"/>
      <c r="CAG11" s="118"/>
      <c r="CAH11" s="118"/>
      <c r="CAI11" s="118"/>
      <c r="CAJ11" s="118"/>
      <c r="CAK11" s="118"/>
      <c r="CAL11" s="118"/>
      <c r="CAM11" s="118"/>
      <c r="CAN11" s="118"/>
      <c r="CAO11" s="118"/>
      <c r="CAP11" s="118"/>
      <c r="CAQ11" s="118"/>
      <c r="CAR11" s="118"/>
      <c r="CAS11" s="118"/>
      <c r="CAT11" s="118"/>
      <c r="CAU11" s="118"/>
      <c r="CAV11" s="118"/>
      <c r="CAW11" s="118"/>
      <c r="CAX11" s="118"/>
      <c r="CAY11" s="118"/>
      <c r="CAZ11" s="118"/>
      <c r="CBA11" s="118"/>
      <c r="CBB11" s="118"/>
      <c r="CBC11" s="118"/>
      <c r="CBD11" s="118"/>
      <c r="CBE11" s="118"/>
      <c r="CBF11" s="118"/>
      <c r="CBG11" s="118"/>
      <c r="CBH11" s="118"/>
      <c r="CBI11" s="118"/>
      <c r="CBJ11" s="118"/>
      <c r="CBK11" s="118"/>
      <c r="CBL11" s="118"/>
      <c r="CBM11" s="118"/>
      <c r="CBN11" s="118"/>
      <c r="CBO11" s="118"/>
      <c r="CBP11" s="118"/>
      <c r="CBQ11" s="118"/>
      <c r="CBR11" s="118"/>
      <c r="CBS11" s="118"/>
      <c r="CBT11" s="118"/>
      <c r="CBU11" s="118"/>
      <c r="CBV11" s="118"/>
      <c r="CBW11" s="118"/>
      <c r="CBX11" s="118"/>
      <c r="CBY11" s="118"/>
      <c r="CBZ11" s="118"/>
      <c r="CCA11" s="118"/>
      <c r="CCB11" s="118"/>
      <c r="CCC11" s="118"/>
      <c r="CCD11" s="118"/>
      <c r="CCE11" s="118"/>
      <c r="CCF11" s="118"/>
      <c r="CCG11" s="118"/>
      <c r="CCH11" s="118"/>
      <c r="CCI11" s="118"/>
      <c r="CCJ11" s="118"/>
      <c r="CCK11" s="118"/>
      <c r="CCL11" s="118"/>
      <c r="CCM11" s="118"/>
      <c r="CCN11" s="118"/>
      <c r="CCO11" s="118"/>
      <c r="CCP11" s="118"/>
      <c r="CCQ11" s="118"/>
      <c r="CCR11" s="118"/>
      <c r="CCS11" s="118"/>
      <c r="CCT11" s="118"/>
      <c r="CCU11" s="118"/>
      <c r="CCV11" s="118"/>
      <c r="CCW11" s="118"/>
      <c r="CCX11" s="118"/>
      <c r="CCY11" s="118"/>
      <c r="CCZ11" s="118"/>
      <c r="CDA11" s="118"/>
      <c r="CDB11" s="118"/>
      <c r="CDC11" s="118"/>
      <c r="CDD11" s="118"/>
      <c r="CDE11" s="118"/>
      <c r="CDF11" s="118"/>
      <c r="CDG11" s="118"/>
      <c r="CDH11" s="118"/>
      <c r="CDI11" s="118"/>
      <c r="CDJ11" s="118"/>
      <c r="CDK11" s="118"/>
      <c r="CDL11" s="118"/>
      <c r="CDM11" s="118"/>
      <c r="CDN11" s="118"/>
      <c r="CDO11" s="118"/>
      <c r="CDP11" s="118"/>
      <c r="CDQ11" s="118"/>
      <c r="CDR11" s="118"/>
      <c r="CDS11" s="118"/>
      <c r="CDT11" s="118"/>
      <c r="CDU11" s="118"/>
      <c r="CDV11" s="118"/>
      <c r="CDW11" s="118"/>
      <c r="CDX11" s="118"/>
      <c r="CDY11" s="118"/>
      <c r="CDZ11" s="118"/>
      <c r="CEA11" s="118"/>
      <c r="CEB11" s="118"/>
      <c r="CEC11" s="118"/>
      <c r="CED11" s="118"/>
      <c r="CEE11" s="118"/>
      <c r="CEF11" s="118"/>
      <c r="CEG11" s="118"/>
      <c r="CEH11" s="118"/>
      <c r="CEI11" s="118"/>
      <c r="CEJ11" s="118"/>
      <c r="CEK11" s="118"/>
      <c r="CEL11" s="118"/>
      <c r="CEM11" s="118"/>
      <c r="CEN11" s="118"/>
      <c r="CEO11" s="118"/>
      <c r="CEP11" s="118"/>
      <c r="CEQ11" s="118"/>
      <c r="CER11" s="118"/>
      <c r="CES11" s="118"/>
      <c r="CET11" s="118"/>
      <c r="CEU11" s="118"/>
      <c r="CEV11" s="118"/>
      <c r="CEW11" s="118"/>
      <c r="CEX11" s="118"/>
      <c r="CEY11" s="118"/>
      <c r="CEZ11" s="118"/>
      <c r="CFA11" s="118"/>
      <c r="CFB11" s="118"/>
      <c r="CFC11" s="118"/>
      <c r="CFD11" s="118"/>
      <c r="CFE11" s="118"/>
      <c r="CFF11" s="118"/>
      <c r="CFG11" s="118"/>
      <c r="CFH11" s="118"/>
      <c r="CFI11" s="118"/>
      <c r="CFJ11" s="118"/>
      <c r="CFK11" s="118"/>
      <c r="CFL11" s="118"/>
      <c r="CFM11" s="118"/>
      <c r="CFN11" s="118"/>
      <c r="CFO11" s="118"/>
      <c r="CFP11" s="118"/>
      <c r="CFQ11" s="118"/>
      <c r="CFR11" s="118"/>
      <c r="CFS11" s="118"/>
      <c r="CFT11" s="118"/>
      <c r="CFU11" s="118"/>
      <c r="CFV11" s="118"/>
      <c r="CFW11" s="118"/>
      <c r="CFX11" s="118"/>
      <c r="CFY11" s="118"/>
      <c r="CFZ11" s="118"/>
      <c r="CGA11" s="118"/>
      <c r="CGB11" s="118"/>
      <c r="CGC11" s="118"/>
      <c r="CGD11" s="118"/>
      <c r="CGE11" s="118"/>
      <c r="CGF11" s="118"/>
      <c r="CGG11" s="118"/>
      <c r="CGH11" s="118"/>
      <c r="CGI11" s="118"/>
      <c r="CGJ11" s="118"/>
      <c r="CGK11" s="118"/>
      <c r="CGL11" s="118"/>
      <c r="CGM11" s="118"/>
      <c r="CGN11" s="118"/>
      <c r="CGO11" s="118"/>
      <c r="CGP11" s="118"/>
      <c r="CGQ11" s="118"/>
      <c r="CGR11" s="118"/>
      <c r="CGS11" s="118"/>
      <c r="CGT11" s="118"/>
      <c r="CGU11" s="118"/>
      <c r="CGV11" s="118"/>
      <c r="CGW11" s="118"/>
      <c r="CGX11" s="118"/>
      <c r="CGY11" s="118"/>
      <c r="CGZ11" s="118"/>
      <c r="CHA11" s="118"/>
      <c r="CHB11" s="118"/>
      <c r="CHC11" s="118"/>
      <c r="CHD11" s="118"/>
      <c r="CHE11" s="118"/>
      <c r="CHF11" s="118"/>
      <c r="CHG11" s="118"/>
      <c r="CHH11" s="118"/>
      <c r="CHI11" s="118"/>
      <c r="CHJ11" s="118"/>
      <c r="CHK11" s="118"/>
      <c r="CHL11" s="118"/>
      <c r="CHM11" s="118"/>
      <c r="CHN11" s="118"/>
      <c r="CHO11" s="118"/>
      <c r="CHP11" s="118"/>
      <c r="CHQ11" s="118"/>
      <c r="CHR11" s="118"/>
      <c r="CHS11" s="118"/>
      <c r="CHT11" s="118"/>
      <c r="CHU11" s="118"/>
      <c r="CHV11" s="118"/>
      <c r="CHW11" s="118"/>
      <c r="CHX11" s="118"/>
      <c r="CHY11" s="118"/>
      <c r="CHZ11" s="118"/>
      <c r="CIA11" s="118"/>
      <c r="CIB11" s="118"/>
      <c r="CIC11" s="118"/>
      <c r="CID11" s="118"/>
      <c r="CIE11" s="118"/>
      <c r="CIF11" s="118"/>
      <c r="CIG11" s="118"/>
      <c r="CIH11" s="118"/>
      <c r="CII11" s="118"/>
      <c r="CIJ11" s="118"/>
      <c r="CIK11" s="118"/>
      <c r="CIL11" s="118"/>
      <c r="CIM11" s="118"/>
      <c r="CIN11" s="118"/>
      <c r="CIO11" s="118"/>
      <c r="CIP11" s="118"/>
      <c r="CIQ11" s="118"/>
      <c r="CIR11" s="118"/>
      <c r="CIS11" s="118"/>
      <c r="CIT11" s="118"/>
      <c r="CIU11" s="118"/>
      <c r="CIV11" s="118"/>
      <c r="CIW11" s="118"/>
      <c r="CIX11" s="118"/>
      <c r="CIY11" s="118"/>
      <c r="CIZ11" s="118"/>
      <c r="CJA11" s="118"/>
      <c r="CJB11" s="118"/>
      <c r="CJC11" s="118"/>
      <c r="CJD11" s="118"/>
      <c r="CJE11" s="118"/>
      <c r="CJF11" s="118"/>
      <c r="CJG11" s="118"/>
      <c r="CJH11" s="118"/>
      <c r="CJI11" s="118"/>
      <c r="CJJ11" s="118"/>
      <c r="CJK11" s="118"/>
      <c r="CJL11" s="118"/>
      <c r="CJM11" s="118"/>
      <c r="CJN11" s="118"/>
      <c r="CJO11" s="118"/>
      <c r="CJP11" s="118"/>
      <c r="CJQ11" s="118"/>
      <c r="CJR11" s="118"/>
      <c r="CJS11" s="118"/>
      <c r="CJT11" s="118"/>
      <c r="CJU11" s="118"/>
      <c r="CJV11" s="118"/>
      <c r="CJW11" s="118"/>
      <c r="CJX11" s="118"/>
      <c r="CJY11" s="118"/>
      <c r="CJZ11" s="118"/>
      <c r="CKA11" s="118"/>
      <c r="CKB11" s="118"/>
      <c r="CKC11" s="118"/>
      <c r="CKD11" s="118"/>
      <c r="CKE11" s="118"/>
      <c r="CKF11" s="118"/>
      <c r="CKG11" s="118"/>
      <c r="CKH11" s="118"/>
      <c r="CKI11" s="118"/>
      <c r="CKJ11" s="118"/>
      <c r="CKK11" s="118"/>
      <c r="CKL11" s="118"/>
      <c r="CKM11" s="118"/>
      <c r="CKN11" s="118"/>
      <c r="CKO11" s="118"/>
      <c r="CKP11" s="118"/>
      <c r="CKQ11" s="118"/>
      <c r="CKR11" s="118"/>
      <c r="CKS11" s="118"/>
      <c r="CKT11" s="118"/>
      <c r="CKU11" s="118"/>
      <c r="CKV11" s="118"/>
      <c r="CKW11" s="118"/>
      <c r="CKX11" s="118"/>
      <c r="CKY11" s="118"/>
      <c r="CKZ11" s="118"/>
      <c r="CLA11" s="118"/>
      <c r="CLB11" s="118"/>
      <c r="CLC11" s="118"/>
      <c r="CLD11" s="118"/>
      <c r="CLE11" s="118"/>
      <c r="CLF11" s="118"/>
      <c r="CLG11" s="118"/>
      <c r="CLH11" s="118"/>
      <c r="CLI11" s="118"/>
      <c r="CLJ11" s="118"/>
      <c r="CLK11" s="118"/>
      <c r="CLL11" s="118"/>
      <c r="CLM11" s="118"/>
      <c r="CLN11" s="118"/>
      <c r="CLO11" s="118"/>
      <c r="CLP11" s="118"/>
      <c r="CLQ11" s="118"/>
      <c r="CLR11" s="118"/>
      <c r="CLS11" s="118"/>
      <c r="CLT11" s="118"/>
      <c r="CLU11" s="118"/>
      <c r="CLV11" s="118"/>
      <c r="CLW11" s="118"/>
      <c r="CLX11" s="118"/>
      <c r="CLY11" s="118"/>
      <c r="CLZ11" s="118"/>
      <c r="CMA11" s="118"/>
      <c r="CMB11" s="118"/>
      <c r="CMC11" s="118"/>
      <c r="CMD11" s="118"/>
      <c r="CME11" s="118"/>
      <c r="CMF11" s="118"/>
      <c r="CMG11" s="118"/>
      <c r="CMH11" s="118"/>
      <c r="CMI11" s="118"/>
      <c r="CMJ11" s="118"/>
      <c r="CMK11" s="118"/>
      <c r="CML11" s="118"/>
      <c r="CMM11" s="118"/>
      <c r="CMN11" s="118"/>
      <c r="CMO11" s="118"/>
      <c r="CMP11" s="118"/>
      <c r="CMQ11" s="118"/>
      <c r="CMR11" s="118"/>
      <c r="CMS11" s="118"/>
      <c r="CMT11" s="118"/>
      <c r="CMU11" s="118"/>
      <c r="CMV11" s="118"/>
      <c r="CMW11" s="118"/>
      <c r="CMX11" s="118"/>
      <c r="CMY11" s="118"/>
      <c r="CMZ11" s="118"/>
      <c r="CNA11" s="118"/>
      <c r="CNB11" s="118"/>
      <c r="CNC11" s="118"/>
      <c r="CND11" s="118"/>
      <c r="CNE11" s="118"/>
      <c r="CNF11" s="118"/>
      <c r="CNG11" s="118"/>
      <c r="CNH11" s="118"/>
      <c r="CNI11" s="118"/>
      <c r="CNJ11" s="118"/>
      <c r="CNK11" s="118"/>
      <c r="CNL11" s="118"/>
      <c r="CNM11" s="118"/>
      <c r="CNN11" s="118"/>
      <c r="CNO11" s="118"/>
      <c r="CNP11" s="118"/>
      <c r="CNQ11" s="118"/>
      <c r="CNR11" s="118"/>
      <c r="CNS11" s="118"/>
      <c r="CNT11" s="118"/>
      <c r="CNU11" s="118"/>
      <c r="CNV11" s="118"/>
      <c r="CNW11" s="118"/>
      <c r="CNX11" s="118"/>
      <c r="CNY11" s="118"/>
      <c r="CNZ11" s="118"/>
      <c r="COA11" s="118"/>
      <c r="COB11" s="118"/>
      <c r="COC11" s="118"/>
      <c r="COD11" s="118"/>
      <c r="COE11" s="118"/>
      <c r="COF11" s="118"/>
      <c r="COG11" s="118"/>
      <c r="COH11" s="118"/>
      <c r="COI11" s="118"/>
      <c r="COJ11" s="118"/>
      <c r="COK11" s="118"/>
      <c r="COL11" s="118"/>
      <c r="COM11" s="118"/>
      <c r="CON11" s="118"/>
      <c r="COO11" s="118"/>
      <c r="COP11" s="118"/>
      <c r="COQ11" s="118"/>
      <c r="COR11" s="118"/>
      <c r="COS11" s="118"/>
      <c r="COT11" s="118"/>
      <c r="COU11" s="118"/>
      <c r="COV11" s="118"/>
      <c r="COW11" s="118"/>
      <c r="COX11" s="118"/>
      <c r="COY11" s="118"/>
      <c r="COZ11" s="118"/>
      <c r="CPA11" s="118"/>
      <c r="CPB11" s="118"/>
      <c r="CPC11" s="118"/>
      <c r="CPD11" s="118"/>
      <c r="CPE11" s="118"/>
      <c r="CPF11" s="118"/>
      <c r="CPG11" s="118"/>
      <c r="CPH11" s="118"/>
      <c r="CPI11" s="118"/>
      <c r="CPJ11" s="118"/>
      <c r="CPK11" s="118"/>
      <c r="CPL11" s="118"/>
      <c r="CPM11" s="118"/>
      <c r="CPN11" s="118"/>
      <c r="CPO11" s="118"/>
      <c r="CPP11" s="118"/>
      <c r="CPQ11" s="118"/>
      <c r="CPR11" s="118"/>
      <c r="CPS11" s="118"/>
      <c r="CPT11" s="118"/>
      <c r="CPU11" s="118"/>
      <c r="CPV11" s="118"/>
      <c r="CPW11" s="118"/>
      <c r="CPX11" s="118"/>
      <c r="CPY11" s="118"/>
      <c r="CPZ11" s="118"/>
      <c r="CQA11" s="118"/>
      <c r="CQB11" s="118"/>
      <c r="CQC11" s="118"/>
      <c r="CQD11" s="118"/>
      <c r="CQE11" s="118"/>
      <c r="CQF11" s="118"/>
      <c r="CQG11" s="118"/>
      <c r="CQH11" s="118"/>
      <c r="CQI11" s="118"/>
      <c r="CQJ11" s="118"/>
      <c r="CQK11" s="118"/>
      <c r="CQL11" s="118"/>
      <c r="CQM11" s="118"/>
      <c r="CQN11" s="118"/>
      <c r="CQO11" s="118"/>
      <c r="CQP11" s="118"/>
      <c r="CQQ11" s="118"/>
      <c r="CQR11" s="118"/>
      <c r="CQS11" s="118"/>
      <c r="CQT11" s="118"/>
      <c r="CQU11" s="118"/>
      <c r="CQV11" s="118"/>
      <c r="CQW11" s="118"/>
      <c r="CQX11" s="118"/>
      <c r="CQY11" s="118"/>
      <c r="CQZ11" s="118"/>
      <c r="CRA11" s="118"/>
      <c r="CRB11" s="118"/>
      <c r="CRC11" s="118"/>
      <c r="CRD11" s="118"/>
      <c r="CRE11" s="118"/>
      <c r="CRF11" s="118"/>
      <c r="CRG11" s="118"/>
      <c r="CRH11" s="118"/>
      <c r="CRI11" s="118"/>
      <c r="CRJ11" s="118"/>
      <c r="CRK11" s="118"/>
      <c r="CRL11" s="118"/>
      <c r="CRM11" s="118"/>
      <c r="CRN11" s="118"/>
      <c r="CRO11" s="118"/>
      <c r="CRP11" s="118"/>
      <c r="CRQ11" s="118"/>
      <c r="CRR11" s="118"/>
      <c r="CRS11" s="118"/>
      <c r="CRT11" s="118"/>
      <c r="CRU11" s="118"/>
      <c r="CRV11" s="118"/>
      <c r="CRW11" s="118"/>
      <c r="CRX11" s="118"/>
      <c r="CRY11" s="118"/>
      <c r="CRZ11" s="118"/>
      <c r="CSA11" s="118"/>
      <c r="CSB11" s="118"/>
      <c r="CSC11" s="118"/>
      <c r="CSD11" s="118"/>
      <c r="CSE11" s="118"/>
      <c r="CSF11" s="118"/>
      <c r="CSG11" s="118"/>
      <c r="CSH11" s="118"/>
      <c r="CSI11" s="118"/>
      <c r="CSJ11" s="118"/>
      <c r="CSK11" s="118"/>
      <c r="CSL11" s="118"/>
      <c r="CSM11" s="118"/>
      <c r="CSN11" s="118"/>
      <c r="CSO11" s="118"/>
      <c r="CSP11" s="118"/>
      <c r="CSQ11" s="118"/>
      <c r="CSR11" s="118"/>
      <c r="CSS11" s="118"/>
      <c r="CST11" s="118"/>
      <c r="CSU11" s="118"/>
      <c r="CSV11" s="118"/>
      <c r="CSW11" s="118"/>
      <c r="CSX11" s="118"/>
      <c r="CSY11" s="118"/>
      <c r="CSZ11" s="118"/>
      <c r="CTA11" s="118"/>
      <c r="CTB11" s="118"/>
      <c r="CTC11" s="118"/>
      <c r="CTD11" s="118"/>
      <c r="CTE11" s="118"/>
      <c r="CTF11" s="118"/>
      <c r="CTG11" s="118"/>
      <c r="CTH11" s="118"/>
      <c r="CTI11" s="118"/>
      <c r="CTJ11" s="118"/>
      <c r="CTK11" s="118"/>
      <c r="CTL11" s="118"/>
      <c r="CTM11" s="118"/>
      <c r="CTN11" s="118"/>
      <c r="CTO11" s="118"/>
      <c r="CTP11" s="118"/>
      <c r="CTQ11" s="118"/>
      <c r="CTR11" s="118"/>
      <c r="CTS11" s="118"/>
      <c r="CTT11" s="118"/>
      <c r="CTU11" s="118"/>
      <c r="CTV11" s="118"/>
      <c r="CTW11" s="118"/>
      <c r="CTX11" s="118"/>
      <c r="CTY11" s="118"/>
      <c r="CTZ11" s="118"/>
      <c r="CUA11" s="118"/>
      <c r="CUB11" s="118"/>
      <c r="CUC11" s="118"/>
      <c r="CUD11" s="118"/>
      <c r="CUE11" s="118"/>
      <c r="CUF11" s="118"/>
      <c r="CUG11" s="118"/>
      <c r="CUH11" s="118"/>
      <c r="CUI11" s="118"/>
      <c r="CUJ11" s="118"/>
      <c r="CUK11" s="118"/>
      <c r="CUL11" s="118"/>
      <c r="CUM11" s="118"/>
      <c r="CUN11" s="118"/>
      <c r="CUO11" s="118"/>
      <c r="CUP11" s="118"/>
      <c r="CUQ11" s="118"/>
      <c r="CUR11" s="118"/>
      <c r="CUS11" s="118"/>
      <c r="CUT11" s="118"/>
      <c r="CUU11" s="118"/>
      <c r="CUV11" s="118"/>
      <c r="CUW11" s="118"/>
      <c r="CUX11" s="118"/>
      <c r="CUY11" s="118"/>
      <c r="CUZ11" s="118"/>
      <c r="CVA11" s="118"/>
      <c r="CVB11" s="118"/>
      <c r="CVC11" s="118"/>
      <c r="CVD11" s="118"/>
      <c r="CVE11" s="118"/>
      <c r="CVF11" s="118"/>
      <c r="CVG11" s="118"/>
      <c r="CVH11" s="118"/>
      <c r="CVI11" s="118"/>
      <c r="CVJ11" s="118"/>
      <c r="CVK11" s="118"/>
      <c r="CVL11" s="118"/>
      <c r="CVM11" s="118"/>
      <c r="CVN11" s="118"/>
      <c r="CVO11" s="118"/>
      <c r="CVP11" s="118"/>
      <c r="CVQ11" s="118"/>
      <c r="CVR11" s="118"/>
      <c r="CVS11" s="118"/>
      <c r="CVT11" s="118"/>
      <c r="CVU11" s="118"/>
      <c r="CVV11" s="118"/>
      <c r="CVW11" s="118"/>
      <c r="CVX11" s="118"/>
      <c r="CVY11" s="118"/>
      <c r="CVZ11" s="118"/>
      <c r="CWA11" s="118"/>
      <c r="CWB11" s="118"/>
      <c r="CWC11" s="118"/>
      <c r="CWD11" s="118"/>
      <c r="CWE11" s="118"/>
      <c r="CWF11" s="118"/>
      <c r="CWG11" s="118"/>
      <c r="CWH11" s="118"/>
      <c r="CWI11" s="118"/>
      <c r="CWJ11" s="118"/>
      <c r="CWK11" s="118"/>
      <c r="CWL11" s="118"/>
      <c r="CWM11" s="118"/>
      <c r="CWN11" s="118"/>
      <c r="CWO11" s="118"/>
      <c r="CWP11" s="118"/>
      <c r="CWQ11" s="118"/>
      <c r="CWR11" s="118"/>
      <c r="CWS11" s="118"/>
      <c r="CWT11" s="118"/>
      <c r="CWU11" s="118"/>
      <c r="CWV11" s="118"/>
      <c r="CWW11" s="118"/>
      <c r="CWX11" s="118"/>
      <c r="CWY11" s="118"/>
      <c r="CWZ11" s="118"/>
      <c r="CXA11" s="118"/>
      <c r="CXB11" s="118"/>
      <c r="CXC11" s="118"/>
      <c r="CXD11" s="118"/>
      <c r="CXE11" s="118"/>
      <c r="CXF11" s="118"/>
      <c r="CXG11" s="118"/>
      <c r="CXH11" s="118"/>
      <c r="CXI11" s="118"/>
      <c r="CXJ11" s="118"/>
      <c r="CXK11" s="118"/>
      <c r="CXL11" s="118"/>
      <c r="CXM11" s="118"/>
      <c r="CXN11" s="118"/>
      <c r="CXO11" s="118"/>
      <c r="CXP11" s="118"/>
      <c r="CXQ11" s="118"/>
      <c r="CXR11" s="118"/>
      <c r="CXS11" s="118"/>
      <c r="CXT11" s="118"/>
      <c r="CXU11" s="118"/>
      <c r="CXV11" s="118"/>
      <c r="CXW11" s="118"/>
      <c r="CXX11" s="118"/>
      <c r="CXY11" s="118"/>
      <c r="CXZ11" s="118"/>
      <c r="CYA11" s="118"/>
      <c r="CYB11" s="118"/>
      <c r="CYC11" s="118"/>
      <c r="CYD11" s="118"/>
      <c r="CYE11" s="118"/>
      <c r="CYF11" s="118"/>
      <c r="CYG11" s="118"/>
      <c r="CYH11" s="118"/>
      <c r="CYI11" s="118"/>
      <c r="CYJ11" s="118"/>
      <c r="CYK11" s="118"/>
      <c r="CYL11" s="118"/>
      <c r="CYM11" s="118"/>
      <c r="CYN11" s="118"/>
      <c r="CYO11" s="118"/>
      <c r="CYP11" s="118"/>
      <c r="CYQ11" s="118"/>
      <c r="CYR11" s="118"/>
      <c r="CYS11" s="118"/>
      <c r="CYT11" s="118"/>
      <c r="CYU11" s="118"/>
      <c r="CYV11" s="118"/>
      <c r="CYW11" s="118"/>
      <c r="CYX11" s="118"/>
      <c r="CYY11" s="118"/>
      <c r="CYZ11" s="118"/>
      <c r="CZA11" s="118"/>
      <c r="CZB11" s="118"/>
      <c r="CZC11" s="118"/>
      <c r="CZD11" s="118"/>
      <c r="CZE11" s="118"/>
      <c r="CZF11" s="118"/>
      <c r="CZG11" s="118"/>
      <c r="CZH11" s="118"/>
      <c r="CZI11" s="118"/>
      <c r="CZJ11" s="118"/>
      <c r="CZK11" s="118"/>
      <c r="CZL11" s="118"/>
      <c r="CZM11" s="118"/>
      <c r="CZN11" s="118"/>
      <c r="CZO11" s="118"/>
      <c r="CZP11" s="118"/>
      <c r="CZQ11" s="118"/>
      <c r="CZR11" s="118"/>
      <c r="CZS11" s="118"/>
      <c r="CZT11" s="118"/>
      <c r="CZU11" s="118"/>
      <c r="CZV11" s="118"/>
      <c r="CZW11" s="118"/>
      <c r="CZX11" s="118"/>
      <c r="CZY11" s="118"/>
      <c r="CZZ11" s="118"/>
      <c r="DAA11" s="118"/>
      <c r="DAB11" s="118"/>
      <c r="DAC11" s="118"/>
      <c r="DAD11" s="118"/>
      <c r="DAE11" s="118"/>
      <c r="DAF11" s="118"/>
      <c r="DAG11" s="118"/>
      <c r="DAH11" s="118"/>
      <c r="DAI11" s="118"/>
      <c r="DAJ11" s="118"/>
      <c r="DAK11" s="118"/>
      <c r="DAL11" s="118"/>
      <c r="DAM11" s="118"/>
      <c r="DAN11" s="118"/>
      <c r="DAO11" s="118"/>
      <c r="DAP11" s="118"/>
      <c r="DAQ11" s="118"/>
      <c r="DAR11" s="118"/>
      <c r="DAS11" s="118"/>
      <c r="DAT11" s="118"/>
      <c r="DAU11" s="118"/>
      <c r="DAV11" s="118"/>
      <c r="DAW11" s="118"/>
      <c r="DAX11" s="118"/>
      <c r="DAY11" s="118"/>
      <c r="DAZ11" s="118"/>
      <c r="DBA11" s="118"/>
      <c r="DBB11" s="118"/>
      <c r="DBC11" s="118"/>
      <c r="DBD11" s="118"/>
      <c r="DBE11" s="118"/>
      <c r="DBF11" s="118"/>
      <c r="DBG11" s="118"/>
      <c r="DBH11" s="118"/>
      <c r="DBI11" s="118"/>
      <c r="DBJ11" s="118"/>
      <c r="DBK11" s="118"/>
      <c r="DBL11" s="118"/>
      <c r="DBM11" s="118"/>
      <c r="DBN11" s="118"/>
      <c r="DBO11" s="118"/>
      <c r="DBP11" s="118"/>
      <c r="DBQ11" s="118"/>
      <c r="DBR11" s="118"/>
      <c r="DBS11" s="118"/>
      <c r="DBT11" s="118"/>
      <c r="DBU11" s="118"/>
      <c r="DBV11" s="118"/>
      <c r="DBW11" s="118"/>
      <c r="DBX11" s="118"/>
      <c r="DBY11" s="118"/>
      <c r="DBZ11" s="118"/>
      <c r="DCA11" s="118"/>
      <c r="DCB11" s="118"/>
      <c r="DCC11" s="118"/>
      <c r="DCD11" s="118"/>
      <c r="DCE11" s="118"/>
      <c r="DCF11" s="118"/>
      <c r="DCG11" s="118"/>
      <c r="DCH11" s="118"/>
      <c r="DCI11" s="118"/>
      <c r="DCJ11" s="118"/>
      <c r="DCK11" s="118"/>
      <c r="DCL11" s="118"/>
      <c r="DCM11" s="118"/>
      <c r="DCN11" s="118"/>
      <c r="DCO11" s="118"/>
      <c r="DCP11" s="118"/>
      <c r="DCQ11" s="118"/>
      <c r="DCR11" s="118"/>
      <c r="DCS11" s="118"/>
      <c r="DCT11" s="118"/>
      <c r="DCU11" s="118"/>
      <c r="DCV11" s="118"/>
      <c r="DCW11" s="118"/>
      <c r="DCX11" s="118"/>
      <c r="DCY11" s="118"/>
      <c r="DCZ11" s="118"/>
      <c r="DDA11" s="118"/>
      <c r="DDB11" s="118"/>
      <c r="DDC11" s="118"/>
      <c r="DDD11" s="118"/>
      <c r="DDE11" s="118"/>
      <c r="DDF11" s="118"/>
      <c r="DDG11" s="118"/>
      <c r="DDH11" s="118"/>
      <c r="DDI11" s="118"/>
      <c r="DDJ11" s="118"/>
      <c r="DDK11" s="118"/>
      <c r="DDL11" s="118"/>
      <c r="DDM11" s="118"/>
      <c r="DDN11" s="118"/>
      <c r="DDO11" s="118"/>
      <c r="DDP11" s="118"/>
      <c r="DDQ11" s="118"/>
      <c r="DDR11" s="118"/>
      <c r="DDS11" s="118"/>
      <c r="DDT11" s="118"/>
      <c r="DDU11" s="118"/>
      <c r="DDV11" s="118"/>
      <c r="DDW11" s="118"/>
      <c r="DDX11" s="118"/>
      <c r="DDY11" s="118"/>
      <c r="DDZ11" s="118"/>
      <c r="DEA11" s="118"/>
      <c r="DEB11" s="118"/>
      <c r="DEC11" s="118"/>
      <c r="DED11" s="118"/>
      <c r="DEE11" s="118"/>
      <c r="DEF11" s="118"/>
      <c r="DEG11" s="118"/>
      <c r="DEH11" s="118"/>
      <c r="DEI11" s="118"/>
      <c r="DEJ11" s="118"/>
      <c r="DEK11" s="118"/>
      <c r="DEL11" s="118"/>
      <c r="DEM11" s="118"/>
      <c r="DEN11" s="118"/>
      <c r="DEO11" s="118"/>
      <c r="DEP11" s="118"/>
      <c r="DEQ11" s="118"/>
      <c r="DER11" s="118"/>
      <c r="DES11" s="118"/>
      <c r="DET11" s="118"/>
      <c r="DEU11" s="118"/>
      <c r="DEV11" s="118"/>
      <c r="DEW11" s="118"/>
      <c r="DEX11" s="118"/>
      <c r="DEY11" s="118"/>
      <c r="DEZ11" s="118"/>
      <c r="DFA11" s="118"/>
      <c r="DFB11" s="118"/>
      <c r="DFC11" s="118"/>
      <c r="DFD11" s="118"/>
      <c r="DFE11" s="118"/>
      <c r="DFF11" s="118"/>
      <c r="DFG11" s="118"/>
      <c r="DFH11" s="118"/>
      <c r="DFI11" s="118"/>
      <c r="DFJ11" s="118"/>
      <c r="DFK11" s="118"/>
      <c r="DFL11" s="118"/>
      <c r="DFM11" s="118"/>
      <c r="DFN11" s="118"/>
      <c r="DFO11" s="118"/>
      <c r="DFP11" s="118"/>
      <c r="DFQ11" s="118"/>
      <c r="DFR11" s="118"/>
      <c r="DFS11" s="118"/>
      <c r="DFT11" s="118"/>
      <c r="DFU11" s="118"/>
      <c r="DFV11" s="118"/>
      <c r="DFW11" s="118"/>
      <c r="DFX11" s="118"/>
      <c r="DFY11" s="118"/>
      <c r="DFZ11" s="118"/>
      <c r="DGA11" s="118"/>
      <c r="DGB11" s="118"/>
      <c r="DGC11" s="118"/>
      <c r="DGD11" s="118"/>
      <c r="DGE11" s="118"/>
      <c r="DGF11" s="118"/>
      <c r="DGG11" s="118"/>
      <c r="DGH11" s="118"/>
      <c r="DGI11" s="118"/>
      <c r="DGJ11" s="118"/>
      <c r="DGK11" s="118"/>
      <c r="DGL11" s="118"/>
      <c r="DGM11" s="118"/>
      <c r="DGN11" s="118"/>
      <c r="DGO11" s="118"/>
      <c r="DGP11" s="118"/>
      <c r="DGQ11" s="118"/>
      <c r="DGR11" s="118"/>
      <c r="DGS11" s="118"/>
      <c r="DGT11" s="118"/>
      <c r="DGU11" s="118"/>
      <c r="DGV11" s="118"/>
      <c r="DGW11" s="118"/>
      <c r="DGX11" s="118"/>
      <c r="DGY11" s="118"/>
      <c r="DGZ11" s="118"/>
      <c r="DHA11" s="118"/>
      <c r="DHB11" s="118"/>
      <c r="DHC11" s="118"/>
      <c r="DHD11" s="118"/>
      <c r="DHE11" s="118"/>
      <c r="DHF11" s="118"/>
      <c r="DHG11" s="118"/>
      <c r="DHH11" s="118"/>
      <c r="DHI11" s="118"/>
      <c r="DHJ11" s="118"/>
      <c r="DHK11" s="118"/>
      <c r="DHL11" s="118"/>
      <c r="DHM11" s="118"/>
      <c r="DHN11" s="118"/>
      <c r="DHO11" s="118"/>
      <c r="DHP11" s="118"/>
      <c r="DHQ11" s="118"/>
      <c r="DHR11" s="118"/>
      <c r="DHS11" s="118"/>
      <c r="DHT11" s="118"/>
      <c r="DHU11" s="118"/>
      <c r="DHV11" s="118"/>
      <c r="DHW11" s="118"/>
      <c r="DHX11" s="118"/>
      <c r="DHY11" s="118"/>
      <c r="DHZ11" s="118"/>
      <c r="DIA11" s="118"/>
      <c r="DIB11" s="118"/>
      <c r="DIC11" s="118"/>
      <c r="DID11" s="118"/>
      <c r="DIE11" s="118"/>
      <c r="DIF11" s="118"/>
      <c r="DIG11" s="118"/>
      <c r="DIH11" s="118"/>
      <c r="DII11" s="118"/>
      <c r="DIJ11" s="118"/>
      <c r="DIK11" s="118"/>
      <c r="DIL11" s="118"/>
      <c r="DIM11" s="118"/>
      <c r="DIN11" s="118"/>
      <c r="DIO11" s="118"/>
      <c r="DIP11" s="118"/>
      <c r="DIQ11" s="118"/>
      <c r="DIR11" s="118"/>
      <c r="DIS11" s="118"/>
      <c r="DIT11" s="118"/>
      <c r="DIU11" s="118"/>
      <c r="DIV11" s="118"/>
      <c r="DIW11" s="118"/>
      <c r="DIX11" s="118"/>
      <c r="DIY11" s="118"/>
      <c r="DIZ11" s="118"/>
      <c r="DJA11" s="118"/>
      <c r="DJB11" s="118"/>
      <c r="DJC11" s="118"/>
      <c r="DJD11" s="118"/>
      <c r="DJE11" s="118"/>
      <c r="DJF11" s="118"/>
      <c r="DJG11" s="118"/>
      <c r="DJH11" s="118"/>
      <c r="DJI11" s="118"/>
      <c r="DJJ11" s="118"/>
      <c r="DJK11" s="118"/>
      <c r="DJL11" s="118"/>
      <c r="DJM11" s="118"/>
      <c r="DJN11" s="118"/>
      <c r="DJO11" s="118"/>
      <c r="DJP11" s="118"/>
      <c r="DJQ11" s="118"/>
      <c r="DJR11" s="118"/>
      <c r="DJS11" s="118"/>
      <c r="DJT11" s="118"/>
      <c r="DJU11" s="118"/>
      <c r="DJV11" s="118"/>
      <c r="DJW11" s="118"/>
      <c r="DJX11" s="118"/>
      <c r="DJY11" s="118"/>
      <c r="DJZ11" s="118"/>
      <c r="DKA11" s="118"/>
      <c r="DKB11" s="118"/>
      <c r="DKC11" s="118"/>
      <c r="DKD11" s="118"/>
      <c r="DKE11" s="118"/>
      <c r="DKF11" s="118"/>
      <c r="DKG11" s="118"/>
      <c r="DKH11" s="118"/>
      <c r="DKI11" s="118"/>
      <c r="DKJ11" s="118"/>
      <c r="DKK11" s="118"/>
      <c r="DKL11" s="118"/>
      <c r="DKM11" s="118"/>
      <c r="DKN11" s="118"/>
      <c r="DKO11" s="118"/>
      <c r="DKP11" s="118"/>
      <c r="DKQ11" s="118"/>
      <c r="DKR11" s="118"/>
      <c r="DKS11" s="118"/>
      <c r="DKT11" s="118"/>
      <c r="DKU11" s="118"/>
      <c r="DKV11" s="118"/>
      <c r="DKW11" s="118"/>
      <c r="DKX11" s="118"/>
      <c r="DKY11" s="118"/>
      <c r="DKZ11" s="118"/>
      <c r="DLA11" s="118"/>
      <c r="DLB11" s="118"/>
      <c r="DLC11" s="118"/>
      <c r="DLD11" s="118"/>
      <c r="DLE11" s="118"/>
      <c r="DLF11" s="118"/>
      <c r="DLG11" s="118"/>
      <c r="DLH11" s="118"/>
      <c r="DLI11" s="118"/>
      <c r="DLJ11" s="118"/>
      <c r="DLK11" s="118"/>
      <c r="DLL11" s="118"/>
      <c r="DLM11" s="118"/>
      <c r="DLN11" s="118"/>
      <c r="DLO11" s="118"/>
      <c r="DLP11" s="118"/>
      <c r="DLQ11" s="118"/>
      <c r="DLR11" s="118"/>
      <c r="DLS11" s="118"/>
      <c r="DLT11" s="118"/>
      <c r="DLU11" s="118"/>
      <c r="DLV11" s="118"/>
      <c r="DLW11" s="118"/>
      <c r="DLX11" s="118"/>
      <c r="DLY11" s="118"/>
      <c r="DLZ11" s="118"/>
      <c r="DMA11" s="118"/>
      <c r="DMB11" s="118"/>
      <c r="DMC11" s="118"/>
      <c r="DMD11" s="118"/>
      <c r="DME11" s="118"/>
      <c r="DMF11" s="118"/>
      <c r="DMG11" s="118"/>
      <c r="DMH11" s="118"/>
      <c r="DMI11" s="118"/>
      <c r="DMJ11" s="118"/>
      <c r="DMK11" s="118"/>
      <c r="DML11" s="118"/>
      <c r="DMM11" s="118"/>
      <c r="DMN11" s="118"/>
      <c r="DMO11" s="118"/>
      <c r="DMP11" s="118"/>
      <c r="DMQ11" s="118"/>
      <c r="DMR11" s="118"/>
      <c r="DMS11" s="118"/>
      <c r="DMT11" s="118"/>
      <c r="DMU11" s="118"/>
      <c r="DMV11" s="118"/>
      <c r="DMW11" s="118"/>
      <c r="DMX11" s="118"/>
      <c r="DMY11" s="118"/>
      <c r="DMZ11" s="118"/>
      <c r="DNA11" s="118"/>
      <c r="DNB11" s="118"/>
      <c r="DNC11" s="118"/>
      <c r="DND11" s="118"/>
      <c r="DNE11" s="118"/>
      <c r="DNF11" s="118"/>
      <c r="DNG11" s="118"/>
      <c r="DNH11" s="118"/>
      <c r="DNI11" s="118"/>
      <c r="DNJ11" s="118"/>
      <c r="DNK11" s="118"/>
      <c r="DNL11" s="118"/>
      <c r="DNM11" s="118"/>
      <c r="DNN11" s="118"/>
      <c r="DNO11" s="118"/>
      <c r="DNP11" s="118"/>
      <c r="DNQ11" s="118"/>
      <c r="DNR11" s="118"/>
      <c r="DNS11" s="118"/>
      <c r="DNT11" s="118"/>
      <c r="DNU11" s="118"/>
      <c r="DNV11" s="118"/>
      <c r="DNW11" s="118"/>
      <c r="DNX11" s="118"/>
      <c r="DNY11" s="118"/>
      <c r="DNZ11" s="118"/>
      <c r="DOA11" s="118"/>
      <c r="DOB11" s="118"/>
      <c r="DOC11" s="118"/>
      <c r="DOD11" s="118"/>
      <c r="DOE11" s="118"/>
      <c r="DOF11" s="118"/>
      <c r="DOG11" s="118"/>
      <c r="DOH11" s="118"/>
      <c r="DOI11" s="118"/>
      <c r="DOJ11" s="118"/>
      <c r="DOK11" s="118"/>
      <c r="DOL11" s="118"/>
      <c r="DOM11" s="118"/>
      <c r="DON11" s="118"/>
      <c r="DOO11" s="118"/>
      <c r="DOP11" s="118"/>
      <c r="DOQ11" s="118"/>
      <c r="DOR11" s="118"/>
      <c r="DOS11" s="118"/>
      <c r="DOT11" s="118"/>
      <c r="DOU11" s="118"/>
      <c r="DOV11" s="118"/>
      <c r="DOW11" s="118"/>
      <c r="DOX11" s="118"/>
      <c r="DOY11" s="118"/>
      <c r="DOZ11" s="118"/>
      <c r="DPA11" s="118"/>
      <c r="DPB11" s="118"/>
      <c r="DPC11" s="118"/>
      <c r="DPD11" s="118"/>
      <c r="DPE11" s="118"/>
      <c r="DPF11" s="118"/>
      <c r="DPG11" s="118"/>
      <c r="DPH11" s="118"/>
      <c r="DPI11" s="118"/>
      <c r="DPJ11" s="118"/>
      <c r="DPK11" s="118"/>
      <c r="DPL11" s="118"/>
      <c r="DPM11" s="118"/>
      <c r="DPN11" s="118"/>
      <c r="DPO11" s="118"/>
      <c r="DPP11" s="118"/>
      <c r="DPQ11" s="118"/>
      <c r="DPR11" s="118"/>
      <c r="DPS11" s="118"/>
      <c r="DPT11" s="118"/>
      <c r="DPU11" s="118"/>
      <c r="DPV11" s="118"/>
      <c r="DPW11" s="118"/>
      <c r="DPX11" s="118"/>
      <c r="DPY11" s="118"/>
      <c r="DPZ11" s="118"/>
      <c r="DQA11" s="118"/>
      <c r="DQB11" s="118"/>
      <c r="DQC11" s="118"/>
      <c r="DQD11" s="118"/>
      <c r="DQE11" s="118"/>
      <c r="DQF11" s="118"/>
      <c r="DQG11" s="118"/>
      <c r="DQH11" s="118"/>
      <c r="DQI11" s="118"/>
      <c r="DQJ11" s="118"/>
      <c r="DQK11" s="118"/>
      <c r="DQL11" s="118"/>
      <c r="DQM11" s="118"/>
      <c r="DQN11" s="118"/>
      <c r="DQO11" s="118"/>
      <c r="DQP11" s="118"/>
      <c r="DQQ11" s="118"/>
      <c r="DQR11" s="118"/>
      <c r="DQS11" s="118"/>
      <c r="DQT11" s="118"/>
      <c r="DQU11" s="118"/>
      <c r="DQV11" s="118"/>
      <c r="DQW11" s="118"/>
      <c r="DQX11" s="118"/>
      <c r="DQY11" s="118"/>
      <c r="DQZ11" s="118"/>
      <c r="DRA11" s="118"/>
      <c r="DRB11" s="118"/>
      <c r="DRC11" s="118"/>
      <c r="DRD11" s="118"/>
      <c r="DRE11" s="118"/>
      <c r="DRF11" s="118"/>
      <c r="DRG11" s="118"/>
      <c r="DRH11" s="118"/>
      <c r="DRI11" s="118"/>
      <c r="DRJ11" s="118"/>
      <c r="DRK11" s="118"/>
      <c r="DRL11" s="118"/>
      <c r="DRM11" s="118"/>
      <c r="DRN11" s="118"/>
      <c r="DRO11" s="118"/>
      <c r="DRP11" s="118"/>
      <c r="DRQ11" s="118"/>
      <c r="DRR11" s="118"/>
      <c r="DRS11" s="118"/>
      <c r="DRT11" s="118"/>
      <c r="DRU11" s="118"/>
      <c r="DRV11" s="118"/>
      <c r="DRW11" s="118"/>
      <c r="DRX11" s="118"/>
      <c r="DRY11" s="118"/>
      <c r="DRZ11" s="118"/>
      <c r="DSA11" s="118"/>
      <c r="DSB11" s="118"/>
      <c r="DSC11" s="118"/>
      <c r="DSD11" s="118"/>
      <c r="DSE11" s="118"/>
      <c r="DSF11" s="118"/>
      <c r="DSG11" s="118"/>
      <c r="DSH11" s="118"/>
      <c r="DSI11" s="118"/>
      <c r="DSJ11" s="118"/>
      <c r="DSK11" s="118"/>
      <c r="DSL11" s="118"/>
      <c r="DSM11" s="118"/>
      <c r="DSN11" s="118"/>
      <c r="DSO11" s="118"/>
      <c r="DSP11" s="118"/>
      <c r="DSQ11" s="118"/>
      <c r="DSR11" s="118"/>
      <c r="DSS11" s="118"/>
      <c r="DST11" s="118"/>
      <c r="DSU11" s="118"/>
      <c r="DSV11" s="118"/>
      <c r="DSW11" s="118"/>
      <c r="DSX11" s="118"/>
      <c r="DSY11" s="118"/>
      <c r="DSZ11" s="118"/>
      <c r="DTA11" s="118"/>
      <c r="DTB11" s="118"/>
      <c r="DTC11" s="118"/>
      <c r="DTD11" s="118"/>
      <c r="DTE11" s="118"/>
      <c r="DTF11" s="118"/>
      <c r="DTG11" s="118"/>
      <c r="DTH11" s="118"/>
      <c r="DTI11" s="118"/>
      <c r="DTJ11" s="118"/>
      <c r="DTK11" s="118"/>
      <c r="DTL11" s="118"/>
      <c r="DTM11" s="118"/>
      <c r="DTN11" s="118"/>
      <c r="DTO11" s="118"/>
      <c r="DTP11" s="118"/>
      <c r="DTQ11" s="118"/>
      <c r="DTR11" s="118"/>
      <c r="DTS11" s="118"/>
      <c r="DTT11" s="118"/>
      <c r="DTU11" s="118"/>
      <c r="DTV11" s="118"/>
      <c r="DTW11" s="118"/>
      <c r="DTX11" s="118"/>
      <c r="DTY11" s="118"/>
      <c r="DTZ11" s="118"/>
      <c r="DUA11" s="118"/>
      <c r="DUB11" s="118"/>
      <c r="DUC11" s="118"/>
      <c r="DUD11" s="118"/>
      <c r="DUE11" s="118"/>
      <c r="DUF11" s="118"/>
      <c r="DUG11" s="118"/>
      <c r="DUH11" s="118"/>
      <c r="DUI11" s="118"/>
      <c r="DUJ11" s="118"/>
      <c r="DUK11" s="118"/>
      <c r="DUL11" s="118"/>
      <c r="DUM11" s="118"/>
      <c r="DUN11" s="118"/>
      <c r="DUO11" s="118"/>
      <c r="DUP11" s="118"/>
      <c r="DUQ11" s="118"/>
      <c r="DUR11" s="118"/>
      <c r="DUS11" s="118"/>
      <c r="DUT11" s="118"/>
      <c r="DUU11" s="118"/>
      <c r="DUV11" s="118"/>
      <c r="DUW11" s="118"/>
      <c r="DUX11" s="118"/>
      <c r="DUY11" s="118"/>
      <c r="DUZ11" s="118"/>
      <c r="DVA11" s="118"/>
      <c r="DVB11" s="118"/>
      <c r="DVC11" s="118"/>
      <c r="DVD11" s="118"/>
      <c r="DVE11" s="118"/>
      <c r="DVF11" s="118"/>
      <c r="DVG11" s="118"/>
      <c r="DVH11" s="118"/>
      <c r="DVI11" s="118"/>
      <c r="DVJ11" s="118"/>
      <c r="DVK11" s="118"/>
      <c r="DVL11" s="118"/>
      <c r="DVM11" s="118"/>
      <c r="DVN11" s="118"/>
      <c r="DVO11" s="118"/>
      <c r="DVP11" s="118"/>
      <c r="DVQ11" s="118"/>
      <c r="DVR11" s="118"/>
      <c r="DVS11" s="118"/>
      <c r="DVT11" s="118"/>
      <c r="DVU11" s="118"/>
      <c r="DVV11" s="118"/>
      <c r="DVW11" s="118"/>
      <c r="DVX11" s="118"/>
      <c r="DVY11" s="118"/>
      <c r="DVZ11" s="118"/>
      <c r="DWA11" s="118"/>
      <c r="DWB11" s="118"/>
      <c r="DWC11" s="118"/>
      <c r="DWD11" s="118"/>
      <c r="DWE11" s="118"/>
      <c r="DWF11" s="118"/>
      <c r="DWG11" s="118"/>
      <c r="DWH11" s="118"/>
      <c r="DWI11" s="118"/>
      <c r="DWJ11" s="118"/>
      <c r="DWK11" s="118"/>
      <c r="DWL11" s="118"/>
      <c r="DWM11" s="118"/>
      <c r="DWN11" s="118"/>
      <c r="DWO11" s="118"/>
      <c r="DWP11" s="118"/>
      <c r="DWQ11" s="118"/>
      <c r="DWR11" s="118"/>
      <c r="DWS11" s="118"/>
      <c r="DWT11" s="118"/>
      <c r="DWU11" s="118"/>
      <c r="DWV11" s="118"/>
      <c r="DWW11" s="118"/>
      <c r="DWX11" s="118"/>
      <c r="DWY11" s="118"/>
      <c r="DWZ11" s="118"/>
      <c r="DXA11" s="118"/>
      <c r="DXB11" s="118"/>
      <c r="DXC11" s="118"/>
      <c r="DXD11" s="118"/>
      <c r="DXE11" s="118"/>
      <c r="DXF11" s="118"/>
      <c r="DXG11" s="118"/>
      <c r="DXH11" s="118"/>
      <c r="DXI11" s="118"/>
      <c r="DXJ11" s="118"/>
      <c r="DXK11" s="118"/>
      <c r="DXL11" s="118"/>
      <c r="DXM11" s="118"/>
      <c r="DXN11" s="118"/>
      <c r="DXO11" s="118"/>
      <c r="DXP11" s="118"/>
      <c r="DXQ11" s="118"/>
      <c r="DXR11" s="118"/>
      <c r="DXS11" s="118"/>
      <c r="DXT11" s="118"/>
      <c r="DXU11" s="118"/>
      <c r="DXV11" s="118"/>
      <c r="DXW11" s="118"/>
      <c r="DXX11" s="118"/>
      <c r="DXY11" s="118"/>
      <c r="DXZ11" s="118"/>
      <c r="DYA11" s="118"/>
      <c r="DYB11" s="118"/>
      <c r="DYC11" s="118"/>
      <c r="DYD11" s="118"/>
      <c r="DYE11" s="118"/>
      <c r="DYF11" s="118"/>
      <c r="DYG11" s="118"/>
      <c r="DYH11" s="118"/>
      <c r="DYI11" s="118"/>
      <c r="DYJ11" s="118"/>
      <c r="DYK11" s="118"/>
      <c r="DYL11" s="118"/>
      <c r="DYM11" s="118"/>
      <c r="DYN11" s="118"/>
      <c r="DYO11" s="118"/>
      <c r="DYP11" s="118"/>
      <c r="DYQ11" s="118"/>
      <c r="DYR11" s="118"/>
      <c r="DYS11" s="118"/>
      <c r="DYT11" s="118"/>
      <c r="DYU11" s="118"/>
      <c r="DYV11" s="118"/>
      <c r="DYW11" s="118"/>
      <c r="DYX11" s="118"/>
      <c r="DYY11" s="118"/>
      <c r="DYZ11" s="118"/>
      <c r="DZA11" s="118"/>
      <c r="DZB11" s="118"/>
      <c r="DZC11" s="118"/>
      <c r="DZD11" s="118"/>
      <c r="DZE11" s="118"/>
      <c r="DZF11" s="118"/>
      <c r="DZG11" s="118"/>
      <c r="DZH11" s="118"/>
      <c r="DZI11" s="118"/>
      <c r="DZJ11" s="118"/>
      <c r="DZK11" s="118"/>
      <c r="DZL11" s="118"/>
      <c r="DZM11" s="118"/>
      <c r="DZN11" s="118"/>
      <c r="DZO11" s="118"/>
      <c r="DZP11" s="118"/>
      <c r="DZQ11" s="118"/>
      <c r="DZR11" s="118"/>
      <c r="DZS11" s="118"/>
      <c r="DZT11" s="118"/>
      <c r="DZU11" s="118"/>
      <c r="DZV11" s="118"/>
      <c r="DZW11" s="118"/>
      <c r="DZX11" s="118"/>
      <c r="DZY11" s="118"/>
      <c r="DZZ11" s="118"/>
      <c r="EAA11" s="118"/>
      <c r="EAB11" s="118"/>
      <c r="EAC11" s="118"/>
      <c r="EAD11" s="118"/>
      <c r="EAE11" s="118"/>
      <c r="EAF11" s="118"/>
      <c r="EAG11" s="118"/>
      <c r="EAH11" s="118"/>
      <c r="EAI11" s="118"/>
      <c r="EAJ11" s="118"/>
      <c r="EAK11" s="118"/>
      <c r="EAL11" s="118"/>
      <c r="EAM11" s="118"/>
      <c r="EAN11" s="118"/>
      <c r="EAO11" s="118"/>
      <c r="EAP11" s="118"/>
      <c r="EAQ11" s="118"/>
      <c r="EAR11" s="118"/>
      <c r="EAS11" s="118"/>
      <c r="EAT11" s="118"/>
      <c r="EAU11" s="118"/>
      <c r="EAV11" s="118"/>
      <c r="EAW11" s="118"/>
      <c r="EAX11" s="118"/>
      <c r="EAY11" s="118"/>
      <c r="EAZ11" s="118"/>
      <c r="EBA11" s="118"/>
      <c r="EBB11" s="118"/>
      <c r="EBC11" s="118"/>
      <c r="EBD11" s="118"/>
      <c r="EBE11" s="118"/>
      <c r="EBF11" s="118"/>
      <c r="EBG11" s="118"/>
      <c r="EBH11" s="118"/>
      <c r="EBI11" s="118"/>
      <c r="EBJ11" s="118"/>
      <c r="EBK11" s="118"/>
      <c r="EBL11" s="118"/>
      <c r="EBM11" s="118"/>
      <c r="EBN11" s="118"/>
      <c r="EBO11" s="118"/>
      <c r="EBP11" s="118"/>
      <c r="EBQ11" s="118"/>
      <c r="EBR11" s="118"/>
      <c r="EBS11" s="118"/>
      <c r="EBT11" s="118"/>
      <c r="EBU11" s="118"/>
      <c r="EBV11" s="118"/>
      <c r="EBW11" s="118"/>
      <c r="EBX11" s="118"/>
      <c r="EBY11" s="118"/>
      <c r="EBZ11" s="118"/>
      <c r="ECA11" s="118"/>
      <c r="ECB11" s="118"/>
      <c r="ECC11" s="118"/>
      <c r="ECD11" s="118"/>
      <c r="ECE11" s="118"/>
      <c r="ECF11" s="118"/>
      <c r="ECG11" s="118"/>
      <c r="ECH11" s="118"/>
      <c r="ECI11" s="118"/>
      <c r="ECJ11" s="118"/>
      <c r="ECK11" s="118"/>
      <c r="ECL11" s="118"/>
      <c r="ECM11" s="118"/>
      <c r="ECN11" s="118"/>
      <c r="ECO11" s="118"/>
      <c r="ECP11" s="118"/>
      <c r="ECQ11" s="118"/>
      <c r="ECR11" s="118"/>
      <c r="ECS11" s="118"/>
      <c r="ECT11" s="118"/>
      <c r="ECU11" s="118"/>
      <c r="ECV11" s="118"/>
      <c r="ECW11" s="118"/>
      <c r="ECX11" s="118"/>
      <c r="ECY11" s="118"/>
      <c r="ECZ11" s="118"/>
      <c r="EDA11" s="118"/>
      <c r="EDB11" s="118"/>
      <c r="EDC11" s="118"/>
      <c r="EDD11" s="118"/>
      <c r="EDE11" s="118"/>
      <c r="EDF11" s="118"/>
      <c r="EDG11" s="118"/>
      <c r="EDH11" s="118"/>
      <c r="EDI11" s="118"/>
      <c r="EDJ11" s="118"/>
      <c r="EDK11" s="118"/>
      <c r="EDL11" s="118"/>
      <c r="EDM11" s="118"/>
      <c r="EDN11" s="118"/>
      <c r="EDO11" s="118"/>
      <c r="EDP11" s="118"/>
      <c r="EDQ11" s="118"/>
      <c r="EDR11" s="118"/>
      <c r="EDS11" s="118"/>
      <c r="EDT11" s="118"/>
      <c r="EDU11" s="118"/>
      <c r="EDV11" s="118"/>
      <c r="EDW11" s="118"/>
      <c r="EDX11" s="118"/>
      <c r="EDY11" s="118"/>
      <c r="EDZ11" s="118"/>
      <c r="EEA11" s="118"/>
      <c r="EEB11" s="118"/>
      <c r="EEC11" s="118"/>
      <c r="EED11" s="118"/>
      <c r="EEE11" s="118"/>
      <c r="EEF11" s="118"/>
      <c r="EEG11" s="118"/>
      <c r="EEH11" s="118"/>
      <c r="EEI11" s="118"/>
      <c r="EEJ11" s="118"/>
      <c r="EEK11" s="118"/>
      <c r="EEL11" s="118"/>
      <c r="EEM11" s="118"/>
      <c r="EEN11" s="118"/>
      <c r="EEO11" s="118"/>
      <c r="EEP11" s="118"/>
      <c r="EEQ11" s="118"/>
      <c r="EER11" s="118"/>
      <c r="EES11" s="118"/>
      <c r="EET11" s="118"/>
      <c r="EEU11" s="118"/>
      <c r="EEV11" s="118"/>
      <c r="EEW11" s="118"/>
      <c r="EEX11" s="118"/>
      <c r="EEY11" s="118"/>
      <c r="EEZ11" s="118"/>
      <c r="EFA11" s="118"/>
      <c r="EFB11" s="118"/>
      <c r="EFC11" s="118"/>
      <c r="EFD11" s="118"/>
      <c r="EFE11" s="118"/>
      <c r="EFF11" s="118"/>
      <c r="EFG11" s="118"/>
      <c r="EFH11" s="118"/>
      <c r="EFI11" s="118"/>
      <c r="EFJ11" s="118"/>
      <c r="EFK11" s="118"/>
      <c r="EFL11" s="118"/>
      <c r="EFM11" s="118"/>
      <c r="EFN11" s="118"/>
      <c r="EFO11" s="118"/>
      <c r="EFP11" s="118"/>
      <c r="EFQ11" s="118"/>
      <c r="EFR11" s="118"/>
      <c r="EFS11" s="118"/>
      <c r="EFT11" s="118"/>
      <c r="EFU11" s="118"/>
      <c r="EFV11" s="118"/>
      <c r="EFW11" s="118"/>
      <c r="EFX11" s="118"/>
      <c r="EFY11" s="118"/>
      <c r="EFZ11" s="118"/>
      <c r="EGA11" s="118"/>
      <c r="EGB11" s="118"/>
      <c r="EGC11" s="118"/>
      <c r="EGD11" s="118"/>
      <c r="EGE11" s="118"/>
      <c r="EGF11" s="118"/>
      <c r="EGG11" s="118"/>
      <c r="EGH11" s="118"/>
      <c r="EGI11" s="118"/>
      <c r="EGJ11" s="118"/>
      <c r="EGK11" s="118"/>
      <c r="EGL11" s="118"/>
      <c r="EGM11" s="118"/>
      <c r="EGN11" s="118"/>
      <c r="EGO11" s="118"/>
      <c r="EGP11" s="118"/>
      <c r="EGQ11" s="118"/>
      <c r="EGR11" s="118"/>
      <c r="EGS11" s="118"/>
      <c r="EGT11" s="118"/>
      <c r="EGU11" s="118"/>
      <c r="EGV11" s="118"/>
      <c r="EGW11" s="118"/>
      <c r="EGX11" s="118"/>
      <c r="EGY11" s="118"/>
      <c r="EGZ11" s="118"/>
      <c r="EHA11" s="118"/>
      <c r="EHB11" s="118"/>
      <c r="EHC11" s="118"/>
      <c r="EHD11" s="118"/>
      <c r="EHE11" s="118"/>
      <c r="EHF11" s="118"/>
      <c r="EHG11" s="118"/>
      <c r="EHH11" s="118"/>
      <c r="EHI11" s="118"/>
      <c r="EHJ11" s="118"/>
      <c r="EHK11" s="118"/>
      <c r="EHL11" s="118"/>
      <c r="EHM11" s="118"/>
      <c r="EHN11" s="118"/>
      <c r="EHO11" s="118"/>
      <c r="EHP11" s="118"/>
      <c r="EHQ11" s="118"/>
      <c r="EHR11" s="118"/>
      <c r="EHS11" s="118"/>
      <c r="EHT11" s="118"/>
      <c r="EHU11" s="118"/>
      <c r="EHV11" s="118"/>
      <c r="EHW11" s="118"/>
      <c r="EHX11" s="118"/>
      <c r="EHY11" s="118"/>
      <c r="EHZ11" s="118"/>
      <c r="EIA11" s="118"/>
      <c r="EIB11" s="118"/>
      <c r="EIC11" s="118"/>
      <c r="EID11" s="118"/>
      <c r="EIE11" s="118"/>
      <c r="EIF11" s="118"/>
      <c r="EIG11" s="118"/>
      <c r="EIH11" s="118"/>
      <c r="EII11" s="118"/>
      <c r="EIJ11" s="118"/>
      <c r="EIK11" s="118"/>
      <c r="EIL11" s="118"/>
      <c r="EIM11" s="118"/>
      <c r="EIN11" s="118"/>
      <c r="EIO11" s="118"/>
      <c r="EIP11" s="118"/>
      <c r="EIQ11" s="118"/>
      <c r="EIR11" s="118"/>
      <c r="EIS11" s="118"/>
      <c r="EIT11" s="118"/>
      <c r="EIU11" s="118"/>
      <c r="EIV11" s="118"/>
      <c r="EIW11" s="118"/>
      <c r="EIX11" s="118"/>
      <c r="EIY11" s="118"/>
      <c r="EIZ11" s="118"/>
      <c r="EJA11" s="118"/>
      <c r="EJB11" s="118"/>
      <c r="EJC11" s="118"/>
      <c r="EJD11" s="118"/>
      <c r="EJE11" s="118"/>
      <c r="EJF11" s="118"/>
      <c r="EJG11" s="118"/>
      <c r="EJH11" s="118"/>
      <c r="EJI11" s="118"/>
      <c r="EJJ11" s="118"/>
      <c r="EJK11" s="118"/>
      <c r="EJL11" s="118"/>
      <c r="EJM11" s="118"/>
      <c r="EJN11" s="118"/>
      <c r="EJO11" s="118"/>
      <c r="EJP11" s="118"/>
      <c r="EJQ11" s="118"/>
      <c r="EJR11" s="118"/>
      <c r="EJS11" s="118"/>
      <c r="EJT11" s="118"/>
      <c r="EJU11" s="118"/>
      <c r="EJV11" s="118"/>
      <c r="EJW11" s="118"/>
      <c r="EJX11" s="118"/>
      <c r="EJY11" s="118"/>
      <c r="EJZ11" s="118"/>
      <c r="EKA11" s="118"/>
      <c r="EKB11" s="118"/>
      <c r="EKC11" s="118"/>
      <c r="EKD11" s="118"/>
      <c r="EKE11" s="118"/>
      <c r="EKF11" s="118"/>
      <c r="EKG11" s="118"/>
      <c r="EKH11" s="118"/>
      <c r="EKI11" s="118"/>
      <c r="EKJ11" s="118"/>
      <c r="EKK11" s="118"/>
      <c r="EKL11" s="118"/>
      <c r="EKM11" s="118"/>
      <c r="EKN11" s="118"/>
      <c r="EKO11" s="118"/>
      <c r="EKP11" s="118"/>
      <c r="EKQ11" s="118"/>
      <c r="EKR11" s="118"/>
      <c r="EKS11" s="118"/>
      <c r="EKT11" s="118"/>
      <c r="EKU11" s="118"/>
      <c r="EKV11" s="118"/>
      <c r="EKW11" s="118"/>
      <c r="EKX11" s="118"/>
      <c r="EKY11" s="118"/>
      <c r="EKZ11" s="118"/>
      <c r="ELA11" s="118"/>
      <c r="ELB11" s="118"/>
      <c r="ELC11" s="118"/>
      <c r="ELD11" s="118"/>
      <c r="ELE11" s="118"/>
      <c r="ELF11" s="118"/>
      <c r="ELG11" s="118"/>
      <c r="ELH11" s="118"/>
      <c r="ELI11" s="118"/>
      <c r="ELJ11" s="118"/>
      <c r="ELK11" s="118"/>
      <c r="ELL11" s="118"/>
      <c r="ELM11" s="118"/>
      <c r="ELN11" s="118"/>
      <c r="ELO11" s="118"/>
      <c r="ELP11" s="118"/>
      <c r="ELQ11" s="118"/>
      <c r="ELR11" s="118"/>
      <c r="ELS11" s="118"/>
      <c r="ELT11" s="118"/>
      <c r="ELU11" s="118"/>
      <c r="ELV11" s="118"/>
      <c r="ELW11" s="118"/>
      <c r="ELX11" s="118"/>
      <c r="ELY11" s="118"/>
      <c r="ELZ11" s="118"/>
      <c r="EMA11" s="118"/>
      <c r="EMB11" s="118"/>
      <c r="EMC11" s="118"/>
      <c r="EMD11" s="118"/>
      <c r="EME11" s="118"/>
      <c r="EMF11" s="118"/>
      <c r="EMG11" s="118"/>
      <c r="EMH11" s="118"/>
      <c r="EMI11" s="118"/>
      <c r="EMJ11" s="118"/>
      <c r="EMK11" s="118"/>
      <c r="EML11" s="118"/>
      <c r="EMM11" s="118"/>
      <c r="EMN11" s="118"/>
      <c r="EMO11" s="118"/>
      <c r="EMP11" s="118"/>
      <c r="EMQ11" s="118"/>
      <c r="EMR11" s="118"/>
      <c r="EMS11" s="118"/>
      <c r="EMT11" s="118"/>
      <c r="EMU11" s="118"/>
      <c r="EMV11" s="118"/>
      <c r="EMW11" s="118"/>
      <c r="EMX11" s="118"/>
      <c r="EMY11" s="118"/>
      <c r="EMZ11" s="118"/>
      <c r="ENA11" s="118"/>
      <c r="ENB11" s="118"/>
      <c r="ENC11" s="118"/>
      <c r="END11" s="118"/>
      <c r="ENE11" s="118"/>
      <c r="ENF11" s="118"/>
      <c r="ENG11" s="118"/>
      <c r="ENH11" s="118"/>
      <c r="ENI11" s="118"/>
      <c r="ENJ11" s="118"/>
      <c r="ENK11" s="118"/>
      <c r="ENL11" s="118"/>
      <c r="ENM11" s="118"/>
      <c r="ENN11" s="118"/>
      <c r="ENO11" s="118"/>
      <c r="ENP11" s="118"/>
      <c r="ENQ11" s="118"/>
      <c r="ENR11" s="118"/>
      <c r="ENS11" s="118"/>
      <c r="ENT11" s="118"/>
      <c r="ENU11" s="118"/>
      <c r="ENV11" s="118"/>
      <c r="ENW11" s="118"/>
      <c r="ENX11" s="118"/>
      <c r="ENY11" s="118"/>
      <c r="ENZ11" s="118"/>
      <c r="EOA11" s="118"/>
      <c r="EOB11" s="118"/>
      <c r="EOC11" s="118"/>
      <c r="EOD11" s="118"/>
      <c r="EOE11" s="118"/>
      <c r="EOF11" s="118"/>
      <c r="EOG11" s="118"/>
      <c r="EOH11" s="118"/>
      <c r="EOI11" s="118"/>
      <c r="EOJ11" s="118"/>
      <c r="EOK11" s="118"/>
      <c r="EOL11" s="118"/>
      <c r="EOM11" s="118"/>
      <c r="EON11" s="118"/>
      <c r="EOO11" s="118"/>
      <c r="EOP11" s="118"/>
      <c r="EOQ11" s="118"/>
      <c r="EOR11" s="118"/>
      <c r="EOS11" s="118"/>
      <c r="EOT11" s="118"/>
      <c r="EOU11" s="118"/>
      <c r="EOV11" s="118"/>
      <c r="EOW11" s="118"/>
      <c r="EOX11" s="118"/>
      <c r="EOY11" s="118"/>
      <c r="EOZ11" s="118"/>
      <c r="EPA11" s="118"/>
      <c r="EPB11" s="118"/>
      <c r="EPC11" s="118"/>
      <c r="EPD11" s="118"/>
      <c r="EPE11" s="118"/>
      <c r="EPF11" s="118"/>
      <c r="EPG11" s="118"/>
      <c r="EPH11" s="118"/>
      <c r="EPI11" s="118"/>
      <c r="EPJ11" s="118"/>
      <c r="EPK11" s="118"/>
      <c r="EPL11" s="118"/>
      <c r="EPM11" s="118"/>
      <c r="EPN11" s="118"/>
      <c r="EPO11" s="118"/>
      <c r="EPP11" s="118"/>
      <c r="EPQ11" s="118"/>
      <c r="EPR11" s="118"/>
      <c r="EPS11" s="118"/>
      <c r="EPT11" s="118"/>
      <c r="EPU11" s="118"/>
      <c r="EPV11" s="118"/>
      <c r="EPW11" s="118"/>
      <c r="EPX11" s="118"/>
      <c r="EPY11" s="118"/>
      <c r="EPZ11" s="118"/>
      <c r="EQA11" s="118"/>
      <c r="EQB11" s="118"/>
      <c r="EQC11" s="118"/>
      <c r="EQD11" s="118"/>
      <c r="EQE11" s="118"/>
      <c r="EQF11" s="118"/>
      <c r="EQG11" s="118"/>
      <c r="EQH11" s="118"/>
      <c r="EQI11" s="118"/>
      <c r="EQJ11" s="118"/>
      <c r="EQK11" s="118"/>
      <c r="EQL11" s="118"/>
      <c r="EQM11" s="118"/>
      <c r="EQN11" s="118"/>
      <c r="EQO11" s="118"/>
      <c r="EQP11" s="118"/>
      <c r="EQQ11" s="118"/>
      <c r="EQR11" s="118"/>
      <c r="EQS11" s="118"/>
      <c r="EQT11" s="118"/>
      <c r="EQU11" s="118"/>
      <c r="EQV11" s="118"/>
      <c r="EQW11" s="118"/>
      <c r="EQX11" s="118"/>
      <c r="EQY11" s="118"/>
      <c r="EQZ11" s="118"/>
      <c r="ERA11" s="118"/>
      <c r="ERB11" s="118"/>
      <c r="ERC11" s="118"/>
      <c r="ERD11" s="118"/>
      <c r="ERE11" s="118"/>
      <c r="ERF11" s="118"/>
      <c r="ERG11" s="118"/>
      <c r="ERH11" s="118"/>
      <c r="ERI11" s="118"/>
      <c r="ERJ11" s="118"/>
      <c r="ERK11" s="118"/>
      <c r="ERL11" s="118"/>
      <c r="ERM11" s="118"/>
      <c r="ERN11" s="118"/>
      <c r="ERO11" s="118"/>
      <c r="ERP11" s="118"/>
      <c r="ERQ11" s="118"/>
      <c r="ERR11" s="118"/>
      <c r="ERS11" s="118"/>
      <c r="ERT11" s="118"/>
      <c r="ERU11" s="118"/>
      <c r="ERV11" s="118"/>
      <c r="ERW11" s="118"/>
      <c r="ERX11" s="118"/>
      <c r="ERY11" s="118"/>
      <c r="ERZ11" s="118"/>
      <c r="ESA11" s="118"/>
      <c r="ESB11" s="118"/>
      <c r="ESC11" s="118"/>
      <c r="ESD11" s="118"/>
      <c r="ESE11" s="118"/>
      <c r="ESF11" s="118"/>
      <c r="ESG11" s="118"/>
      <c r="ESH11" s="118"/>
      <c r="ESI11" s="118"/>
      <c r="ESJ11" s="118"/>
      <c r="ESK11" s="118"/>
      <c r="ESL11" s="118"/>
      <c r="ESM11" s="118"/>
      <c r="ESN11" s="118"/>
      <c r="ESO11" s="118"/>
      <c r="ESP11" s="118"/>
      <c r="ESQ11" s="118"/>
      <c r="ESR11" s="118"/>
      <c r="ESS11" s="118"/>
      <c r="EST11" s="118"/>
      <c r="ESU11" s="118"/>
      <c r="ESV11" s="118"/>
      <c r="ESW11" s="118"/>
      <c r="ESX11" s="118"/>
      <c r="ESY11" s="118"/>
      <c r="ESZ11" s="118"/>
      <c r="ETA11" s="118"/>
      <c r="ETB11" s="118"/>
      <c r="ETC11" s="118"/>
      <c r="ETD11" s="118"/>
      <c r="ETE11" s="118"/>
      <c r="ETF11" s="118"/>
      <c r="ETG11" s="118"/>
      <c r="ETH11" s="118"/>
      <c r="ETI11" s="118"/>
      <c r="ETJ11" s="118"/>
      <c r="ETK11" s="118"/>
      <c r="ETL11" s="118"/>
      <c r="ETM11" s="118"/>
      <c r="ETN11" s="118"/>
      <c r="ETO11" s="118"/>
      <c r="ETP11" s="118"/>
      <c r="ETQ11" s="118"/>
      <c r="ETR11" s="118"/>
      <c r="ETS11" s="118"/>
      <c r="ETT11" s="118"/>
      <c r="ETU11" s="118"/>
      <c r="ETV11" s="118"/>
      <c r="ETW11" s="118"/>
      <c r="ETX11" s="118"/>
      <c r="ETY11" s="118"/>
      <c r="ETZ11" s="118"/>
      <c r="EUA11" s="118"/>
      <c r="EUB11" s="118"/>
      <c r="EUC11" s="118"/>
      <c r="EUD11" s="118"/>
      <c r="EUE11" s="118"/>
      <c r="EUF11" s="118"/>
      <c r="EUG11" s="118"/>
      <c r="EUH11" s="118"/>
      <c r="EUI11" s="118"/>
      <c r="EUJ11" s="118"/>
      <c r="EUK11" s="118"/>
      <c r="EUL11" s="118"/>
      <c r="EUM11" s="118"/>
      <c r="EUN11" s="118"/>
      <c r="EUO11" s="118"/>
      <c r="EUP11" s="118"/>
      <c r="EUQ11" s="118"/>
      <c r="EUR11" s="118"/>
      <c r="EUS11" s="118"/>
      <c r="EUT11" s="118"/>
      <c r="EUU11" s="118"/>
      <c r="EUV11" s="118"/>
      <c r="EUW11" s="118"/>
      <c r="EUX11" s="118"/>
      <c r="EUY11" s="118"/>
      <c r="EUZ11" s="118"/>
      <c r="EVA11" s="118"/>
      <c r="EVB11" s="118"/>
      <c r="EVC11" s="118"/>
      <c r="EVD11" s="118"/>
      <c r="EVE11" s="118"/>
      <c r="EVF11" s="118"/>
      <c r="EVG11" s="118"/>
      <c r="EVH11" s="118"/>
      <c r="EVI11" s="118"/>
      <c r="EVJ11" s="118"/>
      <c r="EVK11" s="118"/>
      <c r="EVL11" s="118"/>
      <c r="EVM11" s="118"/>
      <c r="EVN11" s="118"/>
      <c r="EVO11" s="118"/>
      <c r="EVP11" s="118"/>
      <c r="EVQ11" s="118"/>
      <c r="EVR11" s="118"/>
      <c r="EVS11" s="118"/>
      <c r="EVT11" s="118"/>
      <c r="EVU11" s="118"/>
      <c r="EVV11" s="118"/>
      <c r="EVW11" s="118"/>
      <c r="EVX11" s="118"/>
      <c r="EVY11" s="118"/>
      <c r="EVZ11" s="118"/>
      <c r="EWA11" s="118"/>
      <c r="EWB11" s="118"/>
      <c r="EWC11" s="118"/>
      <c r="EWD11" s="118"/>
      <c r="EWE11" s="118"/>
      <c r="EWF11" s="118"/>
      <c r="EWG11" s="118"/>
      <c r="EWH11" s="118"/>
      <c r="EWI11" s="118"/>
      <c r="EWJ11" s="118"/>
      <c r="EWK11" s="118"/>
      <c r="EWL11" s="118"/>
      <c r="EWM11" s="118"/>
      <c r="EWN11" s="118"/>
      <c r="EWO11" s="118"/>
      <c r="EWP11" s="118"/>
      <c r="EWQ11" s="118"/>
      <c r="EWR11" s="118"/>
      <c r="EWS11" s="118"/>
      <c r="EWT11" s="118"/>
      <c r="EWU11" s="118"/>
      <c r="EWV11" s="118"/>
      <c r="EWW11" s="118"/>
      <c r="EWX11" s="118"/>
      <c r="EWY11" s="118"/>
      <c r="EWZ11" s="118"/>
      <c r="EXA11" s="118"/>
      <c r="EXB11" s="118"/>
      <c r="EXC11" s="118"/>
      <c r="EXD11" s="118"/>
      <c r="EXE11" s="118"/>
      <c r="EXF11" s="118"/>
      <c r="EXG11" s="118"/>
      <c r="EXH11" s="118"/>
      <c r="EXI11" s="118"/>
      <c r="EXJ11" s="118"/>
      <c r="EXK11" s="118"/>
      <c r="EXL11" s="118"/>
      <c r="EXM11" s="118"/>
      <c r="EXN11" s="118"/>
      <c r="EXO11" s="118"/>
      <c r="EXP11" s="118"/>
      <c r="EXQ11" s="118"/>
      <c r="EXR11" s="118"/>
      <c r="EXS11" s="118"/>
      <c r="EXT11" s="118"/>
      <c r="EXU11" s="118"/>
      <c r="EXV11" s="118"/>
      <c r="EXW11" s="118"/>
      <c r="EXX11" s="118"/>
      <c r="EXY11" s="118"/>
      <c r="EXZ11" s="118"/>
      <c r="EYA11" s="118"/>
      <c r="EYB11" s="118"/>
      <c r="EYC11" s="118"/>
      <c r="EYD11" s="118"/>
      <c r="EYE11" s="118"/>
      <c r="EYF11" s="118"/>
      <c r="EYG11" s="118"/>
      <c r="EYH11" s="118"/>
      <c r="EYI11" s="118"/>
      <c r="EYJ11" s="118"/>
      <c r="EYK11" s="118"/>
      <c r="EYL11" s="118"/>
      <c r="EYM11" s="118"/>
      <c r="EYN11" s="118"/>
      <c r="EYO11" s="118"/>
      <c r="EYP11" s="118"/>
      <c r="EYQ11" s="118"/>
      <c r="EYR11" s="118"/>
      <c r="EYS11" s="118"/>
      <c r="EYT11" s="118"/>
      <c r="EYU11" s="118"/>
      <c r="EYV11" s="118"/>
      <c r="EYW11" s="118"/>
      <c r="EYX11" s="118"/>
      <c r="EYY11" s="118"/>
      <c r="EYZ11" s="118"/>
      <c r="EZA11" s="118"/>
      <c r="EZB11" s="118"/>
      <c r="EZC11" s="118"/>
      <c r="EZD11" s="118"/>
      <c r="EZE11" s="118"/>
      <c r="EZF11" s="118"/>
      <c r="EZG11" s="118"/>
      <c r="EZH11" s="118"/>
      <c r="EZI11" s="118"/>
      <c r="EZJ11" s="118"/>
      <c r="EZK11" s="118"/>
      <c r="EZL11" s="118"/>
      <c r="EZM11" s="118"/>
      <c r="EZN11" s="118"/>
      <c r="EZO11" s="118"/>
      <c r="EZP11" s="118"/>
      <c r="EZQ11" s="118"/>
      <c r="EZR11" s="118"/>
      <c r="EZS11" s="118"/>
      <c r="EZT11" s="118"/>
      <c r="EZU11" s="118"/>
      <c r="EZV11" s="118"/>
      <c r="EZW11" s="118"/>
      <c r="EZX11" s="118"/>
      <c r="EZY11" s="118"/>
      <c r="EZZ11" s="118"/>
      <c r="FAA11" s="118"/>
      <c r="FAB11" s="118"/>
      <c r="FAC11" s="118"/>
      <c r="FAD11" s="118"/>
      <c r="FAE11" s="118"/>
      <c r="FAF11" s="118"/>
      <c r="FAG11" s="118"/>
      <c r="FAH11" s="118"/>
      <c r="FAI11" s="118"/>
      <c r="FAJ11" s="118"/>
      <c r="FAK11" s="118"/>
      <c r="FAL11" s="118"/>
      <c r="FAM11" s="118"/>
      <c r="FAN11" s="118"/>
      <c r="FAO11" s="118"/>
      <c r="FAP11" s="118"/>
      <c r="FAQ11" s="118"/>
      <c r="FAR11" s="118"/>
      <c r="FAS11" s="118"/>
      <c r="FAT11" s="118"/>
      <c r="FAU11" s="118"/>
      <c r="FAV11" s="118"/>
      <c r="FAW11" s="118"/>
      <c r="FAX11" s="118"/>
      <c r="FAY11" s="118"/>
      <c r="FAZ11" s="118"/>
      <c r="FBA11" s="118"/>
      <c r="FBB11" s="118"/>
      <c r="FBC11" s="118"/>
      <c r="FBD11" s="118"/>
      <c r="FBE11" s="118"/>
      <c r="FBF11" s="118"/>
      <c r="FBG11" s="118"/>
      <c r="FBH11" s="118"/>
      <c r="FBI11" s="118"/>
      <c r="FBJ11" s="118"/>
      <c r="FBK11" s="118"/>
      <c r="FBL11" s="118"/>
      <c r="FBM11" s="118"/>
      <c r="FBN11" s="118"/>
      <c r="FBO11" s="118"/>
      <c r="FBP11" s="118"/>
      <c r="FBQ11" s="118"/>
      <c r="FBR11" s="118"/>
      <c r="FBS11" s="118"/>
      <c r="FBT11" s="118"/>
      <c r="FBU11" s="118"/>
      <c r="FBV11" s="118"/>
      <c r="FBW11" s="118"/>
      <c r="FBX11" s="118"/>
      <c r="FBY11" s="118"/>
      <c r="FBZ11" s="118"/>
      <c r="FCA11" s="118"/>
      <c r="FCB11" s="118"/>
      <c r="FCC11" s="118"/>
      <c r="FCD11" s="118"/>
      <c r="FCE11" s="118"/>
      <c r="FCF11" s="118"/>
      <c r="FCG11" s="118"/>
      <c r="FCH11" s="118"/>
      <c r="FCI11" s="118"/>
      <c r="FCJ11" s="118"/>
      <c r="FCK11" s="118"/>
      <c r="FCL11" s="118"/>
      <c r="FCM11" s="118"/>
      <c r="FCN11" s="118"/>
      <c r="FCO11" s="118"/>
      <c r="FCP11" s="118"/>
      <c r="FCQ11" s="118"/>
      <c r="FCR11" s="118"/>
      <c r="FCS11" s="118"/>
      <c r="FCT11" s="118"/>
      <c r="FCU11" s="118"/>
      <c r="FCV11" s="118"/>
      <c r="FCW11" s="118"/>
      <c r="FCX11" s="118"/>
      <c r="FCY11" s="118"/>
      <c r="FCZ11" s="118"/>
      <c r="FDA11" s="118"/>
      <c r="FDB11" s="118"/>
      <c r="FDC11" s="118"/>
      <c r="FDD11" s="118"/>
      <c r="FDE11" s="118"/>
      <c r="FDF11" s="118"/>
      <c r="FDG11" s="118"/>
      <c r="FDH11" s="118"/>
      <c r="FDI11" s="118"/>
      <c r="FDJ11" s="118"/>
      <c r="FDK11" s="118"/>
      <c r="FDL11" s="118"/>
      <c r="FDM11" s="118"/>
      <c r="FDN11" s="118"/>
      <c r="FDO11" s="118"/>
      <c r="FDP11" s="118"/>
      <c r="FDQ11" s="118"/>
      <c r="FDR11" s="118"/>
      <c r="FDS11" s="118"/>
      <c r="FDT11" s="118"/>
      <c r="FDU11" s="118"/>
      <c r="FDV11" s="118"/>
      <c r="FDW11" s="118"/>
      <c r="FDX11" s="118"/>
      <c r="FDY11" s="118"/>
      <c r="FDZ11" s="118"/>
      <c r="FEA11" s="118"/>
      <c r="FEB11" s="118"/>
      <c r="FEC11" s="118"/>
      <c r="FED11" s="118"/>
      <c r="FEE11" s="118"/>
      <c r="FEF11" s="118"/>
      <c r="FEG11" s="118"/>
      <c r="FEH11" s="118"/>
      <c r="FEI11" s="118"/>
      <c r="FEJ11" s="118"/>
      <c r="FEK11" s="118"/>
      <c r="FEL11" s="118"/>
      <c r="FEM11" s="118"/>
      <c r="FEN11" s="118"/>
      <c r="FEO11" s="118"/>
      <c r="FEP11" s="118"/>
      <c r="FEQ11" s="118"/>
      <c r="FER11" s="118"/>
      <c r="FES11" s="118"/>
      <c r="FET11" s="118"/>
      <c r="FEU11" s="118"/>
      <c r="FEV11" s="118"/>
      <c r="FEW11" s="118"/>
      <c r="FEX11" s="118"/>
      <c r="FEY11" s="118"/>
      <c r="FEZ11" s="118"/>
      <c r="FFA11" s="118"/>
      <c r="FFB11" s="118"/>
      <c r="FFC11" s="118"/>
      <c r="FFD11" s="118"/>
      <c r="FFE11" s="118"/>
      <c r="FFF11" s="118"/>
      <c r="FFG11" s="118"/>
      <c r="FFH11" s="118"/>
      <c r="FFI11" s="118"/>
      <c r="FFJ11" s="118"/>
      <c r="FFK11" s="118"/>
      <c r="FFL11" s="118"/>
      <c r="FFM11" s="118"/>
      <c r="FFN11" s="118"/>
      <c r="FFO11" s="118"/>
      <c r="FFP11" s="118"/>
      <c r="FFQ11" s="118"/>
      <c r="FFR11" s="118"/>
      <c r="FFS11" s="118"/>
      <c r="FFT11" s="118"/>
      <c r="FFU11" s="118"/>
      <c r="FFV11" s="118"/>
      <c r="FFW11" s="118"/>
      <c r="FFX11" s="118"/>
      <c r="FFY11" s="118"/>
      <c r="FFZ11" s="118"/>
      <c r="FGA11" s="118"/>
      <c r="FGB11" s="118"/>
      <c r="FGC11" s="118"/>
      <c r="FGD11" s="118"/>
      <c r="FGE11" s="118"/>
      <c r="FGF11" s="118"/>
      <c r="FGG11" s="118"/>
      <c r="FGH11" s="118"/>
      <c r="FGI11" s="118"/>
      <c r="FGJ11" s="118"/>
      <c r="FGK11" s="118"/>
      <c r="FGL11" s="118"/>
      <c r="FGM11" s="118"/>
      <c r="FGN11" s="118"/>
      <c r="FGO11" s="118"/>
      <c r="FGP11" s="118"/>
      <c r="FGQ11" s="118"/>
      <c r="FGR11" s="118"/>
      <c r="FGS11" s="118"/>
      <c r="FGT11" s="118"/>
      <c r="FGU11" s="118"/>
      <c r="FGV11" s="118"/>
      <c r="FGW11" s="118"/>
      <c r="FGX11" s="118"/>
      <c r="FGY11" s="118"/>
      <c r="FGZ11" s="118"/>
      <c r="FHA11" s="118"/>
      <c r="FHB11" s="118"/>
      <c r="FHC11" s="118"/>
      <c r="FHD11" s="118"/>
      <c r="FHE11" s="118"/>
      <c r="FHF11" s="118"/>
      <c r="FHG11" s="118"/>
      <c r="FHH11" s="118"/>
      <c r="FHI11" s="118"/>
      <c r="FHJ11" s="118"/>
      <c r="FHK11" s="118"/>
      <c r="FHL11" s="118"/>
      <c r="FHM11" s="118"/>
      <c r="FHN11" s="118"/>
      <c r="FHO11" s="118"/>
      <c r="FHP11" s="118"/>
      <c r="FHQ11" s="118"/>
      <c r="FHR11" s="118"/>
      <c r="FHS11" s="118"/>
      <c r="FHT11" s="118"/>
      <c r="FHU11" s="118"/>
      <c r="FHV11" s="118"/>
      <c r="FHW11" s="118"/>
      <c r="FHX11" s="118"/>
      <c r="FHY11" s="118"/>
      <c r="FHZ11" s="118"/>
      <c r="FIA11" s="118"/>
      <c r="FIB11" s="118"/>
      <c r="FIC11" s="118"/>
      <c r="FID11" s="118"/>
      <c r="FIE11" s="118"/>
      <c r="FIF11" s="118"/>
      <c r="FIG11" s="118"/>
      <c r="FIH11" s="118"/>
      <c r="FII11" s="118"/>
      <c r="FIJ11" s="118"/>
      <c r="FIK11" s="118"/>
      <c r="FIL11" s="118"/>
      <c r="FIM11" s="118"/>
      <c r="FIN11" s="118"/>
      <c r="FIO11" s="118"/>
      <c r="FIP11" s="118"/>
      <c r="FIQ11" s="118"/>
      <c r="FIR11" s="118"/>
      <c r="FIS11" s="118"/>
      <c r="FIT11" s="118"/>
      <c r="FIU11" s="118"/>
      <c r="FIV11" s="118"/>
      <c r="FIW11" s="118"/>
      <c r="FIX11" s="118"/>
      <c r="FIY11" s="118"/>
      <c r="FIZ11" s="118"/>
      <c r="FJA11" s="118"/>
      <c r="FJB11" s="118"/>
      <c r="FJC11" s="118"/>
      <c r="FJD11" s="118"/>
      <c r="FJE11" s="118"/>
      <c r="FJF11" s="118"/>
      <c r="FJG11" s="118"/>
      <c r="FJH11" s="118"/>
      <c r="FJI11" s="118"/>
      <c r="FJJ11" s="118"/>
      <c r="FJK11" s="118"/>
      <c r="FJL11" s="118"/>
      <c r="FJM11" s="118"/>
      <c r="FJN11" s="118"/>
      <c r="FJO11" s="118"/>
      <c r="FJP11" s="118"/>
      <c r="FJQ11" s="118"/>
      <c r="FJR11" s="118"/>
      <c r="FJS11" s="118"/>
      <c r="FJT11" s="118"/>
      <c r="FJU11" s="118"/>
      <c r="FJV11" s="118"/>
      <c r="FJW11" s="118"/>
      <c r="FJX11" s="118"/>
      <c r="FJY11" s="118"/>
      <c r="FJZ11" s="118"/>
      <c r="FKA11" s="118"/>
      <c r="FKB11" s="118"/>
      <c r="FKC11" s="118"/>
      <c r="FKD11" s="118"/>
      <c r="FKE11" s="118"/>
      <c r="FKF11" s="118"/>
      <c r="FKG11" s="118"/>
      <c r="FKH11" s="118"/>
      <c r="FKI11" s="118"/>
      <c r="FKJ11" s="118"/>
      <c r="FKK11" s="118"/>
      <c r="FKL11" s="118"/>
      <c r="FKM11" s="118"/>
      <c r="FKN11" s="118"/>
      <c r="FKO11" s="118"/>
      <c r="FKP11" s="118"/>
      <c r="FKQ11" s="118"/>
      <c r="FKR11" s="118"/>
      <c r="FKS11" s="118"/>
      <c r="FKT11" s="118"/>
      <c r="FKU11" s="118"/>
      <c r="FKV11" s="118"/>
      <c r="FKW11" s="118"/>
      <c r="FKX11" s="118"/>
      <c r="FKY11" s="118"/>
      <c r="FKZ11" s="118"/>
      <c r="FLA11" s="118"/>
      <c r="FLB11" s="118"/>
      <c r="FLC11" s="118"/>
      <c r="FLD11" s="118"/>
      <c r="FLE11" s="118"/>
      <c r="FLF11" s="118"/>
      <c r="FLG11" s="118"/>
      <c r="FLH11" s="118"/>
      <c r="FLI11" s="118"/>
      <c r="FLJ11" s="118"/>
      <c r="FLK11" s="118"/>
      <c r="FLL11" s="118"/>
      <c r="FLM11" s="118"/>
      <c r="FLN11" s="118"/>
      <c r="FLO11" s="118"/>
      <c r="FLP11" s="118"/>
      <c r="FLQ11" s="118"/>
      <c r="FLR11" s="118"/>
      <c r="FLS11" s="118"/>
      <c r="FLT11" s="118"/>
      <c r="FLU11" s="118"/>
      <c r="FLV11" s="118"/>
      <c r="FLW11" s="118"/>
      <c r="FLX11" s="118"/>
      <c r="FLY11" s="118"/>
      <c r="FLZ11" s="118"/>
      <c r="FMA11" s="118"/>
      <c r="FMB11" s="118"/>
      <c r="FMC11" s="118"/>
      <c r="FMD11" s="118"/>
      <c r="FME11" s="118"/>
      <c r="FMF11" s="118"/>
      <c r="FMG11" s="118"/>
      <c r="FMH11" s="118"/>
      <c r="FMI11" s="118"/>
      <c r="FMJ11" s="118"/>
      <c r="FMK11" s="118"/>
      <c r="FML11" s="118"/>
      <c r="FMM11" s="118"/>
      <c r="FMN11" s="118"/>
      <c r="FMO11" s="118"/>
      <c r="FMP11" s="118"/>
      <c r="FMQ11" s="118"/>
      <c r="FMR11" s="118"/>
      <c r="FMS11" s="118"/>
      <c r="FMT11" s="118"/>
      <c r="FMU11" s="118"/>
      <c r="FMV11" s="118"/>
      <c r="FMW11" s="118"/>
      <c r="FMX11" s="118"/>
      <c r="FMY11" s="118"/>
      <c r="FMZ11" s="118"/>
      <c r="FNA11" s="118"/>
      <c r="FNB11" s="118"/>
      <c r="FNC11" s="118"/>
      <c r="FND11" s="118"/>
      <c r="FNE11" s="118"/>
      <c r="FNF11" s="118"/>
      <c r="FNG11" s="118"/>
      <c r="FNH11" s="118"/>
      <c r="FNI11" s="118"/>
      <c r="FNJ11" s="118"/>
      <c r="FNK11" s="118"/>
      <c r="FNL11" s="118"/>
      <c r="FNM11" s="118"/>
      <c r="FNN11" s="118"/>
      <c r="FNO11" s="118"/>
      <c r="FNP11" s="118"/>
      <c r="FNQ11" s="118"/>
      <c r="FNR11" s="118"/>
      <c r="FNS11" s="118"/>
      <c r="FNT11" s="118"/>
      <c r="FNU11" s="118"/>
      <c r="FNV11" s="118"/>
      <c r="FNW11" s="118"/>
      <c r="FNX11" s="118"/>
      <c r="FNY11" s="118"/>
      <c r="FNZ11" s="118"/>
      <c r="FOA11" s="118"/>
      <c r="FOB11" s="118"/>
      <c r="FOC11" s="118"/>
      <c r="FOD11" s="118"/>
      <c r="FOE11" s="118"/>
      <c r="FOF11" s="118"/>
      <c r="FOG11" s="118"/>
      <c r="FOH11" s="118"/>
      <c r="FOI11" s="118"/>
      <c r="FOJ11" s="118"/>
      <c r="FOK11" s="118"/>
      <c r="FOL11" s="118"/>
      <c r="FOM11" s="118"/>
      <c r="FON11" s="118"/>
      <c r="FOO11" s="118"/>
      <c r="FOP11" s="118"/>
      <c r="FOQ11" s="118"/>
      <c r="FOR11" s="118"/>
      <c r="FOS11" s="118"/>
      <c r="FOT11" s="118"/>
      <c r="FOU11" s="118"/>
      <c r="FOV11" s="118"/>
      <c r="FOW11" s="118"/>
      <c r="FOX11" s="118"/>
      <c r="FOY11" s="118"/>
      <c r="FOZ11" s="118"/>
      <c r="FPA11" s="118"/>
      <c r="FPB11" s="118"/>
      <c r="FPC11" s="118"/>
      <c r="FPD11" s="118"/>
      <c r="FPE11" s="118"/>
      <c r="FPF11" s="118"/>
      <c r="FPG11" s="118"/>
      <c r="FPH11" s="118"/>
      <c r="FPI11" s="118"/>
      <c r="FPJ11" s="118"/>
      <c r="FPK11" s="118"/>
      <c r="FPL11" s="118"/>
      <c r="FPM11" s="118"/>
      <c r="FPN11" s="118"/>
      <c r="FPO11" s="118"/>
      <c r="FPP11" s="118"/>
      <c r="FPQ11" s="118"/>
      <c r="FPR11" s="118"/>
      <c r="FPS11" s="118"/>
      <c r="FPT11" s="118"/>
      <c r="FPU11" s="118"/>
      <c r="FPV11" s="118"/>
      <c r="FPW11" s="118"/>
      <c r="FPX11" s="118"/>
      <c r="FPY11" s="118"/>
      <c r="FPZ11" s="118"/>
      <c r="FQA11" s="118"/>
      <c r="FQB11" s="118"/>
      <c r="FQC11" s="118"/>
      <c r="FQD11" s="118"/>
      <c r="FQE11" s="118"/>
      <c r="FQF11" s="118"/>
      <c r="FQG11" s="118"/>
      <c r="FQH11" s="118"/>
      <c r="FQI11" s="118"/>
      <c r="FQJ11" s="118"/>
      <c r="FQK11" s="118"/>
      <c r="FQL11" s="118"/>
      <c r="FQM11" s="118"/>
      <c r="FQN11" s="118"/>
      <c r="FQO11" s="118"/>
      <c r="FQP11" s="118"/>
      <c r="FQQ11" s="118"/>
      <c r="FQR11" s="118"/>
      <c r="FQS11" s="118"/>
      <c r="FQT11" s="118"/>
      <c r="FQU11" s="118"/>
      <c r="FQV11" s="118"/>
      <c r="FQW11" s="118"/>
      <c r="FQX11" s="118"/>
      <c r="FQY11" s="118"/>
      <c r="FQZ11" s="118"/>
      <c r="FRA11" s="118"/>
      <c r="FRB11" s="118"/>
      <c r="FRC11" s="118"/>
      <c r="FRD11" s="118"/>
      <c r="FRE11" s="118"/>
      <c r="FRF11" s="118"/>
      <c r="FRG11" s="118"/>
      <c r="FRH11" s="118"/>
      <c r="FRI11" s="118"/>
      <c r="FRJ11" s="118"/>
      <c r="FRK11" s="118"/>
      <c r="FRL11" s="118"/>
      <c r="FRM11" s="118"/>
      <c r="FRN11" s="118"/>
      <c r="FRO11" s="118"/>
      <c r="FRP11" s="118"/>
      <c r="FRQ11" s="118"/>
      <c r="FRR11" s="118"/>
      <c r="FRS11" s="118"/>
      <c r="FRT11" s="118"/>
      <c r="FRU11" s="118"/>
      <c r="FRV11" s="118"/>
      <c r="FRW11" s="118"/>
      <c r="FRX11" s="118"/>
      <c r="FRY11" s="118"/>
      <c r="FRZ11" s="118"/>
      <c r="FSA11" s="118"/>
      <c r="FSB11" s="118"/>
      <c r="FSC11" s="118"/>
      <c r="FSD11" s="118"/>
      <c r="FSE11" s="118"/>
      <c r="FSF11" s="118"/>
      <c r="FSG11" s="118"/>
      <c r="FSH11" s="118"/>
      <c r="FSI11" s="118"/>
      <c r="FSJ11" s="118"/>
      <c r="FSK11" s="118"/>
      <c r="FSL11" s="118"/>
      <c r="FSM11" s="118"/>
      <c r="FSN11" s="118"/>
      <c r="FSO11" s="118"/>
      <c r="FSP11" s="118"/>
      <c r="FSQ11" s="118"/>
      <c r="FSR11" s="118"/>
      <c r="FSS11" s="118"/>
      <c r="FST11" s="118"/>
      <c r="FSU11" s="118"/>
      <c r="FSV11" s="118"/>
      <c r="FSW11" s="118"/>
      <c r="FSX11" s="118"/>
      <c r="FSY11" s="118"/>
      <c r="FSZ11" s="118"/>
      <c r="FTA11" s="118"/>
      <c r="FTB11" s="118"/>
      <c r="FTC11" s="118"/>
      <c r="FTD11" s="118"/>
      <c r="FTE11" s="118"/>
      <c r="FTF11" s="118"/>
      <c r="FTG11" s="118"/>
      <c r="FTH11" s="118"/>
      <c r="FTI11" s="118"/>
      <c r="FTJ11" s="118"/>
      <c r="FTK11" s="118"/>
      <c r="FTL11" s="118"/>
      <c r="FTM11" s="118"/>
      <c r="FTN11" s="118"/>
      <c r="FTO11" s="118"/>
      <c r="FTP11" s="118"/>
      <c r="FTQ11" s="118"/>
      <c r="FTR11" s="118"/>
      <c r="FTS11" s="118"/>
      <c r="FTT11" s="118"/>
      <c r="FTU11" s="118"/>
      <c r="FTV11" s="118"/>
      <c r="FTW11" s="118"/>
      <c r="FTX11" s="118"/>
      <c r="FTY11" s="118"/>
      <c r="FTZ11" s="118"/>
      <c r="FUA11" s="118"/>
      <c r="FUB11" s="118"/>
      <c r="FUC11" s="118"/>
      <c r="FUD11" s="118"/>
      <c r="FUE11" s="118"/>
      <c r="FUF11" s="118"/>
      <c r="FUG11" s="118"/>
      <c r="FUH11" s="118"/>
      <c r="FUI11" s="118"/>
      <c r="FUJ11" s="118"/>
      <c r="FUK11" s="118"/>
      <c r="FUL11" s="118"/>
      <c r="FUM11" s="118"/>
      <c r="FUN11" s="118"/>
      <c r="FUO11" s="118"/>
      <c r="FUP11" s="118"/>
      <c r="FUQ11" s="118"/>
      <c r="FUR11" s="118"/>
      <c r="FUS11" s="118"/>
      <c r="FUT11" s="118"/>
      <c r="FUU11" s="118"/>
      <c r="FUV11" s="118"/>
      <c r="FUW11" s="118"/>
      <c r="FUX11" s="118"/>
      <c r="FUY11" s="118"/>
      <c r="FUZ11" s="118"/>
      <c r="FVA11" s="118"/>
      <c r="FVB11" s="118"/>
      <c r="FVC11" s="118"/>
      <c r="FVD11" s="118"/>
      <c r="FVE11" s="118"/>
      <c r="FVF11" s="118"/>
      <c r="FVG11" s="118"/>
      <c r="FVH11" s="118"/>
      <c r="FVI11" s="118"/>
      <c r="FVJ11" s="118"/>
      <c r="FVK11" s="118"/>
      <c r="FVL11" s="118"/>
      <c r="FVM11" s="118"/>
      <c r="FVN11" s="118"/>
      <c r="FVO11" s="118"/>
      <c r="FVP11" s="118"/>
      <c r="FVQ11" s="118"/>
      <c r="FVR11" s="118"/>
      <c r="FVS11" s="118"/>
      <c r="FVT11" s="118"/>
      <c r="FVU11" s="118"/>
      <c r="FVV11" s="118"/>
      <c r="FVW11" s="118"/>
      <c r="FVX11" s="118"/>
      <c r="FVY11" s="118"/>
      <c r="FVZ11" s="118"/>
      <c r="FWA11" s="118"/>
      <c r="FWB11" s="118"/>
      <c r="FWC11" s="118"/>
      <c r="FWD11" s="118"/>
      <c r="FWE11" s="118"/>
      <c r="FWF11" s="118"/>
      <c r="FWG11" s="118"/>
      <c r="FWH11" s="118"/>
      <c r="FWI11" s="118"/>
      <c r="FWJ11" s="118"/>
      <c r="FWK11" s="118"/>
      <c r="FWL11" s="118"/>
      <c r="FWM11" s="118"/>
      <c r="FWN11" s="118"/>
      <c r="FWO11" s="118"/>
      <c r="FWP11" s="118"/>
      <c r="FWQ11" s="118"/>
      <c r="FWR11" s="118"/>
      <c r="FWS11" s="118"/>
      <c r="FWT11" s="118"/>
      <c r="FWU11" s="118"/>
      <c r="FWV11" s="118"/>
      <c r="FWW11" s="118"/>
      <c r="FWX11" s="118"/>
      <c r="FWY11" s="118"/>
      <c r="FWZ11" s="118"/>
      <c r="FXA11" s="118"/>
      <c r="FXB11" s="118"/>
      <c r="FXC11" s="118"/>
      <c r="FXD11" s="118"/>
      <c r="FXE11" s="118"/>
      <c r="FXF11" s="118"/>
      <c r="FXG11" s="118"/>
      <c r="FXH11" s="118"/>
      <c r="FXI11" s="118"/>
      <c r="FXJ11" s="118"/>
      <c r="FXK11" s="118"/>
      <c r="FXL11" s="118"/>
      <c r="FXM11" s="118"/>
      <c r="FXN11" s="118"/>
      <c r="FXO11" s="118"/>
      <c r="FXP11" s="118"/>
      <c r="FXQ11" s="118"/>
      <c r="FXR11" s="118"/>
      <c r="FXS11" s="118"/>
      <c r="FXT11" s="118"/>
      <c r="FXU11" s="118"/>
      <c r="FXV11" s="118"/>
      <c r="FXW11" s="118"/>
      <c r="FXX11" s="118"/>
      <c r="FXY11" s="118"/>
      <c r="FXZ11" s="118"/>
      <c r="FYA11" s="118"/>
      <c r="FYB11" s="118"/>
      <c r="FYC11" s="118"/>
      <c r="FYD11" s="118"/>
      <c r="FYE11" s="118"/>
      <c r="FYF11" s="118"/>
      <c r="FYG11" s="118"/>
      <c r="FYH11" s="118"/>
      <c r="FYI11" s="118"/>
      <c r="FYJ11" s="118"/>
      <c r="FYK11" s="118"/>
      <c r="FYL11" s="118"/>
      <c r="FYM11" s="118"/>
      <c r="FYN11" s="118"/>
      <c r="FYO11" s="118"/>
      <c r="FYP11" s="118"/>
      <c r="FYQ11" s="118"/>
      <c r="FYR11" s="118"/>
      <c r="FYS11" s="118"/>
      <c r="FYT11" s="118"/>
      <c r="FYU11" s="118"/>
      <c r="FYV11" s="118"/>
      <c r="FYW11" s="118"/>
      <c r="FYX11" s="118"/>
      <c r="FYY11" s="118"/>
      <c r="FYZ11" s="118"/>
      <c r="FZA11" s="118"/>
      <c r="FZB11" s="118"/>
      <c r="FZC11" s="118"/>
      <c r="FZD11" s="118"/>
      <c r="FZE11" s="118"/>
      <c r="FZF11" s="118"/>
      <c r="FZG11" s="118"/>
      <c r="FZH11" s="118"/>
      <c r="FZI11" s="118"/>
      <c r="FZJ11" s="118"/>
      <c r="FZK11" s="118"/>
      <c r="FZL11" s="118"/>
      <c r="FZM11" s="118"/>
      <c r="FZN11" s="118"/>
      <c r="FZO11" s="118"/>
      <c r="FZP11" s="118"/>
      <c r="FZQ11" s="118"/>
      <c r="FZR11" s="118"/>
      <c r="FZS11" s="118"/>
      <c r="FZT11" s="118"/>
      <c r="FZU11" s="118"/>
      <c r="FZV11" s="118"/>
      <c r="FZW11" s="118"/>
      <c r="FZX11" s="118"/>
      <c r="FZY11" s="118"/>
      <c r="FZZ11" s="118"/>
      <c r="GAA11" s="118"/>
      <c r="GAB11" s="118"/>
      <c r="GAC11" s="118"/>
      <c r="GAD11" s="118"/>
      <c r="GAE11" s="118"/>
      <c r="GAF11" s="118"/>
      <c r="GAG11" s="118"/>
      <c r="GAH11" s="118"/>
      <c r="GAI11" s="118"/>
      <c r="GAJ11" s="118"/>
      <c r="GAK11" s="118"/>
      <c r="GAL11" s="118"/>
      <c r="GAM11" s="118"/>
      <c r="GAN11" s="118"/>
      <c r="GAO11" s="118"/>
      <c r="GAP11" s="118"/>
      <c r="GAQ11" s="118"/>
      <c r="GAR11" s="118"/>
      <c r="GAS11" s="118"/>
      <c r="GAT11" s="118"/>
      <c r="GAU11" s="118"/>
      <c r="GAV11" s="118"/>
      <c r="GAW11" s="118"/>
      <c r="GAX11" s="118"/>
      <c r="GAY11" s="118"/>
      <c r="GAZ11" s="118"/>
      <c r="GBA11" s="118"/>
      <c r="GBB11" s="118"/>
      <c r="GBC11" s="118"/>
      <c r="GBD11" s="118"/>
      <c r="GBE11" s="118"/>
      <c r="GBF11" s="118"/>
      <c r="GBG11" s="118"/>
      <c r="GBH11" s="118"/>
      <c r="GBI11" s="118"/>
      <c r="GBJ11" s="118"/>
      <c r="GBK11" s="118"/>
      <c r="GBL11" s="118"/>
      <c r="GBM11" s="118"/>
      <c r="GBN11" s="118"/>
      <c r="GBO11" s="118"/>
      <c r="GBP11" s="118"/>
      <c r="GBQ11" s="118"/>
      <c r="GBR11" s="118"/>
      <c r="GBS11" s="118"/>
      <c r="GBT11" s="118"/>
      <c r="GBU11" s="118"/>
      <c r="GBV11" s="118"/>
      <c r="GBW11" s="118"/>
      <c r="GBX11" s="118"/>
      <c r="GBY11" s="118"/>
      <c r="GBZ11" s="118"/>
      <c r="GCA11" s="118"/>
      <c r="GCB11" s="118"/>
      <c r="GCC11" s="118"/>
      <c r="GCD11" s="118"/>
      <c r="GCE11" s="118"/>
      <c r="GCF11" s="118"/>
      <c r="GCG11" s="118"/>
      <c r="GCH11" s="118"/>
      <c r="GCI11" s="118"/>
      <c r="GCJ11" s="118"/>
      <c r="GCK11" s="118"/>
      <c r="GCL11" s="118"/>
      <c r="GCM11" s="118"/>
      <c r="GCN11" s="118"/>
      <c r="GCO11" s="118"/>
      <c r="GCP11" s="118"/>
      <c r="GCQ11" s="118"/>
      <c r="GCR11" s="118"/>
      <c r="GCS11" s="118"/>
      <c r="GCT11" s="118"/>
      <c r="GCU11" s="118"/>
      <c r="GCV11" s="118"/>
      <c r="GCW11" s="118"/>
      <c r="GCX11" s="118"/>
      <c r="GCY11" s="118"/>
      <c r="GCZ11" s="118"/>
      <c r="GDA11" s="118"/>
      <c r="GDB11" s="118"/>
      <c r="GDC11" s="118"/>
      <c r="GDD11" s="118"/>
      <c r="GDE11" s="118"/>
      <c r="GDF11" s="118"/>
      <c r="GDG11" s="118"/>
      <c r="GDH11" s="118"/>
      <c r="GDI11" s="118"/>
      <c r="GDJ11" s="118"/>
      <c r="GDK11" s="118"/>
      <c r="GDL11" s="118"/>
      <c r="GDM11" s="118"/>
      <c r="GDN11" s="118"/>
      <c r="GDO11" s="118"/>
      <c r="GDP11" s="118"/>
      <c r="GDQ11" s="118"/>
      <c r="GDR11" s="118"/>
      <c r="GDS11" s="118"/>
      <c r="GDT11" s="118"/>
      <c r="GDU11" s="118"/>
      <c r="GDV11" s="118"/>
      <c r="GDW11" s="118"/>
      <c r="GDX11" s="118"/>
      <c r="GDY11" s="118"/>
      <c r="GDZ11" s="118"/>
      <c r="GEA11" s="118"/>
      <c r="GEB11" s="118"/>
      <c r="GEC11" s="118"/>
      <c r="GED11" s="118"/>
      <c r="GEE11" s="118"/>
      <c r="GEF11" s="118"/>
      <c r="GEG11" s="118"/>
      <c r="GEH11" s="118"/>
      <c r="GEI11" s="118"/>
      <c r="GEJ11" s="118"/>
      <c r="GEK11" s="118"/>
      <c r="GEL11" s="118"/>
      <c r="GEM11" s="118"/>
      <c r="GEN11" s="118"/>
      <c r="GEO11" s="118"/>
      <c r="GEP11" s="118"/>
      <c r="GEQ11" s="118"/>
      <c r="GER11" s="118"/>
      <c r="GES11" s="118"/>
      <c r="GET11" s="118"/>
      <c r="GEU11" s="118"/>
      <c r="GEV11" s="118"/>
      <c r="GEW11" s="118"/>
      <c r="GEX11" s="118"/>
      <c r="GEY11" s="118"/>
      <c r="GEZ11" s="118"/>
      <c r="GFA11" s="118"/>
      <c r="GFB11" s="118"/>
      <c r="GFC11" s="118"/>
      <c r="GFD11" s="118"/>
      <c r="GFE11" s="118"/>
      <c r="GFF11" s="118"/>
      <c r="GFG11" s="118"/>
      <c r="GFH11" s="118"/>
      <c r="GFI11" s="118"/>
      <c r="GFJ11" s="118"/>
      <c r="GFK11" s="118"/>
      <c r="GFL11" s="118"/>
      <c r="GFM11" s="118"/>
      <c r="GFN11" s="118"/>
      <c r="GFO11" s="118"/>
      <c r="GFP11" s="118"/>
      <c r="GFQ11" s="118"/>
      <c r="GFR11" s="118"/>
      <c r="GFS11" s="118"/>
      <c r="GFT11" s="118"/>
      <c r="GFU11" s="118"/>
      <c r="GFV11" s="118"/>
      <c r="GFW11" s="118"/>
      <c r="GFX11" s="118"/>
      <c r="GFY11" s="118"/>
      <c r="GFZ11" s="118"/>
      <c r="GGA11" s="118"/>
      <c r="GGB11" s="118"/>
      <c r="GGC11" s="118"/>
      <c r="GGD11" s="118"/>
      <c r="GGE11" s="118"/>
      <c r="GGF11" s="118"/>
      <c r="GGG11" s="118"/>
      <c r="GGH11" s="118"/>
      <c r="GGI11" s="118"/>
      <c r="GGJ11" s="118"/>
      <c r="GGK11" s="118"/>
      <c r="GGL11" s="118"/>
      <c r="GGM11" s="118"/>
      <c r="GGN11" s="118"/>
      <c r="GGO11" s="118"/>
      <c r="GGP11" s="118"/>
      <c r="GGQ11" s="118"/>
      <c r="GGR11" s="118"/>
      <c r="GGS11" s="118"/>
      <c r="GGT11" s="118"/>
      <c r="GGU11" s="118"/>
      <c r="GGV11" s="118"/>
      <c r="GGW11" s="118"/>
      <c r="GGX11" s="118"/>
      <c r="GGY11" s="118"/>
      <c r="GGZ11" s="118"/>
      <c r="GHA11" s="118"/>
      <c r="GHB11" s="118"/>
      <c r="GHC11" s="118"/>
      <c r="GHD11" s="118"/>
      <c r="GHE11" s="118"/>
      <c r="GHF11" s="118"/>
      <c r="GHG11" s="118"/>
      <c r="GHH11" s="118"/>
      <c r="GHI11" s="118"/>
      <c r="GHJ11" s="118"/>
      <c r="GHK11" s="118"/>
      <c r="GHL11" s="118"/>
      <c r="GHM11" s="118"/>
      <c r="GHN11" s="118"/>
      <c r="GHO11" s="118"/>
      <c r="GHP11" s="118"/>
      <c r="GHQ11" s="118"/>
      <c r="GHR11" s="118"/>
      <c r="GHS11" s="118"/>
      <c r="GHT11" s="118"/>
      <c r="GHU11" s="118"/>
      <c r="GHV11" s="118"/>
      <c r="GHW11" s="118"/>
      <c r="GHX11" s="118"/>
      <c r="GHY11" s="118"/>
      <c r="GHZ11" s="118"/>
      <c r="GIA11" s="118"/>
      <c r="GIB11" s="118"/>
      <c r="GIC11" s="118"/>
      <c r="GID11" s="118"/>
      <c r="GIE11" s="118"/>
      <c r="GIF11" s="118"/>
      <c r="GIG11" s="118"/>
      <c r="GIH11" s="118"/>
      <c r="GII11" s="118"/>
      <c r="GIJ11" s="118"/>
      <c r="GIK11" s="118"/>
      <c r="GIL11" s="118"/>
      <c r="GIM11" s="118"/>
      <c r="GIN11" s="118"/>
      <c r="GIO11" s="118"/>
      <c r="GIP11" s="118"/>
      <c r="GIQ11" s="118"/>
      <c r="GIR11" s="118"/>
      <c r="GIS11" s="118"/>
      <c r="GIT11" s="118"/>
      <c r="GIU11" s="118"/>
      <c r="GIV11" s="118"/>
      <c r="GIW11" s="118"/>
      <c r="GIX11" s="118"/>
      <c r="GIY11" s="118"/>
      <c r="GIZ11" s="118"/>
      <c r="GJA11" s="118"/>
      <c r="GJB11" s="118"/>
      <c r="GJC11" s="118"/>
      <c r="GJD11" s="118"/>
      <c r="GJE11" s="118"/>
      <c r="GJF11" s="118"/>
      <c r="GJG11" s="118"/>
      <c r="GJH11" s="118"/>
      <c r="GJI11" s="118"/>
      <c r="GJJ11" s="118"/>
      <c r="GJK11" s="118"/>
      <c r="GJL11" s="118"/>
      <c r="GJM11" s="118"/>
      <c r="GJN11" s="118"/>
      <c r="GJO11" s="118"/>
      <c r="GJP11" s="118"/>
      <c r="GJQ11" s="118"/>
      <c r="GJR11" s="118"/>
      <c r="GJS11" s="118"/>
      <c r="GJT11" s="118"/>
      <c r="GJU11" s="118"/>
      <c r="GJV11" s="118"/>
      <c r="GJW11" s="118"/>
      <c r="GJX11" s="118"/>
      <c r="GJY11" s="118"/>
      <c r="GJZ11" s="118"/>
      <c r="GKA11" s="118"/>
      <c r="GKB11" s="118"/>
      <c r="GKC11" s="118"/>
      <c r="GKD11" s="118"/>
      <c r="GKE11" s="118"/>
      <c r="GKF11" s="118"/>
      <c r="GKG11" s="118"/>
      <c r="GKH11" s="118"/>
      <c r="GKI11" s="118"/>
      <c r="GKJ11" s="118"/>
      <c r="GKK11" s="118"/>
      <c r="GKL11" s="118"/>
      <c r="GKM11" s="118"/>
      <c r="GKN11" s="118"/>
      <c r="GKO11" s="118"/>
      <c r="GKP11" s="118"/>
      <c r="GKQ11" s="118"/>
      <c r="GKR11" s="118"/>
      <c r="GKS11" s="118"/>
      <c r="GKT11" s="118"/>
      <c r="GKU11" s="118"/>
      <c r="GKV11" s="118"/>
      <c r="GKW11" s="118"/>
      <c r="GKX11" s="118"/>
      <c r="GKY11" s="118"/>
      <c r="GKZ11" s="118"/>
      <c r="GLA11" s="118"/>
      <c r="GLB11" s="118"/>
      <c r="GLC11" s="118"/>
      <c r="GLD11" s="118"/>
      <c r="GLE11" s="118"/>
      <c r="GLF11" s="118"/>
      <c r="GLG11" s="118"/>
      <c r="GLH11" s="118"/>
      <c r="GLI11" s="118"/>
      <c r="GLJ11" s="118"/>
      <c r="GLK11" s="118"/>
      <c r="GLL11" s="118"/>
      <c r="GLM11" s="118"/>
      <c r="GLN11" s="118"/>
      <c r="GLO11" s="118"/>
      <c r="GLP11" s="118"/>
      <c r="GLQ11" s="118"/>
      <c r="GLR11" s="118"/>
      <c r="GLS11" s="118"/>
      <c r="GLT11" s="118"/>
      <c r="GLU11" s="118"/>
      <c r="GLV11" s="118"/>
      <c r="GLW11" s="118"/>
      <c r="GLX11" s="118"/>
      <c r="GLY11" s="118"/>
      <c r="GLZ11" s="118"/>
      <c r="GMA11" s="118"/>
      <c r="GMB11" s="118"/>
      <c r="GMC11" s="118"/>
      <c r="GMD11" s="118"/>
      <c r="GME11" s="118"/>
      <c r="GMF11" s="118"/>
      <c r="GMG11" s="118"/>
      <c r="GMH11" s="118"/>
      <c r="GMI11" s="118"/>
      <c r="GMJ11" s="118"/>
      <c r="GMK11" s="118"/>
      <c r="GML11" s="118"/>
      <c r="GMM11" s="118"/>
      <c r="GMN11" s="118"/>
      <c r="GMO11" s="118"/>
      <c r="GMP11" s="118"/>
      <c r="GMQ11" s="118"/>
      <c r="GMR11" s="118"/>
      <c r="GMS11" s="118"/>
      <c r="GMT11" s="118"/>
      <c r="GMU11" s="118"/>
      <c r="GMV11" s="118"/>
      <c r="GMW11" s="118"/>
      <c r="GMX11" s="118"/>
      <c r="GMY11" s="118"/>
      <c r="GMZ11" s="118"/>
      <c r="GNA11" s="118"/>
      <c r="GNB11" s="118"/>
      <c r="GNC11" s="118"/>
      <c r="GND11" s="118"/>
      <c r="GNE11" s="118"/>
      <c r="GNF11" s="118"/>
      <c r="GNG11" s="118"/>
      <c r="GNH11" s="118"/>
      <c r="GNI11" s="118"/>
      <c r="GNJ11" s="118"/>
      <c r="GNK11" s="118"/>
      <c r="GNL11" s="118"/>
      <c r="GNM11" s="118"/>
      <c r="GNN11" s="118"/>
      <c r="GNO11" s="118"/>
      <c r="GNP11" s="118"/>
      <c r="GNQ11" s="118"/>
      <c r="GNR11" s="118"/>
      <c r="GNS11" s="118"/>
      <c r="GNT11" s="118"/>
      <c r="GNU11" s="118"/>
      <c r="GNV11" s="118"/>
      <c r="GNW11" s="118"/>
      <c r="GNX11" s="118"/>
      <c r="GNY11" s="118"/>
      <c r="GNZ11" s="118"/>
      <c r="GOA11" s="118"/>
      <c r="GOB11" s="118"/>
      <c r="GOC11" s="118"/>
      <c r="GOD11" s="118"/>
      <c r="GOE11" s="118"/>
      <c r="GOF11" s="118"/>
      <c r="GOG11" s="118"/>
      <c r="GOH11" s="118"/>
      <c r="GOI11" s="118"/>
      <c r="GOJ11" s="118"/>
      <c r="GOK11" s="118"/>
      <c r="GOL11" s="118"/>
      <c r="GOM11" s="118"/>
      <c r="GON11" s="118"/>
      <c r="GOO11" s="118"/>
      <c r="GOP11" s="118"/>
      <c r="GOQ11" s="118"/>
      <c r="GOR11" s="118"/>
      <c r="GOS11" s="118"/>
      <c r="GOT11" s="118"/>
      <c r="GOU11" s="118"/>
      <c r="GOV11" s="118"/>
      <c r="GOW11" s="118"/>
      <c r="GOX11" s="118"/>
      <c r="GOY11" s="118"/>
      <c r="GOZ11" s="118"/>
      <c r="GPA11" s="118"/>
      <c r="GPB11" s="118"/>
      <c r="GPC11" s="118"/>
      <c r="GPD11" s="118"/>
      <c r="GPE11" s="118"/>
      <c r="GPF11" s="118"/>
      <c r="GPG11" s="118"/>
      <c r="GPH11" s="118"/>
      <c r="GPI11" s="118"/>
      <c r="GPJ11" s="118"/>
      <c r="GPK11" s="118"/>
      <c r="GPL11" s="118"/>
      <c r="GPM11" s="118"/>
      <c r="GPN11" s="118"/>
      <c r="GPO11" s="118"/>
      <c r="GPP11" s="118"/>
      <c r="GPQ11" s="118"/>
      <c r="GPR11" s="118"/>
      <c r="GPS11" s="118"/>
      <c r="GPT11" s="118"/>
      <c r="GPU11" s="118"/>
      <c r="GPV11" s="118"/>
      <c r="GPW11" s="118"/>
      <c r="GPX11" s="118"/>
      <c r="GPY11" s="118"/>
      <c r="GPZ11" s="118"/>
      <c r="GQA11" s="118"/>
      <c r="GQB11" s="118"/>
      <c r="GQC11" s="118"/>
      <c r="GQD11" s="118"/>
      <c r="GQE11" s="118"/>
      <c r="GQF11" s="118"/>
      <c r="GQG11" s="118"/>
      <c r="GQH11" s="118"/>
      <c r="GQI11" s="118"/>
      <c r="GQJ11" s="118"/>
      <c r="GQK11" s="118"/>
      <c r="GQL11" s="118"/>
      <c r="GQM11" s="118"/>
      <c r="GQN11" s="118"/>
      <c r="GQO11" s="118"/>
      <c r="GQP11" s="118"/>
      <c r="GQQ11" s="118"/>
      <c r="GQR11" s="118"/>
      <c r="GQS11" s="118"/>
      <c r="GQT11" s="118"/>
      <c r="GQU11" s="118"/>
      <c r="GQV11" s="118"/>
      <c r="GQW11" s="118"/>
      <c r="GQX11" s="118"/>
      <c r="GQY11" s="118"/>
      <c r="GQZ11" s="118"/>
      <c r="GRA11" s="118"/>
      <c r="GRB11" s="118"/>
      <c r="GRC11" s="118"/>
      <c r="GRD11" s="118"/>
      <c r="GRE11" s="118"/>
      <c r="GRF11" s="118"/>
      <c r="GRG11" s="118"/>
      <c r="GRH11" s="118"/>
      <c r="GRI11" s="118"/>
      <c r="GRJ11" s="118"/>
      <c r="GRK11" s="118"/>
      <c r="GRL11" s="118"/>
      <c r="GRM11" s="118"/>
      <c r="GRN11" s="118"/>
      <c r="GRO11" s="118"/>
      <c r="GRP11" s="118"/>
      <c r="GRQ11" s="118"/>
      <c r="GRR11" s="118"/>
      <c r="GRS11" s="118"/>
      <c r="GRT11" s="118"/>
      <c r="GRU11" s="118"/>
      <c r="GRV11" s="118"/>
      <c r="GRW11" s="118"/>
      <c r="GRX11" s="118"/>
      <c r="GRY11" s="118"/>
      <c r="GRZ11" s="118"/>
      <c r="GSA11" s="118"/>
      <c r="GSB11" s="118"/>
      <c r="GSC11" s="118"/>
      <c r="GSD11" s="118"/>
      <c r="GSE11" s="118"/>
      <c r="GSF11" s="118"/>
      <c r="GSG11" s="118"/>
      <c r="GSH11" s="118"/>
      <c r="GSI11" s="118"/>
      <c r="GSJ11" s="118"/>
      <c r="GSK11" s="118"/>
      <c r="GSL11" s="118"/>
      <c r="GSM11" s="118"/>
      <c r="GSN11" s="118"/>
      <c r="GSO11" s="118"/>
      <c r="GSP11" s="118"/>
      <c r="GSQ11" s="118"/>
      <c r="GSR11" s="118"/>
      <c r="GSS11" s="118"/>
      <c r="GST11" s="118"/>
      <c r="GSU11" s="118"/>
      <c r="GSV11" s="118"/>
      <c r="GSW11" s="118"/>
      <c r="GSX11" s="118"/>
      <c r="GSY11" s="118"/>
      <c r="GSZ11" s="118"/>
      <c r="GTA11" s="118"/>
      <c r="GTB11" s="118"/>
      <c r="GTC11" s="118"/>
      <c r="GTD11" s="118"/>
      <c r="GTE11" s="118"/>
      <c r="GTF11" s="118"/>
      <c r="GTG11" s="118"/>
      <c r="GTH11" s="118"/>
      <c r="GTI11" s="118"/>
      <c r="GTJ11" s="118"/>
      <c r="GTK11" s="118"/>
      <c r="GTL11" s="118"/>
      <c r="GTM11" s="118"/>
      <c r="GTN11" s="118"/>
      <c r="GTO11" s="118"/>
      <c r="GTP11" s="118"/>
      <c r="GTQ11" s="118"/>
      <c r="GTR11" s="118"/>
      <c r="GTS11" s="118"/>
      <c r="GTT11" s="118"/>
      <c r="GTU11" s="118"/>
      <c r="GTV11" s="118"/>
      <c r="GTW11" s="118"/>
      <c r="GTX11" s="118"/>
      <c r="GTY11" s="118"/>
      <c r="GTZ11" s="118"/>
      <c r="GUA11" s="118"/>
      <c r="GUB11" s="118"/>
      <c r="GUC11" s="118"/>
      <c r="GUD11" s="118"/>
      <c r="GUE11" s="118"/>
      <c r="GUF11" s="118"/>
      <c r="GUG11" s="118"/>
      <c r="GUH11" s="118"/>
      <c r="GUI11" s="118"/>
      <c r="GUJ11" s="118"/>
      <c r="GUK11" s="118"/>
      <c r="GUL11" s="118"/>
      <c r="GUM11" s="118"/>
      <c r="GUN11" s="118"/>
      <c r="GUO11" s="118"/>
      <c r="GUP11" s="118"/>
      <c r="GUQ11" s="118"/>
      <c r="GUR11" s="118"/>
      <c r="GUS11" s="118"/>
      <c r="GUT11" s="118"/>
      <c r="GUU11" s="118"/>
      <c r="GUV11" s="118"/>
      <c r="GUW11" s="118"/>
      <c r="GUX11" s="118"/>
      <c r="GUY11" s="118"/>
      <c r="GUZ11" s="118"/>
      <c r="GVA11" s="118"/>
      <c r="GVB11" s="118"/>
      <c r="GVC11" s="118"/>
      <c r="GVD11" s="118"/>
      <c r="GVE11" s="118"/>
      <c r="GVF11" s="118"/>
      <c r="GVG11" s="118"/>
      <c r="GVH11" s="118"/>
      <c r="GVI11" s="118"/>
      <c r="GVJ11" s="118"/>
      <c r="GVK11" s="118"/>
      <c r="GVL11" s="118"/>
      <c r="GVM11" s="118"/>
      <c r="GVN11" s="118"/>
      <c r="GVO11" s="118"/>
      <c r="GVP11" s="118"/>
      <c r="GVQ11" s="118"/>
      <c r="GVR11" s="118"/>
      <c r="GVS11" s="118"/>
      <c r="GVT11" s="118"/>
      <c r="GVU11" s="118"/>
      <c r="GVV11" s="118"/>
      <c r="GVW11" s="118"/>
      <c r="GVX11" s="118"/>
      <c r="GVY11" s="118"/>
      <c r="GVZ11" s="118"/>
      <c r="GWA11" s="118"/>
      <c r="GWB11" s="118"/>
      <c r="GWC11" s="118"/>
      <c r="GWD11" s="118"/>
      <c r="GWE11" s="118"/>
      <c r="GWF11" s="118"/>
      <c r="GWG11" s="118"/>
      <c r="GWH11" s="118"/>
      <c r="GWI11" s="118"/>
      <c r="GWJ11" s="118"/>
      <c r="GWK11" s="118"/>
      <c r="GWL11" s="118"/>
      <c r="GWM11" s="118"/>
      <c r="GWN11" s="118"/>
      <c r="GWO11" s="118"/>
      <c r="GWP11" s="118"/>
      <c r="GWQ11" s="118"/>
      <c r="GWR11" s="118"/>
      <c r="GWS11" s="118"/>
      <c r="GWT11" s="118"/>
      <c r="GWU11" s="118"/>
      <c r="GWV11" s="118"/>
      <c r="GWW11" s="118"/>
      <c r="GWX11" s="118"/>
      <c r="GWY11" s="118"/>
      <c r="GWZ11" s="118"/>
      <c r="GXA11" s="118"/>
      <c r="GXB11" s="118"/>
      <c r="GXC11" s="118"/>
      <c r="GXD11" s="118"/>
      <c r="GXE11" s="118"/>
      <c r="GXF11" s="118"/>
      <c r="GXG11" s="118"/>
      <c r="GXH11" s="118"/>
      <c r="GXI11" s="118"/>
      <c r="GXJ11" s="118"/>
      <c r="GXK11" s="118"/>
      <c r="GXL11" s="118"/>
      <c r="GXM11" s="118"/>
      <c r="GXN11" s="118"/>
      <c r="GXO11" s="118"/>
      <c r="GXP11" s="118"/>
      <c r="GXQ11" s="118"/>
      <c r="GXR11" s="118"/>
      <c r="GXS11" s="118"/>
      <c r="GXT11" s="118"/>
      <c r="GXU11" s="118"/>
      <c r="GXV11" s="118"/>
      <c r="GXW11" s="118"/>
      <c r="GXX11" s="118"/>
      <c r="GXY11" s="118"/>
      <c r="GXZ11" s="118"/>
      <c r="GYA11" s="118"/>
      <c r="GYB11" s="118"/>
      <c r="GYC11" s="118"/>
      <c r="GYD11" s="118"/>
      <c r="GYE11" s="118"/>
      <c r="GYF11" s="118"/>
      <c r="GYG11" s="118"/>
      <c r="GYH11" s="118"/>
      <c r="GYI11" s="118"/>
      <c r="GYJ11" s="118"/>
      <c r="GYK11" s="118"/>
      <c r="GYL11" s="118"/>
      <c r="GYM11" s="118"/>
      <c r="GYN11" s="118"/>
      <c r="GYO11" s="118"/>
      <c r="GYP11" s="118"/>
      <c r="GYQ11" s="118"/>
      <c r="GYR11" s="118"/>
      <c r="GYS11" s="118"/>
      <c r="GYT11" s="118"/>
      <c r="GYU11" s="118"/>
      <c r="GYV11" s="118"/>
      <c r="GYW11" s="118"/>
      <c r="GYX11" s="118"/>
      <c r="GYY11" s="118"/>
      <c r="GYZ11" s="118"/>
      <c r="GZA11" s="118"/>
      <c r="GZB11" s="118"/>
      <c r="GZC11" s="118"/>
      <c r="GZD11" s="118"/>
      <c r="GZE11" s="118"/>
      <c r="GZF11" s="118"/>
      <c r="GZG11" s="118"/>
      <c r="GZH11" s="118"/>
      <c r="GZI11" s="118"/>
      <c r="GZJ11" s="118"/>
      <c r="GZK11" s="118"/>
      <c r="GZL11" s="118"/>
      <c r="GZM11" s="118"/>
      <c r="GZN11" s="118"/>
      <c r="GZO11" s="118"/>
      <c r="GZP11" s="118"/>
      <c r="GZQ11" s="118"/>
      <c r="GZR11" s="118"/>
      <c r="GZS11" s="118"/>
      <c r="GZT11" s="118"/>
      <c r="GZU11" s="118"/>
      <c r="GZV11" s="118"/>
      <c r="GZW11" s="118"/>
      <c r="GZX11" s="118"/>
      <c r="GZY11" s="118"/>
      <c r="GZZ11" s="118"/>
      <c r="HAA11" s="118"/>
      <c r="HAB11" s="118"/>
      <c r="HAC11" s="118"/>
      <c r="HAD11" s="118"/>
      <c r="HAE11" s="118"/>
      <c r="HAF11" s="118"/>
      <c r="HAG11" s="118"/>
      <c r="HAH11" s="118"/>
      <c r="HAI11" s="118"/>
      <c r="HAJ11" s="118"/>
      <c r="HAK11" s="118"/>
      <c r="HAL11" s="118"/>
      <c r="HAM11" s="118"/>
      <c r="HAN11" s="118"/>
      <c r="HAO11" s="118"/>
      <c r="HAP11" s="118"/>
      <c r="HAQ11" s="118"/>
      <c r="HAR11" s="118"/>
      <c r="HAS11" s="118"/>
      <c r="HAT11" s="118"/>
      <c r="HAU11" s="118"/>
      <c r="HAV11" s="118"/>
      <c r="HAW11" s="118"/>
      <c r="HAX11" s="118"/>
      <c r="HAY11" s="118"/>
      <c r="HAZ11" s="118"/>
      <c r="HBA11" s="118"/>
      <c r="HBB11" s="118"/>
      <c r="HBC11" s="118"/>
      <c r="HBD11" s="118"/>
      <c r="HBE11" s="118"/>
      <c r="HBF11" s="118"/>
      <c r="HBG11" s="118"/>
      <c r="HBH11" s="118"/>
      <c r="HBI11" s="118"/>
      <c r="HBJ11" s="118"/>
      <c r="HBK11" s="118"/>
      <c r="HBL11" s="118"/>
      <c r="HBM11" s="118"/>
      <c r="HBN11" s="118"/>
      <c r="HBO11" s="118"/>
      <c r="HBP11" s="118"/>
      <c r="HBQ11" s="118"/>
      <c r="HBR11" s="118"/>
      <c r="HBS11" s="118"/>
      <c r="HBT11" s="118"/>
      <c r="HBU11" s="118"/>
      <c r="HBV11" s="118"/>
      <c r="HBW11" s="118"/>
      <c r="HBX11" s="118"/>
      <c r="HBY11" s="118"/>
      <c r="HBZ11" s="118"/>
      <c r="HCA11" s="118"/>
      <c r="HCB11" s="118"/>
      <c r="HCC11" s="118"/>
      <c r="HCD11" s="118"/>
      <c r="HCE11" s="118"/>
      <c r="HCF11" s="118"/>
      <c r="HCG11" s="118"/>
      <c r="HCH11" s="118"/>
      <c r="HCI11" s="118"/>
      <c r="HCJ11" s="118"/>
      <c r="HCK11" s="118"/>
      <c r="HCL11" s="118"/>
      <c r="HCM11" s="118"/>
      <c r="HCN11" s="118"/>
      <c r="HCO11" s="118"/>
      <c r="HCP11" s="118"/>
      <c r="HCQ11" s="118"/>
      <c r="HCR11" s="118"/>
      <c r="HCS11" s="118"/>
      <c r="HCT11" s="118"/>
      <c r="HCU11" s="118"/>
      <c r="HCV11" s="118"/>
      <c r="HCW11" s="118"/>
      <c r="HCX11" s="118"/>
      <c r="HCY11" s="118"/>
      <c r="HCZ11" s="118"/>
      <c r="HDA11" s="118"/>
      <c r="HDB11" s="118"/>
      <c r="HDC11" s="118"/>
      <c r="HDD11" s="118"/>
      <c r="HDE11" s="118"/>
      <c r="HDF11" s="118"/>
      <c r="HDG11" s="118"/>
      <c r="HDH11" s="118"/>
      <c r="HDI11" s="118"/>
      <c r="HDJ11" s="118"/>
      <c r="HDK11" s="118"/>
      <c r="HDL11" s="118"/>
      <c r="HDM11" s="118"/>
      <c r="HDN11" s="118"/>
      <c r="HDO11" s="118"/>
      <c r="HDP11" s="118"/>
      <c r="HDQ11" s="118"/>
      <c r="HDR11" s="118"/>
      <c r="HDS11" s="118"/>
      <c r="HDT11" s="118"/>
      <c r="HDU11" s="118"/>
      <c r="HDV11" s="118"/>
      <c r="HDW11" s="118"/>
      <c r="HDX11" s="118"/>
      <c r="HDY11" s="118"/>
      <c r="HDZ11" s="118"/>
      <c r="HEA11" s="118"/>
      <c r="HEB11" s="118"/>
      <c r="HEC11" s="118"/>
      <c r="HED11" s="118"/>
      <c r="HEE11" s="118"/>
      <c r="HEF11" s="118"/>
      <c r="HEG11" s="118"/>
      <c r="HEH11" s="118"/>
      <c r="HEI11" s="118"/>
      <c r="HEJ11" s="118"/>
      <c r="HEK11" s="118"/>
      <c r="HEL11" s="118"/>
      <c r="HEM11" s="118"/>
      <c r="HEN11" s="118"/>
      <c r="HEO11" s="118"/>
      <c r="HEP11" s="118"/>
      <c r="HEQ11" s="118"/>
      <c r="HER11" s="118"/>
      <c r="HES11" s="118"/>
      <c r="HET11" s="118"/>
      <c r="HEU11" s="118"/>
      <c r="HEV11" s="118"/>
      <c r="HEW11" s="118"/>
      <c r="HEX11" s="118"/>
      <c r="HEY11" s="118"/>
      <c r="HEZ11" s="118"/>
      <c r="HFA11" s="118"/>
      <c r="HFB11" s="118"/>
      <c r="HFC11" s="118"/>
      <c r="HFD11" s="118"/>
      <c r="HFE11" s="118"/>
      <c r="HFF11" s="118"/>
      <c r="HFG11" s="118"/>
      <c r="HFH11" s="118"/>
      <c r="HFI11" s="118"/>
      <c r="HFJ11" s="118"/>
      <c r="HFK11" s="118"/>
      <c r="HFL11" s="118"/>
      <c r="HFM11" s="118"/>
      <c r="HFN11" s="118"/>
      <c r="HFO11" s="118"/>
      <c r="HFP11" s="118"/>
      <c r="HFQ11" s="118"/>
      <c r="HFR11" s="118"/>
      <c r="HFS11" s="118"/>
      <c r="HFT11" s="118"/>
      <c r="HFU11" s="118"/>
      <c r="HFV11" s="118"/>
      <c r="HFW11" s="118"/>
      <c r="HFX11" s="118"/>
      <c r="HFY11" s="118"/>
      <c r="HFZ11" s="118"/>
      <c r="HGA11" s="118"/>
      <c r="HGB11" s="118"/>
      <c r="HGC11" s="118"/>
      <c r="HGD11" s="118"/>
      <c r="HGE11" s="118"/>
      <c r="HGF11" s="118"/>
      <c r="HGG11" s="118"/>
      <c r="HGH11" s="118"/>
      <c r="HGI11" s="118"/>
      <c r="HGJ11" s="118"/>
      <c r="HGK11" s="118"/>
      <c r="HGL11" s="118"/>
      <c r="HGM11" s="118"/>
      <c r="HGN11" s="118"/>
      <c r="HGO11" s="118"/>
      <c r="HGP11" s="118"/>
      <c r="HGQ11" s="118"/>
      <c r="HGR11" s="118"/>
      <c r="HGS11" s="118"/>
      <c r="HGT11" s="118"/>
      <c r="HGU11" s="118"/>
      <c r="HGV11" s="118"/>
      <c r="HGW11" s="118"/>
      <c r="HGX11" s="118"/>
      <c r="HGY11" s="118"/>
      <c r="HGZ11" s="118"/>
      <c r="HHA11" s="118"/>
      <c r="HHB11" s="118"/>
      <c r="HHC11" s="118"/>
      <c r="HHD11" s="118"/>
      <c r="HHE11" s="118"/>
      <c r="HHF11" s="118"/>
      <c r="HHG11" s="118"/>
      <c r="HHH11" s="118"/>
      <c r="HHI11" s="118"/>
      <c r="HHJ11" s="118"/>
      <c r="HHK11" s="118"/>
      <c r="HHL11" s="118"/>
      <c r="HHM11" s="118"/>
      <c r="HHN11" s="118"/>
      <c r="HHO11" s="118"/>
      <c r="HHP11" s="118"/>
      <c r="HHQ11" s="118"/>
      <c r="HHR11" s="118"/>
      <c r="HHS11" s="118"/>
      <c r="HHT11" s="118"/>
      <c r="HHU11" s="118"/>
      <c r="HHV11" s="118"/>
      <c r="HHW11" s="118"/>
      <c r="HHX11" s="118"/>
      <c r="HHY11" s="118"/>
      <c r="HHZ11" s="118"/>
      <c r="HIA11" s="118"/>
      <c r="HIB11" s="118"/>
      <c r="HIC11" s="118"/>
      <c r="HID11" s="118"/>
      <c r="HIE11" s="118"/>
      <c r="HIF11" s="118"/>
      <c r="HIG11" s="118"/>
      <c r="HIH11" s="118"/>
      <c r="HII11" s="118"/>
      <c r="HIJ11" s="118"/>
      <c r="HIK11" s="118"/>
      <c r="HIL11" s="118"/>
      <c r="HIM11" s="118"/>
      <c r="HIN11" s="118"/>
      <c r="HIO11" s="118"/>
      <c r="HIP11" s="118"/>
      <c r="HIQ11" s="118"/>
      <c r="HIR11" s="118"/>
      <c r="HIS11" s="118"/>
      <c r="HIT11" s="118"/>
      <c r="HIU11" s="118"/>
      <c r="HIV11" s="118"/>
      <c r="HIW11" s="118"/>
      <c r="HIX11" s="118"/>
      <c r="HIY11" s="118"/>
      <c r="HIZ11" s="118"/>
      <c r="HJA11" s="118"/>
      <c r="HJB11" s="118"/>
      <c r="HJC11" s="118"/>
      <c r="HJD11" s="118"/>
      <c r="HJE11" s="118"/>
      <c r="HJF11" s="118"/>
      <c r="HJG11" s="118"/>
      <c r="HJH11" s="118"/>
      <c r="HJI11" s="118"/>
      <c r="HJJ11" s="118"/>
      <c r="HJK11" s="118"/>
      <c r="HJL11" s="118"/>
      <c r="HJM11" s="118"/>
      <c r="HJN11" s="118"/>
      <c r="HJO11" s="118"/>
      <c r="HJP11" s="118"/>
      <c r="HJQ11" s="118"/>
      <c r="HJR11" s="118"/>
      <c r="HJS11" s="118"/>
      <c r="HJT11" s="118"/>
      <c r="HJU11" s="118"/>
      <c r="HJV11" s="118"/>
      <c r="HJW11" s="118"/>
      <c r="HJX11" s="118"/>
      <c r="HJY11" s="118"/>
      <c r="HJZ11" s="118"/>
      <c r="HKA11" s="118"/>
      <c r="HKB11" s="118"/>
      <c r="HKC11" s="118"/>
      <c r="HKD11" s="118"/>
      <c r="HKE11" s="118"/>
      <c r="HKF11" s="118"/>
      <c r="HKG11" s="118"/>
      <c r="HKH11" s="118"/>
      <c r="HKI11" s="118"/>
      <c r="HKJ11" s="118"/>
      <c r="HKK11" s="118"/>
      <c r="HKL11" s="118"/>
      <c r="HKM11" s="118"/>
      <c r="HKN11" s="118"/>
      <c r="HKO11" s="118"/>
      <c r="HKP11" s="118"/>
      <c r="HKQ11" s="118"/>
      <c r="HKR11" s="118"/>
      <c r="HKS11" s="118"/>
      <c r="HKT11" s="118"/>
      <c r="HKU11" s="118"/>
      <c r="HKV11" s="118"/>
      <c r="HKW11" s="118"/>
      <c r="HKX11" s="118"/>
      <c r="HKY11" s="118"/>
      <c r="HKZ11" s="118"/>
      <c r="HLA11" s="118"/>
      <c r="HLB11" s="118"/>
      <c r="HLC11" s="118"/>
      <c r="HLD11" s="118"/>
      <c r="HLE11" s="118"/>
      <c r="HLF11" s="118"/>
      <c r="HLG11" s="118"/>
      <c r="HLH11" s="118"/>
      <c r="HLI11" s="118"/>
      <c r="HLJ11" s="118"/>
      <c r="HLK11" s="118"/>
      <c r="HLL11" s="118"/>
      <c r="HLM11" s="118"/>
      <c r="HLN11" s="118"/>
      <c r="HLO11" s="118"/>
      <c r="HLP11" s="118"/>
      <c r="HLQ11" s="118"/>
      <c r="HLR11" s="118"/>
      <c r="HLS11" s="118"/>
      <c r="HLT11" s="118"/>
      <c r="HLU11" s="118"/>
      <c r="HLV11" s="118"/>
      <c r="HLW11" s="118"/>
      <c r="HLX11" s="118"/>
      <c r="HLY11" s="118"/>
      <c r="HLZ11" s="118"/>
      <c r="HMA11" s="118"/>
      <c r="HMB11" s="118"/>
      <c r="HMC11" s="118"/>
      <c r="HMD11" s="118"/>
      <c r="HME11" s="118"/>
      <c r="HMF11" s="118"/>
      <c r="HMG11" s="118"/>
      <c r="HMH11" s="118"/>
      <c r="HMI11" s="118"/>
      <c r="HMJ11" s="118"/>
      <c r="HMK11" s="118"/>
      <c r="HML11" s="118"/>
      <c r="HMM11" s="118"/>
      <c r="HMN11" s="118"/>
      <c r="HMO11" s="118"/>
      <c r="HMP11" s="118"/>
      <c r="HMQ11" s="118"/>
      <c r="HMR11" s="118"/>
      <c r="HMS11" s="118"/>
      <c r="HMT11" s="118"/>
      <c r="HMU11" s="118"/>
      <c r="HMV11" s="118"/>
      <c r="HMW11" s="118"/>
      <c r="HMX11" s="118"/>
      <c r="HMY11" s="118"/>
      <c r="HMZ11" s="118"/>
      <c r="HNA11" s="118"/>
      <c r="HNB11" s="118"/>
      <c r="HNC11" s="118"/>
      <c r="HND11" s="118"/>
      <c r="HNE11" s="118"/>
      <c r="HNF11" s="118"/>
      <c r="HNG11" s="118"/>
      <c r="HNH11" s="118"/>
      <c r="HNI11" s="118"/>
      <c r="HNJ11" s="118"/>
      <c r="HNK11" s="118"/>
      <c r="HNL11" s="118"/>
      <c r="HNM11" s="118"/>
      <c r="HNN11" s="118"/>
      <c r="HNO11" s="118"/>
      <c r="HNP11" s="118"/>
      <c r="HNQ11" s="118"/>
      <c r="HNR11" s="118"/>
      <c r="HNS11" s="118"/>
      <c r="HNT11" s="118"/>
      <c r="HNU11" s="118"/>
      <c r="HNV11" s="118"/>
      <c r="HNW11" s="118"/>
      <c r="HNX11" s="118"/>
      <c r="HNY11" s="118"/>
      <c r="HNZ11" s="118"/>
      <c r="HOA11" s="118"/>
      <c r="HOB11" s="118"/>
      <c r="HOC11" s="118"/>
      <c r="HOD11" s="118"/>
      <c r="HOE11" s="118"/>
      <c r="HOF11" s="118"/>
      <c r="HOG11" s="118"/>
      <c r="HOH11" s="118"/>
      <c r="HOI11" s="118"/>
      <c r="HOJ11" s="118"/>
      <c r="HOK11" s="118"/>
      <c r="HOL11" s="118"/>
      <c r="HOM11" s="118"/>
      <c r="HON11" s="118"/>
      <c r="HOO11" s="118"/>
      <c r="HOP11" s="118"/>
      <c r="HOQ11" s="118"/>
      <c r="HOR11" s="118"/>
      <c r="HOS11" s="118"/>
      <c r="HOT11" s="118"/>
      <c r="HOU11" s="118"/>
      <c r="HOV11" s="118"/>
      <c r="HOW11" s="118"/>
      <c r="HOX11" s="118"/>
      <c r="HOY11" s="118"/>
      <c r="HOZ11" s="118"/>
      <c r="HPA11" s="118"/>
      <c r="HPB11" s="118"/>
      <c r="HPC11" s="118"/>
      <c r="HPD11" s="118"/>
      <c r="HPE11" s="118"/>
      <c r="HPF11" s="118"/>
      <c r="HPG11" s="118"/>
      <c r="HPH11" s="118"/>
      <c r="HPI11" s="118"/>
      <c r="HPJ11" s="118"/>
      <c r="HPK11" s="118"/>
      <c r="HPL11" s="118"/>
      <c r="HPM11" s="118"/>
      <c r="HPN11" s="118"/>
      <c r="HPO11" s="118"/>
      <c r="HPP11" s="118"/>
      <c r="HPQ11" s="118"/>
      <c r="HPR11" s="118"/>
      <c r="HPS11" s="118"/>
      <c r="HPT11" s="118"/>
      <c r="HPU11" s="118"/>
      <c r="HPV11" s="118"/>
      <c r="HPW11" s="118"/>
      <c r="HPX11" s="118"/>
      <c r="HPY11" s="118"/>
      <c r="HPZ11" s="118"/>
      <c r="HQA11" s="118"/>
      <c r="HQB11" s="118"/>
      <c r="HQC11" s="118"/>
      <c r="HQD11" s="118"/>
      <c r="HQE11" s="118"/>
      <c r="HQF11" s="118"/>
      <c r="HQG11" s="118"/>
      <c r="HQH11" s="118"/>
      <c r="HQI11" s="118"/>
      <c r="HQJ11" s="118"/>
      <c r="HQK11" s="118"/>
      <c r="HQL11" s="118"/>
      <c r="HQM11" s="118"/>
      <c r="HQN11" s="118"/>
      <c r="HQO11" s="118"/>
      <c r="HQP11" s="118"/>
      <c r="HQQ11" s="118"/>
      <c r="HQR11" s="118"/>
      <c r="HQS11" s="118"/>
      <c r="HQT11" s="118"/>
      <c r="HQU11" s="118"/>
      <c r="HQV11" s="118"/>
      <c r="HQW11" s="118"/>
      <c r="HQX11" s="118"/>
      <c r="HQY11" s="118"/>
      <c r="HQZ11" s="118"/>
      <c r="HRA11" s="118"/>
      <c r="HRB11" s="118"/>
      <c r="HRC11" s="118"/>
      <c r="HRD11" s="118"/>
      <c r="HRE11" s="118"/>
      <c r="HRF11" s="118"/>
      <c r="HRG11" s="118"/>
      <c r="HRH11" s="118"/>
      <c r="HRI11" s="118"/>
      <c r="HRJ11" s="118"/>
      <c r="HRK11" s="118"/>
      <c r="HRL11" s="118"/>
      <c r="HRM11" s="118"/>
      <c r="HRN11" s="118"/>
      <c r="HRO11" s="118"/>
      <c r="HRP11" s="118"/>
      <c r="HRQ11" s="118"/>
      <c r="HRR11" s="118"/>
      <c r="HRS11" s="118"/>
      <c r="HRT11" s="118"/>
      <c r="HRU11" s="118"/>
      <c r="HRV11" s="118"/>
      <c r="HRW11" s="118"/>
      <c r="HRX11" s="118"/>
      <c r="HRY11" s="118"/>
      <c r="HRZ11" s="118"/>
      <c r="HSA11" s="118"/>
      <c r="HSB11" s="118"/>
      <c r="HSC11" s="118"/>
      <c r="HSD11" s="118"/>
      <c r="HSE11" s="118"/>
      <c r="HSF11" s="118"/>
      <c r="HSG11" s="118"/>
      <c r="HSH11" s="118"/>
      <c r="HSI11" s="118"/>
      <c r="HSJ11" s="118"/>
      <c r="HSK11" s="118"/>
      <c r="HSL11" s="118"/>
      <c r="HSM11" s="118"/>
      <c r="HSN11" s="118"/>
      <c r="HSO11" s="118"/>
      <c r="HSP11" s="118"/>
      <c r="HSQ11" s="118"/>
      <c r="HSR11" s="118"/>
      <c r="HSS11" s="118"/>
      <c r="HST11" s="118"/>
      <c r="HSU11" s="118"/>
      <c r="HSV11" s="118"/>
      <c r="HSW11" s="118"/>
      <c r="HSX11" s="118"/>
      <c r="HSY11" s="118"/>
      <c r="HSZ11" s="118"/>
      <c r="HTA11" s="118"/>
      <c r="HTB11" s="118"/>
      <c r="HTC11" s="118"/>
      <c r="HTD11" s="118"/>
      <c r="HTE11" s="118"/>
      <c r="HTF11" s="118"/>
      <c r="HTG11" s="118"/>
      <c r="HTH11" s="118"/>
      <c r="HTI11" s="118"/>
      <c r="HTJ11" s="118"/>
      <c r="HTK11" s="118"/>
      <c r="HTL11" s="118"/>
      <c r="HTM11" s="118"/>
      <c r="HTN11" s="118"/>
      <c r="HTO11" s="118"/>
      <c r="HTP11" s="118"/>
      <c r="HTQ11" s="118"/>
      <c r="HTR11" s="118"/>
      <c r="HTS11" s="118"/>
      <c r="HTT11" s="118"/>
      <c r="HTU11" s="118"/>
      <c r="HTV11" s="118"/>
      <c r="HTW11" s="118"/>
      <c r="HTX11" s="118"/>
      <c r="HTY11" s="118"/>
      <c r="HTZ11" s="118"/>
      <c r="HUA11" s="118"/>
      <c r="HUB11" s="118"/>
      <c r="HUC11" s="118"/>
      <c r="HUD11" s="118"/>
      <c r="HUE11" s="118"/>
      <c r="HUF11" s="118"/>
      <c r="HUG11" s="118"/>
      <c r="HUH11" s="118"/>
      <c r="HUI11" s="118"/>
      <c r="HUJ11" s="118"/>
      <c r="HUK11" s="118"/>
      <c r="HUL11" s="118"/>
      <c r="HUM11" s="118"/>
      <c r="HUN11" s="118"/>
      <c r="HUO11" s="118"/>
      <c r="HUP11" s="118"/>
      <c r="HUQ11" s="118"/>
      <c r="HUR11" s="118"/>
      <c r="HUS11" s="118"/>
      <c r="HUT11" s="118"/>
      <c r="HUU11" s="118"/>
      <c r="HUV11" s="118"/>
      <c r="HUW11" s="118"/>
      <c r="HUX11" s="118"/>
      <c r="HUY11" s="118"/>
      <c r="HUZ11" s="118"/>
      <c r="HVA11" s="118"/>
      <c r="HVB11" s="118"/>
      <c r="HVC11" s="118"/>
      <c r="HVD11" s="118"/>
      <c r="HVE11" s="118"/>
      <c r="HVF11" s="118"/>
      <c r="HVG11" s="118"/>
      <c r="HVH11" s="118"/>
      <c r="HVI11" s="118"/>
      <c r="HVJ11" s="118"/>
      <c r="HVK11" s="118"/>
      <c r="HVL11" s="118"/>
      <c r="HVM11" s="118"/>
      <c r="HVN11" s="118"/>
      <c r="HVO11" s="118"/>
      <c r="HVP11" s="118"/>
      <c r="HVQ11" s="118"/>
      <c r="HVR11" s="118"/>
      <c r="HVS11" s="118"/>
      <c r="HVT11" s="118"/>
      <c r="HVU11" s="118"/>
      <c r="HVV11" s="118"/>
      <c r="HVW11" s="118"/>
      <c r="HVX11" s="118"/>
      <c r="HVY11" s="118"/>
      <c r="HVZ11" s="118"/>
      <c r="HWA11" s="118"/>
      <c r="HWB11" s="118"/>
      <c r="HWC11" s="118"/>
      <c r="HWD11" s="118"/>
      <c r="HWE11" s="118"/>
      <c r="HWF11" s="118"/>
      <c r="HWG11" s="118"/>
      <c r="HWH11" s="118"/>
      <c r="HWI11" s="118"/>
      <c r="HWJ11" s="118"/>
      <c r="HWK11" s="118"/>
      <c r="HWL11" s="118"/>
      <c r="HWM11" s="118"/>
      <c r="HWN11" s="118"/>
      <c r="HWO11" s="118"/>
      <c r="HWP11" s="118"/>
      <c r="HWQ11" s="118"/>
      <c r="HWR11" s="118"/>
      <c r="HWS11" s="118"/>
      <c r="HWT11" s="118"/>
      <c r="HWU11" s="118"/>
      <c r="HWV11" s="118"/>
      <c r="HWW11" s="118"/>
      <c r="HWX11" s="118"/>
      <c r="HWY11" s="118"/>
      <c r="HWZ11" s="118"/>
      <c r="HXA11" s="118"/>
      <c r="HXB11" s="118"/>
      <c r="HXC11" s="118"/>
      <c r="HXD11" s="118"/>
      <c r="HXE11" s="118"/>
      <c r="HXF11" s="118"/>
      <c r="HXG11" s="118"/>
      <c r="HXH11" s="118"/>
      <c r="HXI11" s="118"/>
      <c r="HXJ11" s="118"/>
      <c r="HXK11" s="118"/>
      <c r="HXL11" s="118"/>
      <c r="HXM11" s="118"/>
      <c r="HXN11" s="118"/>
      <c r="HXO11" s="118"/>
      <c r="HXP11" s="118"/>
      <c r="HXQ11" s="118"/>
      <c r="HXR11" s="118"/>
      <c r="HXS11" s="118"/>
      <c r="HXT11" s="118"/>
      <c r="HXU11" s="118"/>
      <c r="HXV11" s="118"/>
      <c r="HXW11" s="118"/>
      <c r="HXX11" s="118"/>
      <c r="HXY11" s="118"/>
      <c r="HXZ11" s="118"/>
      <c r="HYA11" s="118"/>
      <c r="HYB11" s="118"/>
      <c r="HYC11" s="118"/>
      <c r="HYD11" s="118"/>
      <c r="HYE11" s="118"/>
      <c r="HYF11" s="118"/>
      <c r="HYG11" s="118"/>
      <c r="HYH11" s="118"/>
      <c r="HYI11" s="118"/>
      <c r="HYJ11" s="118"/>
      <c r="HYK11" s="118"/>
      <c r="HYL11" s="118"/>
      <c r="HYM11" s="118"/>
      <c r="HYN11" s="118"/>
      <c r="HYO11" s="118"/>
      <c r="HYP11" s="118"/>
      <c r="HYQ11" s="118"/>
      <c r="HYR11" s="118"/>
      <c r="HYS11" s="118"/>
      <c r="HYT11" s="118"/>
      <c r="HYU11" s="118"/>
      <c r="HYV11" s="118"/>
      <c r="HYW11" s="118"/>
      <c r="HYX11" s="118"/>
      <c r="HYY11" s="118"/>
      <c r="HYZ11" s="118"/>
      <c r="HZA11" s="118"/>
      <c r="HZB11" s="118"/>
      <c r="HZC11" s="118"/>
      <c r="HZD11" s="118"/>
      <c r="HZE11" s="118"/>
      <c r="HZF11" s="118"/>
      <c r="HZG11" s="118"/>
      <c r="HZH11" s="118"/>
      <c r="HZI11" s="118"/>
      <c r="HZJ11" s="118"/>
      <c r="HZK11" s="118"/>
      <c r="HZL11" s="118"/>
      <c r="HZM11" s="118"/>
      <c r="HZN11" s="118"/>
      <c r="HZO11" s="118"/>
      <c r="HZP11" s="118"/>
      <c r="HZQ11" s="118"/>
      <c r="HZR11" s="118"/>
      <c r="HZS11" s="118"/>
      <c r="HZT11" s="118"/>
      <c r="HZU11" s="118"/>
      <c r="HZV11" s="118"/>
      <c r="HZW11" s="118"/>
      <c r="HZX11" s="118"/>
      <c r="HZY11" s="118"/>
      <c r="HZZ11" s="118"/>
      <c r="IAA11" s="118"/>
      <c r="IAB11" s="118"/>
      <c r="IAC11" s="118"/>
      <c r="IAD11" s="118"/>
      <c r="IAE11" s="118"/>
      <c r="IAF11" s="118"/>
      <c r="IAG11" s="118"/>
      <c r="IAH11" s="118"/>
      <c r="IAI11" s="118"/>
      <c r="IAJ11" s="118"/>
      <c r="IAK11" s="118"/>
      <c r="IAL11" s="118"/>
      <c r="IAM11" s="118"/>
      <c r="IAN11" s="118"/>
      <c r="IAO11" s="118"/>
      <c r="IAP11" s="118"/>
      <c r="IAQ11" s="118"/>
      <c r="IAR11" s="118"/>
      <c r="IAS11" s="118"/>
      <c r="IAT11" s="118"/>
      <c r="IAU11" s="118"/>
      <c r="IAV11" s="118"/>
      <c r="IAW11" s="118"/>
      <c r="IAX11" s="118"/>
      <c r="IAY11" s="118"/>
      <c r="IAZ11" s="118"/>
      <c r="IBA11" s="118"/>
      <c r="IBB11" s="118"/>
      <c r="IBC11" s="118"/>
      <c r="IBD11" s="118"/>
      <c r="IBE11" s="118"/>
      <c r="IBF11" s="118"/>
      <c r="IBG11" s="118"/>
      <c r="IBH11" s="118"/>
      <c r="IBI11" s="118"/>
      <c r="IBJ11" s="118"/>
      <c r="IBK11" s="118"/>
      <c r="IBL11" s="118"/>
      <c r="IBM11" s="118"/>
      <c r="IBN11" s="118"/>
      <c r="IBO11" s="118"/>
      <c r="IBP11" s="118"/>
      <c r="IBQ11" s="118"/>
      <c r="IBR11" s="118"/>
      <c r="IBS11" s="118"/>
      <c r="IBT11" s="118"/>
      <c r="IBU11" s="118"/>
      <c r="IBV11" s="118"/>
      <c r="IBW11" s="118"/>
      <c r="IBX11" s="118"/>
      <c r="IBY11" s="118"/>
      <c r="IBZ11" s="118"/>
      <c r="ICA11" s="118"/>
      <c r="ICB11" s="118"/>
      <c r="ICC11" s="118"/>
      <c r="ICD11" s="118"/>
      <c r="ICE11" s="118"/>
      <c r="ICF11" s="118"/>
      <c r="ICG11" s="118"/>
      <c r="ICH11" s="118"/>
      <c r="ICI11" s="118"/>
      <c r="ICJ11" s="118"/>
      <c r="ICK11" s="118"/>
      <c r="ICL11" s="118"/>
      <c r="ICM11" s="118"/>
      <c r="ICN11" s="118"/>
      <c r="ICO11" s="118"/>
      <c r="ICP11" s="118"/>
      <c r="ICQ11" s="118"/>
      <c r="ICR11" s="118"/>
      <c r="ICS11" s="118"/>
      <c r="ICT11" s="118"/>
      <c r="ICU11" s="118"/>
      <c r="ICV11" s="118"/>
      <c r="ICW11" s="118"/>
      <c r="ICX11" s="118"/>
      <c r="ICY11" s="118"/>
      <c r="ICZ11" s="118"/>
      <c r="IDA11" s="118"/>
      <c r="IDB11" s="118"/>
      <c r="IDC11" s="118"/>
      <c r="IDD11" s="118"/>
      <c r="IDE11" s="118"/>
      <c r="IDF11" s="118"/>
      <c r="IDG11" s="118"/>
      <c r="IDH11" s="118"/>
      <c r="IDI11" s="118"/>
      <c r="IDJ11" s="118"/>
      <c r="IDK11" s="118"/>
      <c r="IDL11" s="118"/>
      <c r="IDM11" s="118"/>
      <c r="IDN11" s="118"/>
      <c r="IDO11" s="118"/>
      <c r="IDP11" s="118"/>
      <c r="IDQ11" s="118"/>
      <c r="IDR11" s="118"/>
      <c r="IDS11" s="118"/>
      <c r="IDT11" s="118"/>
      <c r="IDU11" s="118"/>
      <c r="IDV11" s="118"/>
      <c r="IDW11" s="118"/>
      <c r="IDX11" s="118"/>
      <c r="IDY11" s="118"/>
      <c r="IDZ11" s="118"/>
      <c r="IEA11" s="118"/>
      <c r="IEB11" s="118"/>
      <c r="IEC11" s="118"/>
      <c r="IED11" s="118"/>
      <c r="IEE11" s="118"/>
      <c r="IEF11" s="118"/>
      <c r="IEG11" s="118"/>
      <c r="IEH11" s="118"/>
      <c r="IEI11" s="118"/>
      <c r="IEJ11" s="118"/>
      <c r="IEK11" s="118"/>
      <c r="IEL11" s="118"/>
      <c r="IEM11" s="118"/>
      <c r="IEN11" s="118"/>
      <c r="IEO11" s="118"/>
      <c r="IEP11" s="118"/>
      <c r="IEQ11" s="118"/>
      <c r="IER11" s="118"/>
      <c r="IES11" s="118"/>
      <c r="IET11" s="118"/>
      <c r="IEU11" s="118"/>
      <c r="IEV11" s="118"/>
      <c r="IEW11" s="118"/>
      <c r="IEX11" s="118"/>
      <c r="IEY11" s="118"/>
      <c r="IEZ11" s="118"/>
      <c r="IFA11" s="118"/>
      <c r="IFB11" s="118"/>
      <c r="IFC11" s="118"/>
      <c r="IFD11" s="118"/>
      <c r="IFE11" s="118"/>
      <c r="IFF11" s="118"/>
      <c r="IFG11" s="118"/>
      <c r="IFH11" s="118"/>
      <c r="IFI11" s="118"/>
      <c r="IFJ11" s="118"/>
      <c r="IFK11" s="118"/>
      <c r="IFL11" s="118"/>
      <c r="IFM11" s="118"/>
      <c r="IFN11" s="118"/>
      <c r="IFO11" s="118"/>
      <c r="IFP11" s="118"/>
      <c r="IFQ11" s="118"/>
      <c r="IFR11" s="118"/>
      <c r="IFS11" s="118"/>
      <c r="IFT11" s="118"/>
      <c r="IFU11" s="118"/>
      <c r="IFV11" s="118"/>
      <c r="IFW11" s="118"/>
      <c r="IFX11" s="118"/>
      <c r="IFY11" s="118"/>
      <c r="IFZ11" s="118"/>
      <c r="IGA11" s="118"/>
      <c r="IGB11" s="118"/>
      <c r="IGC11" s="118"/>
      <c r="IGD11" s="118"/>
      <c r="IGE11" s="118"/>
      <c r="IGF11" s="118"/>
      <c r="IGG11" s="118"/>
      <c r="IGH11" s="118"/>
      <c r="IGI11" s="118"/>
      <c r="IGJ11" s="118"/>
      <c r="IGK11" s="118"/>
      <c r="IGL11" s="118"/>
      <c r="IGM11" s="118"/>
      <c r="IGN11" s="118"/>
      <c r="IGO11" s="118"/>
      <c r="IGP11" s="118"/>
      <c r="IGQ11" s="118"/>
      <c r="IGR11" s="118"/>
      <c r="IGS11" s="118"/>
      <c r="IGT11" s="118"/>
      <c r="IGU11" s="118"/>
      <c r="IGV11" s="118"/>
      <c r="IGW11" s="118"/>
      <c r="IGX11" s="118"/>
      <c r="IGY11" s="118"/>
      <c r="IGZ11" s="118"/>
      <c r="IHA11" s="118"/>
      <c r="IHB11" s="118"/>
      <c r="IHC11" s="118"/>
      <c r="IHD11" s="118"/>
      <c r="IHE11" s="118"/>
      <c r="IHF11" s="118"/>
      <c r="IHG11" s="118"/>
      <c r="IHH11" s="118"/>
      <c r="IHI11" s="118"/>
      <c r="IHJ11" s="118"/>
      <c r="IHK11" s="118"/>
      <c r="IHL11" s="118"/>
      <c r="IHM11" s="118"/>
      <c r="IHN11" s="118"/>
      <c r="IHO11" s="118"/>
      <c r="IHP11" s="118"/>
      <c r="IHQ11" s="118"/>
      <c r="IHR11" s="118"/>
      <c r="IHS11" s="118"/>
      <c r="IHT11" s="118"/>
      <c r="IHU11" s="118"/>
      <c r="IHV11" s="118"/>
      <c r="IHW11" s="118"/>
      <c r="IHX11" s="118"/>
      <c r="IHY11" s="118"/>
      <c r="IHZ11" s="118"/>
      <c r="IIA11" s="118"/>
      <c r="IIB11" s="118"/>
      <c r="IIC11" s="118"/>
      <c r="IID11" s="118"/>
      <c r="IIE11" s="118"/>
      <c r="IIF11" s="118"/>
      <c r="IIG11" s="118"/>
      <c r="IIH11" s="118"/>
      <c r="III11" s="118"/>
      <c r="IIJ11" s="118"/>
      <c r="IIK11" s="118"/>
      <c r="IIL11" s="118"/>
      <c r="IIM11" s="118"/>
      <c r="IIN11" s="118"/>
      <c r="IIO11" s="118"/>
      <c r="IIP11" s="118"/>
      <c r="IIQ11" s="118"/>
      <c r="IIR11" s="118"/>
      <c r="IIS11" s="118"/>
      <c r="IIT11" s="118"/>
      <c r="IIU11" s="118"/>
      <c r="IIV11" s="118"/>
      <c r="IIW11" s="118"/>
      <c r="IIX11" s="118"/>
      <c r="IIY11" s="118"/>
      <c r="IIZ11" s="118"/>
      <c r="IJA11" s="118"/>
      <c r="IJB11" s="118"/>
      <c r="IJC11" s="118"/>
      <c r="IJD11" s="118"/>
      <c r="IJE11" s="118"/>
      <c r="IJF11" s="118"/>
      <c r="IJG11" s="118"/>
      <c r="IJH11" s="118"/>
      <c r="IJI11" s="118"/>
      <c r="IJJ11" s="118"/>
      <c r="IJK11" s="118"/>
      <c r="IJL11" s="118"/>
      <c r="IJM11" s="118"/>
      <c r="IJN11" s="118"/>
      <c r="IJO11" s="118"/>
      <c r="IJP11" s="118"/>
      <c r="IJQ11" s="118"/>
      <c r="IJR11" s="118"/>
      <c r="IJS11" s="118"/>
      <c r="IJT11" s="118"/>
      <c r="IJU11" s="118"/>
      <c r="IJV11" s="118"/>
      <c r="IJW11" s="118"/>
      <c r="IJX11" s="118"/>
      <c r="IJY11" s="118"/>
      <c r="IJZ11" s="118"/>
      <c r="IKA11" s="118"/>
      <c r="IKB11" s="118"/>
      <c r="IKC11" s="118"/>
      <c r="IKD11" s="118"/>
      <c r="IKE11" s="118"/>
      <c r="IKF11" s="118"/>
      <c r="IKG11" s="118"/>
      <c r="IKH11" s="118"/>
      <c r="IKI11" s="118"/>
      <c r="IKJ11" s="118"/>
      <c r="IKK11" s="118"/>
      <c r="IKL11" s="118"/>
      <c r="IKM11" s="118"/>
      <c r="IKN11" s="118"/>
      <c r="IKO11" s="118"/>
      <c r="IKP11" s="118"/>
      <c r="IKQ11" s="118"/>
      <c r="IKR11" s="118"/>
      <c r="IKS11" s="118"/>
      <c r="IKT11" s="118"/>
      <c r="IKU11" s="118"/>
      <c r="IKV11" s="118"/>
      <c r="IKW11" s="118"/>
      <c r="IKX11" s="118"/>
      <c r="IKY11" s="118"/>
      <c r="IKZ11" s="118"/>
      <c r="ILA11" s="118"/>
      <c r="ILB11" s="118"/>
      <c r="ILC11" s="118"/>
      <c r="ILD11" s="118"/>
      <c r="ILE11" s="118"/>
      <c r="ILF11" s="118"/>
      <c r="ILG11" s="118"/>
      <c r="ILH11" s="118"/>
      <c r="ILI11" s="118"/>
      <c r="ILJ11" s="118"/>
      <c r="ILK11" s="118"/>
      <c r="ILL11" s="118"/>
      <c r="ILM11" s="118"/>
      <c r="ILN11" s="118"/>
      <c r="ILO11" s="118"/>
      <c r="ILP11" s="118"/>
      <c r="ILQ11" s="118"/>
      <c r="ILR11" s="118"/>
      <c r="ILS11" s="118"/>
      <c r="ILT11" s="118"/>
      <c r="ILU11" s="118"/>
      <c r="ILV11" s="118"/>
      <c r="ILW11" s="118"/>
      <c r="ILX11" s="118"/>
      <c r="ILY11" s="118"/>
      <c r="ILZ11" s="118"/>
      <c r="IMA11" s="118"/>
      <c r="IMB11" s="118"/>
      <c r="IMC11" s="118"/>
      <c r="IMD11" s="118"/>
      <c r="IME11" s="118"/>
      <c r="IMF11" s="118"/>
      <c r="IMG11" s="118"/>
      <c r="IMH11" s="118"/>
      <c r="IMI11" s="118"/>
      <c r="IMJ11" s="118"/>
      <c r="IMK11" s="118"/>
      <c r="IML11" s="118"/>
      <c r="IMM11" s="118"/>
      <c r="IMN11" s="118"/>
      <c r="IMO11" s="118"/>
      <c r="IMP11" s="118"/>
      <c r="IMQ11" s="118"/>
      <c r="IMR11" s="118"/>
      <c r="IMS11" s="118"/>
      <c r="IMT11" s="118"/>
      <c r="IMU11" s="118"/>
      <c r="IMV11" s="118"/>
      <c r="IMW11" s="118"/>
      <c r="IMX11" s="118"/>
      <c r="IMY11" s="118"/>
      <c r="IMZ11" s="118"/>
      <c r="INA11" s="118"/>
      <c r="INB11" s="118"/>
      <c r="INC11" s="118"/>
      <c r="IND11" s="118"/>
      <c r="INE11" s="118"/>
      <c r="INF11" s="118"/>
      <c r="ING11" s="118"/>
      <c r="INH11" s="118"/>
      <c r="INI11" s="118"/>
      <c r="INJ11" s="118"/>
      <c r="INK11" s="118"/>
      <c r="INL11" s="118"/>
      <c r="INM11" s="118"/>
      <c r="INN11" s="118"/>
      <c r="INO11" s="118"/>
      <c r="INP11" s="118"/>
      <c r="INQ11" s="118"/>
      <c r="INR11" s="118"/>
      <c r="INS11" s="118"/>
      <c r="INT11" s="118"/>
      <c r="INU11" s="118"/>
      <c r="INV11" s="118"/>
      <c r="INW11" s="118"/>
      <c r="INX11" s="118"/>
      <c r="INY11" s="118"/>
      <c r="INZ11" s="118"/>
      <c r="IOA11" s="118"/>
      <c r="IOB11" s="118"/>
      <c r="IOC11" s="118"/>
      <c r="IOD11" s="118"/>
      <c r="IOE11" s="118"/>
      <c r="IOF11" s="118"/>
      <c r="IOG11" s="118"/>
      <c r="IOH11" s="118"/>
      <c r="IOI11" s="118"/>
      <c r="IOJ11" s="118"/>
      <c r="IOK11" s="118"/>
      <c r="IOL11" s="118"/>
      <c r="IOM11" s="118"/>
      <c r="ION11" s="118"/>
      <c r="IOO11" s="118"/>
      <c r="IOP11" s="118"/>
      <c r="IOQ11" s="118"/>
      <c r="IOR11" s="118"/>
      <c r="IOS11" s="118"/>
      <c r="IOT11" s="118"/>
      <c r="IOU11" s="118"/>
      <c r="IOV11" s="118"/>
      <c r="IOW11" s="118"/>
      <c r="IOX11" s="118"/>
      <c r="IOY11" s="118"/>
      <c r="IOZ11" s="118"/>
      <c r="IPA11" s="118"/>
      <c r="IPB11" s="118"/>
      <c r="IPC11" s="118"/>
      <c r="IPD11" s="118"/>
      <c r="IPE11" s="118"/>
      <c r="IPF11" s="118"/>
      <c r="IPG11" s="118"/>
      <c r="IPH11" s="118"/>
      <c r="IPI11" s="118"/>
      <c r="IPJ11" s="118"/>
      <c r="IPK11" s="118"/>
      <c r="IPL11" s="118"/>
      <c r="IPM11" s="118"/>
      <c r="IPN11" s="118"/>
      <c r="IPO11" s="118"/>
      <c r="IPP11" s="118"/>
      <c r="IPQ11" s="118"/>
      <c r="IPR11" s="118"/>
      <c r="IPS11" s="118"/>
      <c r="IPT11" s="118"/>
      <c r="IPU11" s="118"/>
      <c r="IPV11" s="118"/>
      <c r="IPW11" s="118"/>
      <c r="IPX11" s="118"/>
      <c r="IPY11" s="118"/>
      <c r="IPZ11" s="118"/>
      <c r="IQA11" s="118"/>
      <c r="IQB11" s="118"/>
      <c r="IQC11" s="118"/>
      <c r="IQD11" s="118"/>
      <c r="IQE11" s="118"/>
      <c r="IQF11" s="118"/>
      <c r="IQG11" s="118"/>
      <c r="IQH11" s="118"/>
      <c r="IQI11" s="118"/>
      <c r="IQJ11" s="118"/>
      <c r="IQK11" s="118"/>
      <c r="IQL11" s="118"/>
      <c r="IQM11" s="118"/>
      <c r="IQN11" s="118"/>
      <c r="IQO11" s="118"/>
      <c r="IQP11" s="118"/>
      <c r="IQQ11" s="118"/>
      <c r="IQR11" s="118"/>
      <c r="IQS11" s="118"/>
      <c r="IQT11" s="118"/>
      <c r="IQU11" s="118"/>
      <c r="IQV11" s="118"/>
      <c r="IQW11" s="118"/>
      <c r="IQX11" s="118"/>
      <c r="IQY11" s="118"/>
      <c r="IQZ11" s="118"/>
      <c r="IRA11" s="118"/>
      <c r="IRB11" s="118"/>
      <c r="IRC11" s="118"/>
      <c r="IRD11" s="118"/>
      <c r="IRE11" s="118"/>
      <c r="IRF11" s="118"/>
      <c r="IRG11" s="118"/>
      <c r="IRH11" s="118"/>
      <c r="IRI11" s="118"/>
      <c r="IRJ11" s="118"/>
      <c r="IRK11" s="118"/>
      <c r="IRL11" s="118"/>
      <c r="IRM11" s="118"/>
      <c r="IRN11" s="118"/>
      <c r="IRO11" s="118"/>
      <c r="IRP11" s="118"/>
      <c r="IRQ11" s="118"/>
      <c r="IRR11" s="118"/>
      <c r="IRS11" s="118"/>
      <c r="IRT11" s="118"/>
      <c r="IRU11" s="118"/>
      <c r="IRV11" s="118"/>
      <c r="IRW11" s="118"/>
      <c r="IRX11" s="118"/>
      <c r="IRY11" s="118"/>
      <c r="IRZ11" s="118"/>
      <c r="ISA11" s="118"/>
      <c r="ISB11" s="118"/>
      <c r="ISC11" s="118"/>
      <c r="ISD11" s="118"/>
      <c r="ISE11" s="118"/>
      <c r="ISF11" s="118"/>
      <c r="ISG11" s="118"/>
      <c r="ISH11" s="118"/>
      <c r="ISI11" s="118"/>
      <c r="ISJ11" s="118"/>
      <c r="ISK11" s="118"/>
      <c r="ISL11" s="118"/>
      <c r="ISM11" s="118"/>
      <c r="ISN11" s="118"/>
      <c r="ISO11" s="118"/>
      <c r="ISP11" s="118"/>
      <c r="ISQ11" s="118"/>
      <c r="ISR11" s="118"/>
      <c r="ISS11" s="118"/>
      <c r="IST11" s="118"/>
      <c r="ISU11" s="118"/>
      <c r="ISV11" s="118"/>
      <c r="ISW11" s="118"/>
      <c r="ISX11" s="118"/>
      <c r="ISY11" s="118"/>
      <c r="ISZ11" s="118"/>
      <c r="ITA11" s="118"/>
      <c r="ITB11" s="118"/>
      <c r="ITC11" s="118"/>
      <c r="ITD11" s="118"/>
      <c r="ITE11" s="118"/>
      <c r="ITF11" s="118"/>
      <c r="ITG11" s="118"/>
      <c r="ITH11" s="118"/>
      <c r="ITI11" s="118"/>
      <c r="ITJ11" s="118"/>
      <c r="ITK11" s="118"/>
      <c r="ITL11" s="118"/>
      <c r="ITM11" s="118"/>
      <c r="ITN11" s="118"/>
      <c r="ITO11" s="118"/>
      <c r="ITP11" s="118"/>
      <c r="ITQ11" s="118"/>
      <c r="ITR11" s="118"/>
      <c r="ITS11" s="118"/>
      <c r="ITT11" s="118"/>
      <c r="ITU11" s="118"/>
      <c r="ITV11" s="118"/>
      <c r="ITW11" s="118"/>
      <c r="ITX11" s="118"/>
      <c r="ITY11" s="118"/>
      <c r="ITZ11" s="118"/>
      <c r="IUA11" s="118"/>
      <c r="IUB11" s="118"/>
      <c r="IUC11" s="118"/>
      <c r="IUD11" s="118"/>
      <c r="IUE11" s="118"/>
      <c r="IUF11" s="118"/>
      <c r="IUG11" s="118"/>
      <c r="IUH11" s="118"/>
      <c r="IUI11" s="118"/>
      <c r="IUJ11" s="118"/>
      <c r="IUK11" s="118"/>
      <c r="IUL11" s="118"/>
      <c r="IUM11" s="118"/>
      <c r="IUN11" s="118"/>
      <c r="IUO11" s="118"/>
      <c r="IUP11" s="118"/>
      <c r="IUQ11" s="118"/>
      <c r="IUR11" s="118"/>
      <c r="IUS11" s="118"/>
      <c r="IUT11" s="118"/>
      <c r="IUU11" s="118"/>
      <c r="IUV11" s="118"/>
      <c r="IUW11" s="118"/>
      <c r="IUX11" s="118"/>
      <c r="IUY11" s="118"/>
      <c r="IUZ11" s="118"/>
      <c r="IVA11" s="118"/>
      <c r="IVB11" s="118"/>
      <c r="IVC11" s="118"/>
      <c r="IVD11" s="118"/>
      <c r="IVE11" s="118"/>
      <c r="IVF11" s="118"/>
      <c r="IVG11" s="118"/>
      <c r="IVH11" s="118"/>
      <c r="IVI11" s="118"/>
      <c r="IVJ11" s="118"/>
      <c r="IVK11" s="118"/>
      <c r="IVL11" s="118"/>
      <c r="IVM11" s="118"/>
      <c r="IVN11" s="118"/>
      <c r="IVO11" s="118"/>
      <c r="IVP11" s="118"/>
      <c r="IVQ11" s="118"/>
      <c r="IVR11" s="118"/>
      <c r="IVS11" s="118"/>
      <c r="IVT11" s="118"/>
      <c r="IVU11" s="118"/>
      <c r="IVV11" s="118"/>
      <c r="IVW11" s="118"/>
      <c r="IVX11" s="118"/>
      <c r="IVY11" s="118"/>
      <c r="IVZ11" s="118"/>
      <c r="IWA11" s="118"/>
      <c r="IWB11" s="118"/>
      <c r="IWC11" s="118"/>
      <c r="IWD11" s="118"/>
      <c r="IWE11" s="118"/>
      <c r="IWF11" s="118"/>
      <c r="IWG11" s="118"/>
      <c r="IWH11" s="118"/>
      <c r="IWI11" s="118"/>
      <c r="IWJ11" s="118"/>
      <c r="IWK11" s="118"/>
      <c r="IWL11" s="118"/>
      <c r="IWM11" s="118"/>
      <c r="IWN11" s="118"/>
      <c r="IWO11" s="118"/>
      <c r="IWP11" s="118"/>
      <c r="IWQ11" s="118"/>
      <c r="IWR11" s="118"/>
      <c r="IWS11" s="118"/>
      <c r="IWT11" s="118"/>
      <c r="IWU11" s="118"/>
      <c r="IWV11" s="118"/>
      <c r="IWW11" s="118"/>
      <c r="IWX11" s="118"/>
      <c r="IWY11" s="118"/>
      <c r="IWZ11" s="118"/>
      <c r="IXA11" s="118"/>
      <c r="IXB11" s="118"/>
      <c r="IXC11" s="118"/>
      <c r="IXD11" s="118"/>
      <c r="IXE11" s="118"/>
      <c r="IXF11" s="118"/>
      <c r="IXG11" s="118"/>
      <c r="IXH11" s="118"/>
      <c r="IXI11" s="118"/>
      <c r="IXJ11" s="118"/>
      <c r="IXK11" s="118"/>
      <c r="IXL11" s="118"/>
      <c r="IXM11" s="118"/>
      <c r="IXN11" s="118"/>
      <c r="IXO11" s="118"/>
      <c r="IXP11" s="118"/>
      <c r="IXQ11" s="118"/>
      <c r="IXR11" s="118"/>
      <c r="IXS11" s="118"/>
      <c r="IXT11" s="118"/>
      <c r="IXU11" s="118"/>
      <c r="IXV11" s="118"/>
      <c r="IXW11" s="118"/>
      <c r="IXX11" s="118"/>
      <c r="IXY11" s="118"/>
      <c r="IXZ11" s="118"/>
      <c r="IYA11" s="118"/>
      <c r="IYB11" s="118"/>
      <c r="IYC11" s="118"/>
      <c r="IYD11" s="118"/>
      <c r="IYE11" s="118"/>
      <c r="IYF11" s="118"/>
      <c r="IYG11" s="118"/>
      <c r="IYH11" s="118"/>
      <c r="IYI11" s="118"/>
      <c r="IYJ11" s="118"/>
      <c r="IYK11" s="118"/>
      <c r="IYL11" s="118"/>
      <c r="IYM11" s="118"/>
      <c r="IYN11" s="118"/>
      <c r="IYO11" s="118"/>
      <c r="IYP11" s="118"/>
      <c r="IYQ11" s="118"/>
      <c r="IYR11" s="118"/>
      <c r="IYS11" s="118"/>
      <c r="IYT11" s="118"/>
      <c r="IYU11" s="118"/>
      <c r="IYV11" s="118"/>
      <c r="IYW11" s="118"/>
      <c r="IYX11" s="118"/>
      <c r="IYY11" s="118"/>
      <c r="IYZ11" s="118"/>
      <c r="IZA11" s="118"/>
      <c r="IZB11" s="118"/>
      <c r="IZC11" s="118"/>
      <c r="IZD11" s="118"/>
      <c r="IZE11" s="118"/>
      <c r="IZF11" s="118"/>
      <c r="IZG11" s="118"/>
      <c r="IZH11" s="118"/>
      <c r="IZI11" s="118"/>
      <c r="IZJ11" s="118"/>
      <c r="IZK11" s="118"/>
      <c r="IZL11" s="118"/>
      <c r="IZM11" s="118"/>
      <c r="IZN11" s="118"/>
      <c r="IZO11" s="118"/>
      <c r="IZP11" s="118"/>
      <c r="IZQ11" s="118"/>
      <c r="IZR11" s="118"/>
      <c r="IZS11" s="118"/>
      <c r="IZT11" s="118"/>
      <c r="IZU11" s="118"/>
      <c r="IZV11" s="118"/>
      <c r="IZW11" s="118"/>
      <c r="IZX11" s="118"/>
      <c r="IZY11" s="118"/>
      <c r="IZZ11" s="118"/>
      <c r="JAA11" s="118"/>
      <c r="JAB11" s="118"/>
      <c r="JAC11" s="118"/>
      <c r="JAD11" s="118"/>
      <c r="JAE11" s="118"/>
      <c r="JAF11" s="118"/>
      <c r="JAG11" s="118"/>
      <c r="JAH11" s="118"/>
      <c r="JAI11" s="118"/>
      <c r="JAJ11" s="118"/>
      <c r="JAK11" s="118"/>
      <c r="JAL11" s="118"/>
      <c r="JAM11" s="118"/>
      <c r="JAN11" s="118"/>
      <c r="JAO11" s="118"/>
      <c r="JAP11" s="118"/>
      <c r="JAQ11" s="118"/>
      <c r="JAR11" s="118"/>
      <c r="JAS11" s="118"/>
      <c r="JAT11" s="118"/>
      <c r="JAU11" s="118"/>
      <c r="JAV11" s="118"/>
      <c r="JAW11" s="118"/>
      <c r="JAX11" s="118"/>
      <c r="JAY11" s="118"/>
      <c r="JAZ11" s="118"/>
      <c r="JBA11" s="118"/>
      <c r="JBB11" s="118"/>
      <c r="JBC11" s="118"/>
      <c r="JBD11" s="118"/>
      <c r="JBE11" s="118"/>
      <c r="JBF11" s="118"/>
      <c r="JBG11" s="118"/>
      <c r="JBH11" s="118"/>
      <c r="JBI11" s="118"/>
      <c r="JBJ11" s="118"/>
      <c r="JBK11" s="118"/>
      <c r="JBL11" s="118"/>
      <c r="JBM11" s="118"/>
      <c r="JBN11" s="118"/>
      <c r="JBO11" s="118"/>
      <c r="JBP11" s="118"/>
      <c r="JBQ11" s="118"/>
      <c r="JBR11" s="118"/>
      <c r="JBS11" s="118"/>
      <c r="JBT11" s="118"/>
      <c r="JBU11" s="118"/>
      <c r="JBV11" s="118"/>
      <c r="JBW11" s="118"/>
      <c r="JBX11" s="118"/>
      <c r="JBY11" s="118"/>
      <c r="JBZ11" s="118"/>
      <c r="JCA11" s="118"/>
      <c r="JCB11" s="118"/>
      <c r="JCC11" s="118"/>
      <c r="JCD11" s="118"/>
      <c r="JCE11" s="118"/>
      <c r="JCF11" s="118"/>
      <c r="JCG11" s="118"/>
      <c r="JCH11" s="118"/>
      <c r="JCI11" s="118"/>
      <c r="JCJ11" s="118"/>
      <c r="JCK11" s="118"/>
      <c r="JCL11" s="118"/>
      <c r="JCM11" s="118"/>
      <c r="JCN11" s="118"/>
      <c r="JCO11" s="118"/>
      <c r="JCP11" s="118"/>
      <c r="JCQ11" s="118"/>
      <c r="JCR11" s="118"/>
      <c r="JCS11" s="118"/>
      <c r="JCT11" s="118"/>
      <c r="JCU11" s="118"/>
      <c r="JCV11" s="118"/>
      <c r="JCW11" s="118"/>
      <c r="JCX11" s="118"/>
      <c r="JCY11" s="118"/>
      <c r="JCZ11" s="118"/>
      <c r="JDA11" s="118"/>
      <c r="JDB11" s="118"/>
      <c r="JDC11" s="118"/>
      <c r="JDD11" s="118"/>
      <c r="JDE11" s="118"/>
      <c r="JDF11" s="118"/>
      <c r="JDG11" s="118"/>
      <c r="JDH11" s="118"/>
      <c r="JDI11" s="118"/>
      <c r="JDJ11" s="118"/>
      <c r="JDK11" s="118"/>
      <c r="JDL11" s="118"/>
      <c r="JDM11" s="118"/>
      <c r="JDN11" s="118"/>
      <c r="JDO11" s="118"/>
      <c r="JDP11" s="118"/>
      <c r="JDQ11" s="118"/>
      <c r="JDR11" s="118"/>
      <c r="JDS11" s="118"/>
      <c r="JDT11" s="118"/>
      <c r="JDU11" s="118"/>
      <c r="JDV11" s="118"/>
      <c r="JDW11" s="118"/>
      <c r="JDX11" s="118"/>
      <c r="JDY11" s="118"/>
      <c r="JDZ11" s="118"/>
      <c r="JEA11" s="118"/>
      <c r="JEB11" s="118"/>
      <c r="JEC11" s="118"/>
      <c r="JED11" s="118"/>
      <c r="JEE11" s="118"/>
      <c r="JEF11" s="118"/>
      <c r="JEG11" s="118"/>
      <c r="JEH11" s="118"/>
      <c r="JEI11" s="118"/>
      <c r="JEJ11" s="118"/>
      <c r="JEK11" s="118"/>
      <c r="JEL11" s="118"/>
      <c r="JEM11" s="118"/>
      <c r="JEN11" s="118"/>
      <c r="JEO11" s="118"/>
      <c r="JEP11" s="118"/>
      <c r="JEQ11" s="118"/>
      <c r="JER11" s="118"/>
      <c r="JES11" s="118"/>
      <c r="JET11" s="118"/>
      <c r="JEU11" s="118"/>
      <c r="JEV11" s="118"/>
      <c r="JEW11" s="118"/>
      <c r="JEX11" s="118"/>
      <c r="JEY11" s="118"/>
      <c r="JEZ11" s="118"/>
      <c r="JFA11" s="118"/>
      <c r="JFB11" s="118"/>
      <c r="JFC11" s="118"/>
      <c r="JFD11" s="118"/>
      <c r="JFE11" s="118"/>
      <c r="JFF11" s="118"/>
      <c r="JFG11" s="118"/>
      <c r="JFH11" s="118"/>
      <c r="JFI11" s="118"/>
      <c r="JFJ11" s="118"/>
      <c r="JFK11" s="118"/>
      <c r="JFL11" s="118"/>
      <c r="JFM11" s="118"/>
      <c r="JFN11" s="118"/>
      <c r="JFO11" s="118"/>
      <c r="JFP11" s="118"/>
      <c r="JFQ11" s="118"/>
      <c r="JFR11" s="118"/>
      <c r="JFS11" s="118"/>
      <c r="JFT11" s="118"/>
      <c r="JFU11" s="118"/>
      <c r="JFV11" s="118"/>
      <c r="JFW11" s="118"/>
      <c r="JFX11" s="118"/>
      <c r="JFY11" s="118"/>
      <c r="JFZ11" s="118"/>
      <c r="JGA11" s="118"/>
      <c r="JGB11" s="118"/>
      <c r="JGC11" s="118"/>
      <c r="JGD11" s="118"/>
      <c r="JGE11" s="118"/>
      <c r="JGF11" s="118"/>
      <c r="JGG11" s="118"/>
      <c r="JGH11" s="118"/>
      <c r="JGI11" s="118"/>
      <c r="JGJ11" s="118"/>
      <c r="JGK11" s="118"/>
      <c r="JGL11" s="118"/>
      <c r="JGM11" s="118"/>
      <c r="JGN11" s="118"/>
      <c r="JGO11" s="118"/>
      <c r="JGP11" s="118"/>
      <c r="JGQ11" s="118"/>
      <c r="JGR11" s="118"/>
      <c r="JGS11" s="118"/>
      <c r="JGT11" s="118"/>
      <c r="JGU11" s="118"/>
      <c r="JGV11" s="118"/>
      <c r="JGW11" s="118"/>
      <c r="JGX11" s="118"/>
      <c r="JGY11" s="118"/>
      <c r="JGZ11" s="118"/>
      <c r="JHA11" s="118"/>
      <c r="JHB11" s="118"/>
      <c r="JHC11" s="118"/>
      <c r="JHD11" s="118"/>
      <c r="JHE11" s="118"/>
      <c r="JHF11" s="118"/>
      <c r="JHG11" s="118"/>
      <c r="JHH11" s="118"/>
      <c r="JHI11" s="118"/>
      <c r="JHJ11" s="118"/>
      <c r="JHK11" s="118"/>
      <c r="JHL11" s="118"/>
      <c r="JHM11" s="118"/>
      <c r="JHN11" s="118"/>
      <c r="JHO11" s="118"/>
      <c r="JHP11" s="118"/>
      <c r="JHQ11" s="118"/>
      <c r="JHR11" s="118"/>
      <c r="JHS11" s="118"/>
      <c r="JHT11" s="118"/>
      <c r="JHU11" s="118"/>
      <c r="JHV11" s="118"/>
      <c r="JHW11" s="118"/>
      <c r="JHX11" s="118"/>
      <c r="JHY11" s="118"/>
      <c r="JHZ11" s="118"/>
      <c r="JIA11" s="118"/>
      <c r="JIB11" s="118"/>
      <c r="JIC11" s="118"/>
      <c r="JID11" s="118"/>
      <c r="JIE11" s="118"/>
      <c r="JIF11" s="118"/>
      <c r="JIG11" s="118"/>
      <c r="JIH11" s="118"/>
      <c r="JII11" s="118"/>
      <c r="JIJ11" s="118"/>
      <c r="JIK11" s="118"/>
      <c r="JIL11" s="118"/>
      <c r="JIM11" s="118"/>
      <c r="JIN11" s="118"/>
      <c r="JIO11" s="118"/>
      <c r="JIP11" s="118"/>
      <c r="JIQ11" s="118"/>
      <c r="JIR11" s="118"/>
      <c r="JIS11" s="118"/>
      <c r="JIT11" s="118"/>
      <c r="JIU11" s="118"/>
      <c r="JIV11" s="118"/>
      <c r="JIW11" s="118"/>
      <c r="JIX11" s="118"/>
      <c r="JIY11" s="118"/>
      <c r="JIZ11" s="118"/>
      <c r="JJA11" s="118"/>
      <c r="JJB11" s="118"/>
      <c r="JJC11" s="118"/>
      <c r="JJD11" s="118"/>
      <c r="JJE11" s="118"/>
      <c r="JJF11" s="118"/>
      <c r="JJG11" s="118"/>
      <c r="JJH11" s="118"/>
      <c r="JJI11" s="118"/>
      <c r="JJJ11" s="118"/>
      <c r="JJK11" s="118"/>
      <c r="JJL11" s="118"/>
      <c r="JJM11" s="118"/>
      <c r="JJN11" s="118"/>
      <c r="JJO11" s="118"/>
      <c r="JJP11" s="118"/>
      <c r="JJQ11" s="118"/>
      <c r="JJR11" s="118"/>
      <c r="JJS11" s="118"/>
      <c r="JJT11" s="118"/>
      <c r="JJU11" s="118"/>
      <c r="JJV11" s="118"/>
      <c r="JJW11" s="118"/>
      <c r="JJX11" s="118"/>
      <c r="JJY11" s="118"/>
      <c r="JJZ11" s="118"/>
      <c r="JKA11" s="118"/>
      <c r="JKB11" s="118"/>
      <c r="JKC11" s="118"/>
      <c r="JKD11" s="118"/>
      <c r="JKE11" s="118"/>
      <c r="JKF11" s="118"/>
      <c r="JKG11" s="118"/>
      <c r="JKH11" s="118"/>
      <c r="JKI11" s="118"/>
      <c r="JKJ11" s="118"/>
      <c r="JKK11" s="118"/>
      <c r="JKL11" s="118"/>
      <c r="JKM11" s="118"/>
      <c r="JKN11" s="118"/>
      <c r="JKO11" s="118"/>
      <c r="JKP11" s="118"/>
      <c r="JKQ11" s="118"/>
      <c r="JKR11" s="118"/>
      <c r="JKS11" s="118"/>
      <c r="JKT11" s="118"/>
      <c r="JKU11" s="118"/>
      <c r="JKV11" s="118"/>
      <c r="JKW11" s="118"/>
      <c r="JKX11" s="118"/>
      <c r="JKY11" s="118"/>
      <c r="JKZ11" s="118"/>
      <c r="JLA11" s="118"/>
      <c r="JLB11" s="118"/>
      <c r="JLC11" s="118"/>
      <c r="JLD11" s="118"/>
      <c r="JLE11" s="118"/>
      <c r="JLF11" s="118"/>
      <c r="JLG11" s="118"/>
      <c r="JLH11" s="118"/>
      <c r="JLI11" s="118"/>
      <c r="JLJ11" s="118"/>
      <c r="JLK11" s="118"/>
      <c r="JLL11" s="118"/>
      <c r="JLM11" s="118"/>
      <c r="JLN11" s="118"/>
      <c r="JLO11" s="118"/>
      <c r="JLP11" s="118"/>
      <c r="JLQ11" s="118"/>
      <c r="JLR11" s="118"/>
      <c r="JLS11" s="118"/>
      <c r="JLT11" s="118"/>
      <c r="JLU11" s="118"/>
      <c r="JLV11" s="118"/>
      <c r="JLW11" s="118"/>
      <c r="JLX11" s="118"/>
      <c r="JLY11" s="118"/>
      <c r="JLZ11" s="118"/>
      <c r="JMA11" s="118"/>
      <c r="JMB11" s="118"/>
      <c r="JMC11" s="118"/>
      <c r="JMD11" s="118"/>
      <c r="JME11" s="118"/>
      <c r="JMF11" s="118"/>
      <c r="JMG11" s="118"/>
      <c r="JMH11" s="118"/>
      <c r="JMI11" s="118"/>
      <c r="JMJ11" s="118"/>
      <c r="JMK11" s="118"/>
      <c r="JML11" s="118"/>
      <c r="JMM11" s="118"/>
      <c r="JMN11" s="118"/>
      <c r="JMO11" s="118"/>
      <c r="JMP11" s="118"/>
      <c r="JMQ11" s="118"/>
      <c r="JMR11" s="118"/>
      <c r="JMS11" s="118"/>
      <c r="JMT11" s="118"/>
      <c r="JMU11" s="118"/>
      <c r="JMV11" s="118"/>
      <c r="JMW11" s="118"/>
      <c r="JMX11" s="118"/>
      <c r="JMY11" s="118"/>
      <c r="JMZ11" s="118"/>
      <c r="JNA11" s="118"/>
      <c r="JNB11" s="118"/>
      <c r="JNC11" s="118"/>
      <c r="JND11" s="118"/>
      <c r="JNE11" s="118"/>
      <c r="JNF11" s="118"/>
      <c r="JNG11" s="118"/>
      <c r="JNH11" s="118"/>
      <c r="JNI11" s="118"/>
      <c r="JNJ11" s="118"/>
      <c r="JNK11" s="118"/>
      <c r="JNL11" s="118"/>
      <c r="JNM11" s="118"/>
      <c r="JNN11" s="118"/>
      <c r="JNO11" s="118"/>
      <c r="JNP11" s="118"/>
      <c r="JNQ11" s="118"/>
      <c r="JNR11" s="118"/>
      <c r="JNS11" s="118"/>
      <c r="JNT11" s="118"/>
      <c r="JNU11" s="118"/>
      <c r="JNV11" s="118"/>
      <c r="JNW11" s="118"/>
      <c r="JNX11" s="118"/>
      <c r="JNY11" s="118"/>
      <c r="JNZ11" s="118"/>
      <c r="JOA11" s="118"/>
      <c r="JOB11" s="118"/>
      <c r="JOC11" s="118"/>
      <c r="JOD11" s="118"/>
      <c r="JOE11" s="118"/>
      <c r="JOF11" s="118"/>
      <c r="JOG11" s="118"/>
      <c r="JOH11" s="118"/>
      <c r="JOI11" s="118"/>
      <c r="JOJ11" s="118"/>
      <c r="JOK11" s="118"/>
      <c r="JOL11" s="118"/>
      <c r="JOM11" s="118"/>
      <c r="JON11" s="118"/>
      <c r="JOO11" s="118"/>
      <c r="JOP11" s="118"/>
      <c r="JOQ11" s="118"/>
      <c r="JOR11" s="118"/>
      <c r="JOS11" s="118"/>
      <c r="JOT11" s="118"/>
      <c r="JOU11" s="118"/>
      <c r="JOV11" s="118"/>
      <c r="JOW11" s="118"/>
      <c r="JOX11" s="118"/>
      <c r="JOY11" s="118"/>
      <c r="JOZ11" s="118"/>
      <c r="JPA11" s="118"/>
      <c r="JPB11" s="118"/>
      <c r="JPC11" s="118"/>
      <c r="JPD11" s="118"/>
      <c r="JPE11" s="118"/>
      <c r="JPF11" s="118"/>
      <c r="JPG11" s="118"/>
      <c r="JPH11" s="118"/>
      <c r="JPI11" s="118"/>
      <c r="JPJ11" s="118"/>
      <c r="JPK11" s="118"/>
      <c r="JPL11" s="118"/>
      <c r="JPM11" s="118"/>
      <c r="JPN11" s="118"/>
      <c r="JPO11" s="118"/>
      <c r="JPP11" s="118"/>
      <c r="JPQ11" s="118"/>
      <c r="JPR11" s="118"/>
      <c r="JPS11" s="118"/>
      <c r="JPT11" s="118"/>
      <c r="JPU11" s="118"/>
      <c r="JPV11" s="118"/>
      <c r="JPW11" s="118"/>
      <c r="JPX11" s="118"/>
      <c r="JPY11" s="118"/>
      <c r="JPZ11" s="118"/>
      <c r="JQA11" s="118"/>
      <c r="JQB11" s="118"/>
      <c r="JQC11" s="118"/>
      <c r="JQD11" s="118"/>
      <c r="JQE11" s="118"/>
      <c r="JQF11" s="118"/>
      <c r="JQG11" s="118"/>
      <c r="JQH11" s="118"/>
      <c r="JQI11" s="118"/>
      <c r="JQJ11" s="118"/>
      <c r="JQK11" s="118"/>
      <c r="JQL11" s="118"/>
      <c r="JQM11" s="118"/>
      <c r="JQN11" s="118"/>
      <c r="JQO11" s="118"/>
      <c r="JQP11" s="118"/>
      <c r="JQQ11" s="118"/>
      <c r="JQR11" s="118"/>
      <c r="JQS11" s="118"/>
      <c r="JQT11" s="118"/>
      <c r="JQU11" s="118"/>
      <c r="JQV11" s="118"/>
      <c r="JQW11" s="118"/>
      <c r="JQX11" s="118"/>
      <c r="JQY11" s="118"/>
      <c r="JQZ11" s="118"/>
      <c r="JRA11" s="118"/>
      <c r="JRB11" s="118"/>
      <c r="JRC11" s="118"/>
      <c r="JRD11" s="118"/>
      <c r="JRE11" s="118"/>
      <c r="JRF11" s="118"/>
      <c r="JRG11" s="118"/>
      <c r="JRH11" s="118"/>
      <c r="JRI11" s="118"/>
      <c r="JRJ11" s="118"/>
      <c r="JRK11" s="118"/>
      <c r="JRL11" s="118"/>
      <c r="JRM11" s="118"/>
      <c r="JRN11" s="118"/>
      <c r="JRO11" s="118"/>
      <c r="JRP11" s="118"/>
      <c r="JRQ11" s="118"/>
      <c r="JRR11" s="118"/>
      <c r="JRS11" s="118"/>
      <c r="JRT11" s="118"/>
      <c r="JRU11" s="118"/>
      <c r="JRV11" s="118"/>
      <c r="JRW11" s="118"/>
      <c r="JRX11" s="118"/>
      <c r="JRY11" s="118"/>
      <c r="JRZ11" s="118"/>
      <c r="JSA11" s="118"/>
      <c r="JSB11" s="118"/>
      <c r="JSC11" s="118"/>
      <c r="JSD11" s="118"/>
      <c r="JSE11" s="118"/>
      <c r="JSF11" s="118"/>
      <c r="JSG11" s="118"/>
      <c r="JSH11" s="118"/>
      <c r="JSI11" s="118"/>
      <c r="JSJ11" s="118"/>
      <c r="JSK11" s="118"/>
      <c r="JSL11" s="118"/>
      <c r="JSM11" s="118"/>
      <c r="JSN11" s="118"/>
      <c r="JSO11" s="118"/>
      <c r="JSP11" s="118"/>
      <c r="JSQ11" s="118"/>
      <c r="JSR11" s="118"/>
      <c r="JSS11" s="118"/>
      <c r="JST11" s="118"/>
      <c r="JSU11" s="118"/>
      <c r="JSV11" s="118"/>
      <c r="JSW11" s="118"/>
      <c r="JSX11" s="118"/>
      <c r="JSY11" s="118"/>
      <c r="JSZ11" s="118"/>
      <c r="JTA11" s="118"/>
      <c r="JTB11" s="118"/>
      <c r="JTC11" s="118"/>
      <c r="JTD11" s="118"/>
      <c r="JTE11" s="118"/>
      <c r="JTF11" s="118"/>
      <c r="JTG11" s="118"/>
      <c r="JTH11" s="118"/>
      <c r="JTI11" s="118"/>
      <c r="JTJ11" s="118"/>
      <c r="JTK11" s="118"/>
      <c r="JTL11" s="118"/>
      <c r="JTM11" s="118"/>
      <c r="JTN11" s="118"/>
      <c r="JTO11" s="118"/>
      <c r="JTP11" s="118"/>
      <c r="JTQ11" s="118"/>
      <c r="JTR11" s="118"/>
      <c r="JTS11" s="118"/>
      <c r="JTT11" s="118"/>
      <c r="JTU11" s="118"/>
      <c r="JTV11" s="118"/>
      <c r="JTW11" s="118"/>
      <c r="JTX11" s="118"/>
      <c r="JTY11" s="118"/>
      <c r="JTZ11" s="118"/>
      <c r="JUA11" s="118"/>
      <c r="JUB11" s="118"/>
      <c r="JUC11" s="118"/>
      <c r="JUD11" s="118"/>
      <c r="JUE11" s="118"/>
      <c r="JUF11" s="118"/>
      <c r="JUG11" s="118"/>
      <c r="JUH11" s="118"/>
      <c r="JUI11" s="118"/>
      <c r="JUJ11" s="118"/>
      <c r="JUK11" s="118"/>
      <c r="JUL11" s="118"/>
      <c r="JUM11" s="118"/>
      <c r="JUN11" s="118"/>
      <c r="JUO11" s="118"/>
      <c r="JUP11" s="118"/>
      <c r="JUQ11" s="118"/>
      <c r="JUR11" s="118"/>
      <c r="JUS11" s="118"/>
      <c r="JUT11" s="118"/>
      <c r="JUU11" s="118"/>
      <c r="JUV11" s="118"/>
      <c r="JUW11" s="118"/>
      <c r="JUX11" s="118"/>
      <c r="JUY11" s="118"/>
      <c r="JUZ11" s="118"/>
      <c r="JVA11" s="118"/>
      <c r="JVB11" s="118"/>
      <c r="JVC11" s="118"/>
      <c r="JVD11" s="118"/>
      <c r="JVE11" s="118"/>
      <c r="JVF11" s="118"/>
      <c r="JVG11" s="118"/>
      <c r="JVH11" s="118"/>
      <c r="JVI11" s="118"/>
      <c r="JVJ11" s="118"/>
      <c r="JVK11" s="118"/>
      <c r="JVL11" s="118"/>
      <c r="JVM11" s="118"/>
      <c r="JVN11" s="118"/>
      <c r="JVO11" s="118"/>
      <c r="JVP11" s="118"/>
      <c r="JVQ11" s="118"/>
      <c r="JVR11" s="118"/>
      <c r="JVS11" s="118"/>
      <c r="JVT11" s="118"/>
      <c r="JVU11" s="118"/>
      <c r="JVV11" s="118"/>
      <c r="JVW11" s="118"/>
      <c r="JVX11" s="118"/>
      <c r="JVY11" s="118"/>
      <c r="JVZ11" s="118"/>
      <c r="JWA11" s="118"/>
      <c r="JWB11" s="118"/>
      <c r="JWC11" s="118"/>
      <c r="JWD11" s="118"/>
      <c r="JWE11" s="118"/>
      <c r="JWF11" s="118"/>
      <c r="JWG11" s="118"/>
      <c r="JWH11" s="118"/>
      <c r="JWI11" s="118"/>
      <c r="JWJ11" s="118"/>
      <c r="JWK11" s="118"/>
      <c r="JWL11" s="118"/>
      <c r="JWM11" s="118"/>
      <c r="JWN11" s="118"/>
      <c r="JWO11" s="118"/>
      <c r="JWP11" s="118"/>
      <c r="JWQ11" s="118"/>
      <c r="JWR11" s="118"/>
      <c r="JWS11" s="118"/>
      <c r="JWT11" s="118"/>
      <c r="JWU11" s="118"/>
      <c r="JWV11" s="118"/>
      <c r="JWW11" s="118"/>
      <c r="JWX11" s="118"/>
      <c r="JWY11" s="118"/>
      <c r="JWZ11" s="118"/>
      <c r="JXA11" s="118"/>
      <c r="JXB11" s="118"/>
      <c r="JXC11" s="118"/>
      <c r="JXD11" s="118"/>
      <c r="JXE11" s="118"/>
      <c r="JXF11" s="118"/>
      <c r="JXG11" s="118"/>
      <c r="JXH11" s="118"/>
      <c r="JXI11" s="118"/>
      <c r="JXJ11" s="118"/>
      <c r="JXK11" s="118"/>
      <c r="JXL11" s="118"/>
      <c r="JXM11" s="118"/>
      <c r="JXN11" s="118"/>
      <c r="JXO11" s="118"/>
      <c r="JXP11" s="118"/>
      <c r="JXQ11" s="118"/>
      <c r="JXR11" s="118"/>
      <c r="JXS11" s="118"/>
      <c r="JXT11" s="118"/>
      <c r="JXU11" s="118"/>
      <c r="JXV11" s="118"/>
      <c r="JXW11" s="118"/>
      <c r="JXX11" s="118"/>
      <c r="JXY11" s="118"/>
      <c r="JXZ11" s="118"/>
      <c r="JYA11" s="118"/>
      <c r="JYB11" s="118"/>
      <c r="JYC11" s="118"/>
      <c r="JYD11" s="118"/>
      <c r="JYE11" s="118"/>
      <c r="JYF11" s="118"/>
      <c r="JYG11" s="118"/>
      <c r="JYH11" s="118"/>
      <c r="JYI11" s="118"/>
      <c r="JYJ11" s="118"/>
      <c r="JYK11" s="118"/>
      <c r="JYL11" s="118"/>
      <c r="JYM11" s="118"/>
      <c r="JYN11" s="118"/>
      <c r="JYO11" s="118"/>
      <c r="JYP11" s="118"/>
      <c r="JYQ11" s="118"/>
      <c r="JYR11" s="118"/>
      <c r="JYS11" s="118"/>
      <c r="JYT11" s="118"/>
      <c r="JYU11" s="118"/>
      <c r="JYV11" s="118"/>
      <c r="JYW11" s="118"/>
      <c r="JYX11" s="118"/>
      <c r="JYY11" s="118"/>
      <c r="JYZ11" s="118"/>
      <c r="JZA11" s="118"/>
      <c r="JZB11" s="118"/>
      <c r="JZC11" s="118"/>
      <c r="JZD11" s="118"/>
      <c r="JZE11" s="118"/>
      <c r="JZF11" s="118"/>
      <c r="JZG11" s="118"/>
      <c r="JZH11" s="118"/>
      <c r="JZI11" s="118"/>
      <c r="JZJ11" s="118"/>
      <c r="JZK11" s="118"/>
      <c r="JZL11" s="118"/>
      <c r="JZM11" s="118"/>
      <c r="JZN11" s="118"/>
      <c r="JZO11" s="118"/>
      <c r="JZP11" s="118"/>
      <c r="JZQ11" s="118"/>
      <c r="JZR11" s="118"/>
      <c r="JZS11" s="118"/>
      <c r="JZT11" s="118"/>
      <c r="JZU11" s="118"/>
      <c r="JZV11" s="118"/>
      <c r="JZW11" s="118"/>
      <c r="JZX11" s="118"/>
      <c r="JZY11" s="118"/>
      <c r="JZZ11" s="118"/>
      <c r="KAA11" s="118"/>
      <c r="KAB11" s="118"/>
      <c r="KAC11" s="118"/>
      <c r="KAD11" s="118"/>
      <c r="KAE11" s="118"/>
      <c r="KAF11" s="118"/>
      <c r="KAG11" s="118"/>
      <c r="KAH11" s="118"/>
      <c r="KAI11" s="118"/>
      <c r="KAJ11" s="118"/>
      <c r="KAK11" s="118"/>
      <c r="KAL11" s="118"/>
      <c r="KAM11" s="118"/>
      <c r="KAN11" s="118"/>
      <c r="KAO11" s="118"/>
      <c r="KAP11" s="118"/>
      <c r="KAQ11" s="118"/>
      <c r="KAR11" s="118"/>
      <c r="KAS11" s="118"/>
      <c r="KAT11" s="118"/>
      <c r="KAU11" s="118"/>
      <c r="KAV11" s="118"/>
      <c r="KAW11" s="118"/>
      <c r="KAX11" s="118"/>
      <c r="KAY11" s="118"/>
      <c r="KAZ11" s="118"/>
      <c r="KBA11" s="118"/>
      <c r="KBB11" s="118"/>
      <c r="KBC11" s="118"/>
      <c r="KBD11" s="118"/>
      <c r="KBE11" s="118"/>
      <c r="KBF11" s="118"/>
      <c r="KBG11" s="118"/>
      <c r="KBH11" s="118"/>
      <c r="KBI11" s="118"/>
      <c r="KBJ11" s="118"/>
      <c r="KBK11" s="118"/>
      <c r="KBL11" s="118"/>
      <c r="KBM11" s="118"/>
      <c r="KBN11" s="118"/>
      <c r="KBO11" s="118"/>
      <c r="KBP11" s="118"/>
      <c r="KBQ11" s="118"/>
      <c r="KBR11" s="118"/>
      <c r="KBS11" s="118"/>
      <c r="KBT11" s="118"/>
      <c r="KBU11" s="118"/>
      <c r="KBV11" s="118"/>
      <c r="KBW11" s="118"/>
      <c r="KBX11" s="118"/>
      <c r="KBY11" s="118"/>
      <c r="KBZ11" s="118"/>
      <c r="KCA11" s="118"/>
      <c r="KCB11" s="118"/>
      <c r="KCC11" s="118"/>
      <c r="KCD11" s="118"/>
      <c r="KCE11" s="118"/>
      <c r="KCF11" s="118"/>
      <c r="KCG11" s="118"/>
      <c r="KCH11" s="118"/>
      <c r="KCI11" s="118"/>
      <c r="KCJ11" s="118"/>
      <c r="KCK11" s="118"/>
      <c r="KCL11" s="118"/>
      <c r="KCM11" s="118"/>
      <c r="KCN11" s="118"/>
      <c r="KCO11" s="118"/>
      <c r="KCP11" s="118"/>
      <c r="KCQ11" s="118"/>
      <c r="KCR11" s="118"/>
      <c r="KCS11" s="118"/>
      <c r="KCT11" s="118"/>
      <c r="KCU11" s="118"/>
      <c r="KCV11" s="118"/>
      <c r="KCW11" s="118"/>
      <c r="KCX11" s="118"/>
      <c r="KCY11" s="118"/>
      <c r="KCZ11" s="118"/>
      <c r="KDA11" s="118"/>
      <c r="KDB11" s="118"/>
      <c r="KDC11" s="118"/>
      <c r="KDD11" s="118"/>
      <c r="KDE11" s="118"/>
      <c r="KDF11" s="118"/>
      <c r="KDG11" s="118"/>
      <c r="KDH11" s="118"/>
      <c r="KDI11" s="118"/>
      <c r="KDJ11" s="118"/>
      <c r="KDK11" s="118"/>
      <c r="KDL11" s="118"/>
      <c r="KDM11" s="118"/>
      <c r="KDN11" s="118"/>
      <c r="KDO11" s="118"/>
      <c r="KDP11" s="118"/>
      <c r="KDQ11" s="118"/>
      <c r="KDR11" s="118"/>
      <c r="KDS11" s="118"/>
      <c r="KDT11" s="118"/>
      <c r="KDU11" s="118"/>
      <c r="KDV11" s="118"/>
      <c r="KDW11" s="118"/>
      <c r="KDX11" s="118"/>
      <c r="KDY11" s="118"/>
      <c r="KDZ11" s="118"/>
      <c r="KEA11" s="118"/>
      <c r="KEB11" s="118"/>
      <c r="KEC11" s="118"/>
      <c r="KED11" s="118"/>
      <c r="KEE11" s="118"/>
      <c r="KEF11" s="118"/>
      <c r="KEG11" s="118"/>
      <c r="KEH11" s="118"/>
      <c r="KEI11" s="118"/>
      <c r="KEJ11" s="118"/>
      <c r="KEK11" s="118"/>
      <c r="KEL11" s="118"/>
      <c r="KEM11" s="118"/>
      <c r="KEN11" s="118"/>
      <c r="KEO11" s="118"/>
      <c r="KEP11" s="118"/>
      <c r="KEQ11" s="118"/>
      <c r="KER11" s="118"/>
      <c r="KES11" s="118"/>
      <c r="KET11" s="118"/>
      <c r="KEU11" s="118"/>
      <c r="KEV11" s="118"/>
      <c r="KEW11" s="118"/>
      <c r="KEX11" s="118"/>
      <c r="KEY11" s="118"/>
      <c r="KEZ11" s="118"/>
      <c r="KFA11" s="118"/>
      <c r="KFB11" s="118"/>
      <c r="KFC11" s="118"/>
      <c r="KFD11" s="118"/>
      <c r="KFE11" s="118"/>
      <c r="KFF11" s="118"/>
      <c r="KFG11" s="118"/>
      <c r="KFH11" s="118"/>
      <c r="KFI11" s="118"/>
      <c r="KFJ11" s="118"/>
      <c r="KFK11" s="118"/>
      <c r="KFL11" s="118"/>
      <c r="KFM11" s="118"/>
      <c r="KFN11" s="118"/>
      <c r="KFO11" s="118"/>
      <c r="KFP11" s="118"/>
      <c r="KFQ11" s="118"/>
      <c r="KFR11" s="118"/>
      <c r="KFS11" s="118"/>
      <c r="KFT11" s="118"/>
      <c r="KFU11" s="118"/>
      <c r="KFV11" s="118"/>
      <c r="KFW11" s="118"/>
      <c r="KFX11" s="118"/>
      <c r="KFY11" s="118"/>
      <c r="KFZ11" s="118"/>
      <c r="KGA11" s="118"/>
      <c r="KGB11" s="118"/>
      <c r="KGC11" s="118"/>
      <c r="KGD11" s="118"/>
      <c r="KGE11" s="118"/>
      <c r="KGF11" s="118"/>
      <c r="KGG11" s="118"/>
      <c r="KGH11" s="118"/>
      <c r="KGI11" s="118"/>
      <c r="KGJ11" s="118"/>
      <c r="KGK11" s="118"/>
      <c r="KGL11" s="118"/>
      <c r="KGM11" s="118"/>
      <c r="KGN11" s="118"/>
      <c r="KGO11" s="118"/>
      <c r="KGP11" s="118"/>
      <c r="KGQ11" s="118"/>
      <c r="KGR11" s="118"/>
      <c r="KGS11" s="118"/>
      <c r="KGT11" s="118"/>
      <c r="KGU11" s="118"/>
      <c r="KGV11" s="118"/>
      <c r="KGW11" s="118"/>
      <c r="KGX11" s="118"/>
      <c r="KGY11" s="118"/>
      <c r="KGZ11" s="118"/>
      <c r="KHA11" s="118"/>
      <c r="KHB11" s="118"/>
      <c r="KHC11" s="118"/>
      <c r="KHD11" s="118"/>
      <c r="KHE11" s="118"/>
      <c r="KHF11" s="118"/>
      <c r="KHG11" s="118"/>
      <c r="KHH11" s="118"/>
      <c r="KHI11" s="118"/>
      <c r="KHJ11" s="118"/>
      <c r="KHK11" s="118"/>
      <c r="KHL11" s="118"/>
      <c r="KHM11" s="118"/>
      <c r="KHN11" s="118"/>
      <c r="KHO11" s="118"/>
      <c r="KHP11" s="118"/>
      <c r="KHQ11" s="118"/>
      <c r="KHR11" s="118"/>
      <c r="KHS11" s="118"/>
      <c r="KHT11" s="118"/>
      <c r="KHU11" s="118"/>
      <c r="KHV11" s="118"/>
      <c r="KHW11" s="118"/>
      <c r="KHX11" s="118"/>
      <c r="KHY11" s="118"/>
      <c r="KHZ11" s="118"/>
      <c r="KIA11" s="118"/>
      <c r="KIB11" s="118"/>
      <c r="KIC11" s="118"/>
      <c r="KID11" s="118"/>
      <c r="KIE11" s="118"/>
      <c r="KIF11" s="118"/>
      <c r="KIG11" s="118"/>
      <c r="KIH11" s="118"/>
      <c r="KII11" s="118"/>
      <c r="KIJ11" s="118"/>
      <c r="KIK11" s="118"/>
      <c r="KIL11" s="118"/>
      <c r="KIM11" s="118"/>
      <c r="KIN11" s="118"/>
      <c r="KIO11" s="118"/>
      <c r="KIP11" s="118"/>
      <c r="KIQ11" s="118"/>
      <c r="KIR11" s="118"/>
      <c r="KIS11" s="118"/>
      <c r="KIT11" s="118"/>
      <c r="KIU11" s="118"/>
      <c r="KIV11" s="118"/>
      <c r="KIW11" s="118"/>
      <c r="KIX11" s="118"/>
      <c r="KIY11" s="118"/>
      <c r="KIZ11" s="118"/>
      <c r="KJA11" s="118"/>
      <c r="KJB11" s="118"/>
      <c r="KJC11" s="118"/>
      <c r="KJD11" s="118"/>
      <c r="KJE11" s="118"/>
      <c r="KJF11" s="118"/>
      <c r="KJG11" s="118"/>
      <c r="KJH11" s="118"/>
      <c r="KJI11" s="118"/>
      <c r="KJJ11" s="118"/>
      <c r="KJK11" s="118"/>
      <c r="KJL11" s="118"/>
      <c r="KJM11" s="118"/>
      <c r="KJN11" s="118"/>
      <c r="KJO11" s="118"/>
      <c r="KJP11" s="118"/>
      <c r="KJQ11" s="118"/>
      <c r="KJR11" s="118"/>
      <c r="KJS11" s="118"/>
      <c r="KJT11" s="118"/>
      <c r="KJU11" s="118"/>
      <c r="KJV11" s="118"/>
      <c r="KJW11" s="118"/>
      <c r="KJX11" s="118"/>
      <c r="KJY11" s="118"/>
      <c r="KJZ11" s="118"/>
      <c r="KKA11" s="118"/>
      <c r="KKB11" s="118"/>
      <c r="KKC11" s="118"/>
      <c r="KKD11" s="118"/>
      <c r="KKE11" s="118"/>
      <c r="KKF11" s="118"/>
      <c r="KKG11" s="118"/>
      <c r="KKH11" s="118"/>
      <c r="KKI11" s="118"/>
      <c r="KKJ11" s="118"/>
      <c r="KKK11" s="118"/>
      <c r="KKL11" s="118"/>
      <c r="KKM11" s="118"/>
      <c r="KKN11" s="118"/>
      <c r="KKO11" s="118"/>
      <c r="KKP11" s="118"/>
      <c r="KKQ11" s="118"/>
      <c r="KKR11" s="118"/>
      <c r="KKS11" s="118"/>
      <c r="KKT11" s="118"/>
      <c r="KKU11" s="118"/>
      <c r="KKV11" s="118"/>
      <c r="KKW11" s="118"/>
      <c r="KKX11" s="118"/>
      <c r="KKY11" s="118"/>
      <c r="KKZ11" s="118"/>
      <c r="KLA11" s="118"/>
      <c r="KLB11" s="118"/>
      <c r="KLC11" s="118"/>
      <c r="KLD11" s="118"/>
      <c r="KLE11" s="118"/>
      <c r="KLF11" s="118"/>
      <c r="KLG11" s="118"/>
      <c r="KLH11" s="118"/>
      <c r="KLI11" s="118"/>
      <c r="KLJ11" s="118"/>
      <c r="KLK11" s="118"/>
      <c r="KLL11" s="118"/>
      <c r="KLM11" s="118"/>
      <c r="KLN11" s="118"/>
      <c r="KLO11" s="118"/>
      <c r="KLP11" s="118"/>
      <c r="KLQ11" s="118"/>
      <c r="KLR11" s="118"/>
      <c r="KLS11" s="118"/>
      <c r="KLT11" s="118"/>
      <c r="KLU11" s="118"/>
      <c r="KLV11" s="118"/>
      <c r="KLW11" s="118"/>
      <c r="KLX11" s="118"/>
      <c r="KLY11" s="118"/>
      <c r="KLZ11" s="118"/>
      <c r="KMA11" s="118"/>
      <c r="KMB11" s="118"/>
      <c r="KMC11" s="118"/>
      <c r="KMD11" s="118"/>
      <c r="KME11" s="118"/>
      <c r="KMF11" s="118"/>
      <c r="KMG11" s="118"/>
      <c r="KMH11" s="118"/>
      <c r="KMI11" s="118"/>
      <c r="KMJ11" s="118"/>
      <c r="KMK11" s="118"/>
      <c r="KML11" s="118"/>
      <c r="KMM11" s="118"/>
      <c r="KMN11" s="118"/>
      <c r="KMO11" s="118"/>
      <c r="KMP11" s="118"/>
      <c r="KMQ11" s="118"/>
      <c r="KMR11" s="118"/>
      <c r="KMS11" s="118"/>
      <c r="KMT11" s="118"/>
      <c r="KMU11" s="118"/>
      <c r="KMV11" s="118"/>
      <c r="KMW11" s="118"/>
      <c r="KMX11" s="118"/>
      <c r="KMY11" s="118"/>
      <c r="KMZ11" s="118"/>
      <c r="KNA11" s="118"/>
      <c r="KNB11" s="118"/>
      <c r="KNC11" s="118"/>
      <c r="KND11" s="118"/>
      <c r="KNE11" s="118"/>
      <c r="KNF11" s="118"/>
      <c r="KNG11" s="118"/>
      <c r="KNH11" s="118"/>
      <c r="KNI11" s="118"/>
      <c r="KNJ11" s="118"/>
      <c r="KNK11" s="118"/>
      <c r="KNL11" s="118"/>
      <c r="KNM11" s="118"/>
      <c r="KNN11" s="118"/>
      <c r="KNO11" s="118"/>
      <c r="KNP11" s="118"/>
      <c r="KNQ11" s="118"/>
      <c r="KNR11" s="118"/>
      <c r="KNS11" s="118"/>
      <c r="KNT11" s="118"/>
      <c r="KNU11" s="118"/>
      <c r="KNV11" s="118"/>
      <c r="KNW11" s="118"/>
      <c r="KNX11" s="118"/>
      <c r="KNY11" s="118"/>
      <c r="KNZ11" s="118"/>
      <c r="KOA11" s="118"/>
      <c r="KOB11" s="118"/>
      <c r="KOC11" s="118"/>
      <c r="KOD11" s="118"/>
      <c r="KOE11" s="118"/>
      <c r="KOF11" s="118"/>
      <c r="KOG11" s="118"/>
      <c r="KOH11" s="118"/>
      <c r="KOI11" s="118"/>
      <c r="KOJ11" s="118"/>
      <c r="KOK11" s="118"/>
      <c r="KOL11" s="118"/>
      <c r="KOM11" s="118"/>
      <c r="KON11" s="118"/>
      <c r="KOO11" s="118"/>
      <c r="KOP11" s="118"/>
      <c r="KOQ11" s="118"/>
      <c r="KOR11" s="118"/>
      <c r="KOS11" s="118"/>
      <c r="KOT11" s="118"/>
      <c r="KOU11" s="118"/>
      <c r="KOV11" s="118"/>
      <c r="KOW11" s="118"/>
      <c r="KOX11" s="118"/>
      <c r="KOY11" s="118"/>
      <c r="KOZ11" s="118"/>
      <c r="KPA11" s="118"/>
      <c r="KPB11" s="118"/>
      <c r="KPC11" s="118"/>
      <c r="KPD11" s="118"/>
      <c r="KPE11" s="118"/>
      <c r="KPF11" s="118"/>
      <c r="KPG11" s="118"/>
      <c r="KPH11" s="118"/>
      <c r="KPI11" s="118"/>
      <c r="KPJ11" s="118"/>
      <c r="KPK11" s="118"/>
      <c r="KPL11" s="118"/>
      <c r="KPM11" s="118"/>
      <c r="KPN11" s="118"/>
      <c r="KPO11" s="118"/>
      <c r="KPP11" s="118"/>
      <c r="KPQ11" s="118"/>
      <c r="KPR11" s="118"/>
      <c r="KPS11" s="118"/>
      <c r="KPT11" s="118"/>
      <c r="KPU11" s="118"/>
      <c r="KPV11" s="118"/>
      <c r="KPW11" s="118"/>
      <c r="KPX11" s="118"/>
      <c r="KPY11" s="118"/>
      <c r="KPZ11" s="118"/>
      <c r="KQA11" s="118"/>
      <c r="KQB11" s="118"/>
      <c r="KQC11" s="118"/>
      <c r="KQD11" s="118"/>
      <c r="KQE11" s="118"/>
      <c r="KQF11" s="118"/>
      <c r="KQG11" s="118"/>
      <c r="KQH11" s="118"/>
      <c r="KQI11" s="118"/>
      <c r="KQJ11" s="118"/>
      <c r="KQK11" s="118"/>
      <c r="KQL11" s="118"/>
      <c r="KQM11" s="118"/>
      <c r="KQN11" s="118"/>
      <c r="KQO11" s="118"/>
      <c r="KQP11" s="118"/>
      <c r="KQQ11" s="118"/>
      <c r="KQR11" s="118"/>
      <c r="KQS11" s="118"/>
      <c r="KQT11" s="118"/>
      <c r="KQU11" s="118"/>
      <c r="KQV11" s="118"/>
      <c r="KQW11" s="118"/>
      <c r="KQX11" s="118"/>
      <c r="KQY11" s="118"/>
      <c r="KQZ11" s="118"/>
      <c r="KRA11" s="118"/>
      <c r="KRB11" s="118"/>
      <c r="KRC11" s="118"/>
      <c r="KRD11" s="118"/>
      <c r="KRE11" s="118"/>
      <c r="KRF11" s="118"/>
      <c r="KRG11" s="118"/>
      <c r="KRH11" s="118"/>
      <c r="KRI11" s="118"/>
      <c r="KRJ11" s="118"/>
      <c r="KRK11" s="118"/>
      <c r="KRL11" s="118"/>
      <c r="KRM11" s="118"/>
      <c r="KRN11" s="118"/>
      <c r="KRO11" s="118"/>
      <c r="KRP11" s="118"/>
      <c r="KRQ11" s="118"/>
      <c r="KRR11" s="118"/>
      <c r="KRS11" s="118"/>
      <c r="KRT11" s="118"/>
      <c r="KRU11" s="118"/>
      <c r="KRV11" s="118"/>
      <c r="KRW11" s="118"/>
      <c r="KRX11" s="118"/>
      <c r="KRY11" s="118"/>
      <c r="KRZ11" s="118"/>
      <c r="KSA11" s="118"/>
      <c r="KSB11" s="118"/>
      <c r="KSC11" s="118"/>
      <c r="KSD11" s="118"/>
      <c r="KSE11" s="118"/>
      <c r="KSF11" s="118"/>
      <c r="KSG11" s="118"/>
      <c r="KSH11" s="118"/>
      <c r="KSI11" s="118"/>
      <c r="KSJ11" s="118"/>
      <c r="KSK11" s="118"/>
      <c r="KSL11" s="118"/>
      <c r="KSM11" s="118"/>
      <c r="KSN11" s="118"/>
      <c r="KSO11" s="118"/>
      <c r="KSP11" s="118"/>
      <c r="KSQ11" s="118"/>
      <c r="KSR11" s="118"/>
      <c r="KSS11" s="118"/>
      <c r="KST11" s="118"/>
      <c r="KSU11" s="118"/>
      <c r="KSV11" s="118"/>
      <c r="KSW11" s="118"/>
      <c r="KSX11" s="118"/>
      <c r="KSY11" s="118"/>
      <c r="KSZ11" s="118"/>
      <c r="KTA11" s="118"/>
      <c r="KTB11" s="118"/>
      <c r="KTC11" s="118"/>
      <c r="KTD11" s="118"/>
      <c r="KTE11" s="118"/>
      <c r="KTF11" s="118"/>
      <c r="KTG11" s="118"/>
      <c r="KTH11" s="118"/>
      <c r="KTI11" s="118"/>
      <c r="KTJ11" s="118"/>
      <c r="KTK11" s="118"/>
      <c r="KTL11" s="118"/>
      <c r="KTM11" s="118"/>
      <c r="KTN11" s="118"/>
      <c r="KTO11" s="118"/>
      <c r="KTP11" s="118"/>
      <c r="KTQ11" s="118"/>
      <c r="KTR11" s="118"/>
      <c r="KTS11" s="118"/>
      <c r="KTT11" s="118"/>
      <c r="KTU11" s="118"/>
      <c r="KTV11" s="118"/>
      <c r="KTW11" s="118"/>
      <c r="KTX11" s="118"/>
      <c r="KTY11" s="118"/>
      <c r="KTZ11" s="118"/>
      <c r="KUA11" s="118"/>
      <c r="KUB11" s="118"/>
      <c r="KUC11" s="118"/>
      <c r="KUD11" s="118"/>
      <c r="KUE11" s="118"/>
      <c r="KUF11" s="118"/>
      <c r="KUG11" s="118"/>
      <c r="KUH11" s="118"/>
      <c r="KUI11" s="118"/>
      <c r="KUJ11" s="118"/>
      <c r="KUK11" s="118"/>
      <c r="KUL11" s="118"/>
      <c r="KUM11" s="118"/>
      <c r="KUN11" s="118"/>
      <c r="KUO11" s="118"/>
      <c r="KUP11" s="118"/>
      <c r="KUQ11" s="118"/>
      <c r="KUR11" s="118"/>
      <c r="KUS11" s="118"/>
      <c r="KUT11" s="118"/>
      <c r="KUU11" s="118"/>
      <c r="KUV11" s="118"/>
      <c r="KUW11" s="118"/>
      <c r="KUX11" s="118"/>
      <c r="KUY11" s="118"/>
      <c r="KUZ11" s="118"/>
      <c r="KVA11" s="118"/>
      <c r="KVB11" s="118"/>
      <c r="KVC11" s="118"/>
      <c r="KVD11" s="118"/>
      <c r="KVE11" s="118"/>
      <c r="KVF11" s="118"/>
      <c r="KVG11" s="118"/>
      <c r="KVH11" s="118"/>
      <c r="KVI11" s="118"/>
      <c r="KVJ11" s="118"/>
      <c r="KVK11" s="118"/>
      <c r="KVL11" s="118"/>
      <c r="KVM11" s="118"/>
      <c r="KVN11" s="118"/>
      <c r="KVO11" s="118"/>
      <c r="KVP11" s="118"/>
      <c r="KVQ11" s="118"/>
      <c r="KVR11" s="118"/>
      <c r="KVS11" s="118"/>
      <c r="KVT11" s="118"/>
      <c r="KVU11" s="118"/>
      <c r="KVV11" s="118"/>
      <c r="KVW11" s="118"/>
      <c r="KVX11" s="118"/>
      <c r="KVY11" s="118"/>
      <c r="KVZ11" s="118"/>
      <c r="KWA11" s="118"/>
      <c r="KWB11" s="118"/>
      <c r="KWC11" s="118"/>
      <c r="KWD11" s="118"/>
      <c r="KWE11" s="118"/>
      <c r="KWF11" s="118"/>
      <c r="KWG11" s="118"/>
      <c r="KWH11" s="118"/>
      <c r="KWI11" s="118"/>
      <c r="KWJ11" s="118"/>
      <c r="KWK11" s="118"/>
      <c r="KWL11" s="118"/>
      <c r="KWM11" s="118"/>
      <c r="KWN11" s="118"/>
      <c r="KWO11" s="118"/>
      <c r="KWP11" s="118"/>
      <c r="KWQ11" s="118"/>
      <c r="KWR11" s="118"/>
      <c r="KWS11" s="118"/>
      <c r="KWT11" s="118"/>
      <c r="KWU11" s="118"/>
      <c r="KWV11" s="118"/>
      <c r="KWW11" s="118"/>
      <c r="KWX11" s="118"/>
      <c r="KWY11" s="118"/>
      <c r="KWZ11" s="118"/>
      <c r="KXA11" s="118"/>
      <c r="KXB11" s="118"/>
      <c r="KXC11" s="118"/>
      <c r="KXD11" s="118"/>
      <c r="KXE11" s="118"/>
      <c r="KXF11" s="118"/>
      <c r="KXG11" s="118"/>
      <c r="KXH11" s="118"/>
      <c r="KXI11" s="118"/>
      <c r="KXJ11" s="118"/>
      <c r="KXK11" s="118"/>
      <c r="KXL11" s="118"/>
      <c r="KXM11" s="118"/>
      <c r="KXN11" s="118"/>
      <c r="KXO11" s="118"/>
      <c r="KXP11" s="118"/>
      <c r="KXQ11" s="118"/>
      <c r="KXR11" s="118"/>
      <c r="KXS11" s="118"/>
      <c r="KXT11" s="118"/>
      <c r="KXU11" s="118"/>
      <c r="KXV11" s="118"/>
      <c r="KXW11" s="118"/>
      <c r="KXX11" s="118"/>
      <c r="KXY11" s="118"/>
      <c r="KXZ11" s="118"/>
      <c r="KYA11" s="118"/>
      <c r="KYB11" s="118"/>
      <c r="KYC11" s="118"/>
      <c r="KYD11" s="118"/>
      <c r="KYE11" s="118"/>
      <c r="KYF11" s="118"/>
      <c r="KYG11" s="118"/>
      <c r="KYH11" s="118"/>
      <c r="KYI11" s="118"/>
      <c r="KYJ11" s="118"/>
      <c r="KYK11" s="118"/>
      <c r="KYL11" s="118"/>
      <c r="KYM11" s="118"/>
      <c r="KYN11" s="118"/>
      <c r="KYO11" s="118"/>
      <c r="KYP11" s="118"/>
      <c r="KYQ11" s="118"/>
      <c r="KYR11" s="118"/>
      <c r="KYS11" s="118"/>
      <c r="KYT11" s="118"/>
      <c r="KYU11" s="118"/>
      <c r="KYV11" s="118"/>
      <c r="KYW11" s="118"/>
      <c r="KYX11" s="118"/>
      <c r="KYY11" s="118"/>
      <c r="KYZ11" s="118"/>
      <c r="KZA11" s="118"/>
      <c r="KZB11" s="118"/>
      <c r="KZC11" s="118"/>
      <c r="KZD11" s="118"/>
      <c r="KZE11" s="118"/>
      <c r="KZF11" s="118"/>
      <c r="KZG11" s="118"/>
      <c r="KZH11" s="118"/>
      <c r="KZI11" s="118"/>
      <c r="KZJ11" s="118"/>
      <c r="KZK11" s="118"/>
      <c r="KZL11" s="118"/>
      <c r="KZM11" s="118"/>
      <c r="KZN11" s="118"/>
      <c r="KZO11" s="118"/>
      <c r="KZP11" s="118"/>
      <c r="KZQ11" s="118"/>
      <c r="KZR11" s="118"/>
      <c r="KZS11" s="118"/>
      <c r="KZT11" s="118"/>
      <c r="KZU11" s="118"/>
      <c r="KZV11" s="118"/>
      <c r="KZW11" s="118"/>
      <c r="KZX11" s="118"/>
      <c r="KZY11" s="118"/>
      <c r="KZZ11" s="118"/>
      <c r="LAA11" s="118"/>
      <c r="LAB11" s="118"/>
      <c r="LAC11" s="118"/>
      <c r="LAD11" s="118"/>
      <c r="LAE11" s="118"/>
      <c r="LAF11" s="118"/>
      <c r="LAG11" s="118"/>
      <c r="LAH11" s="118"/>
      <c r="LAI11" s="118"/>
      <c r="LAJ11" s="118"/>
      <c r="LAK11" s="118"/>
      <c r="LAL11" s="118"/>
      <c r="LAM11" s="118"/>
      <c r="LAN11" s="118"/>
      <c r="LAO11" s="118"/>
      <c r="LAP11" s="118"/>
      <c r="LAQ11" s="118"/>
      <c r="LAR11" s="118"/>
      <c r="LAS11" s="118"/>
      <c r="LAT11" s="118"/>
      <c r="LAU11" s="118"/>
      <c r="LAV11" s="118"/>
      <c r="LAW11" s="118"/>
      <c r="LAX11" s="118"/>
      <c r="LAY11" s="118"/>
      <c r="LAZ11" s="118"/>
      <c r="LBA11" s="118"/>
      <c r="LBB11" s="118"/>
      <c r="LBC11" s="118"/>
      <c r="LBD11" s="118"/>
      <c r="LBE11" s="118"/>
      <c r="LBF11" s="118"/>
      <c r="LBG11" s="118"/>
      <c r="LBH11" s="118"/>
      <c r="LBI11" s="118"/>
      <c r="LBJ11" s="118"/>
      <c r="LBK11" s="118"/>
      <c r="LBL11" s="118"/>
      <c r="LBM11" s="118"/>
      <c r="LBN11" s="118"/>
      <c r="LBO11" s="118"/>
      <c r="LBP11" s="118"/>
      <c r="LBQ11" s="118"/>
      <c r="LBR11" s="118"/>
      <c r="LBS11" s="118"/>
      <c r="LBT11" s="118"/>
      <c r="LBU11" s="118"/>
      <c r="LBV11" s="118"/>
      <c r="LBW11" s="118"/>
      <c r="LBX11" s="118"/>
      <c r="LBY11" s="118"/>
      <c r="LBZ11" s="118"/>
      <c r="LCA11" s="118"/>
      <c r="LCB11" s="118"/>
      <c r="LCC11" s="118"/>
      <c r="LCD11" s="118"/>
      <c r="LCE11" s="118"/>
      <c r="LCF11" s="118"/>
      <c r="LCG11" s="118"/>
      <c r="LCH11" s="118"/>
      <c r="LCI11" s="118"/>
      <c r="LCJ11" s="118"/>
      <c r="LCK11" s="118"/>
      <c r="LCL11" s="118"/>
      <c r="LCM11" s="118"/>
      <c r="LCN11" s="118"/>
      <c r="LCO11" s="118"/>
      <c r="LCP11" s="118"/>
      <c r="LCQ11" s="118"/>
      <c r="LCR11" s="118"/>
      <c r="LCS11" s="118"/>
      <c r="LCT11" s="118"/>
      <c r="LCU11" s="118"/>
      <c r="LCV11" s="118"/>
      <c r="LCW11" s="118"/>
      <c r="LCX11" s="118"/>
      <c r="LCY11" s="118"/>
      <c r="LCZ11" s="118"/>
      <c r="LDA11" s="118"/>
      <c r="LDB11" s="118"/>
      <c r="LDC11" s="118"/>
      <c r="LDD11" s="118"/>
      <c r="LDE11" s="118"/>
      <c r="LDF11" s="118"/>
      <c r="LDG11" s="118"/>
      <c r="LDH11" s="118"/>
      <c r="LDI11" s="118"/>
      <c r="LDJ11" s="118"/>
      <c r="LDK11" s="118"/>
      <c r="LDL11" s="118"/>
      <c r="LDM11" s="118"/>
      <c r="LDN11" s="118"/>
      <c r="LDO11" s="118"/>
      <c r="LDP11" s="118"/>
      <c r="LDQ11" s="118"/>
      <c r="LDR11" s="118"/>
      <c r="LDS11" s="118"/>
      <c r="LDT11" s="118"/>
      <c r="LDU11" s="118"/>
      <c r="LDV11" s="118"/>
      <c r="LDW11" s="118"/>
      <c r="LDX11" s="118"/>
      <c r="LDY11" s="118"/>
      <c r="LDZ11" s="118"/>
      <c r="LEA11" s="118"/>
      <c r="LEB11" s="118"/>
      <c r="LEC11" s="118"/>
      <c r="LED11" s="118"/>
      <c r="LEE11" s="118"/>
      <c r="LEF11" s="118"/>
      <c r="LEG11" s="118"/>
      <c r="LEH11" s="118"/>
      <c r="LEI11" s="118"/>
      <c r="LEJ11" s="118"/>
      <c r="LEK11" s="118"/>
      <c r="LEL11" s="118"/>
      <c r="LEM11" s="118"/>
      <c r="LEN11" s="118"/>
      <c r="LEO11" s="118"/>
      <c r="LEP11" s="118"/>
      <c r="LEQ11" s="118"/>
      <c r="LER11" s="118"/>
      <c r="LES11" s="118"/>
      <c r="LET11" s="118"/>
      <c r="LEU11" s="118"/>
      <c r="LEV11" s="118"/>
      <c r="LEW11" s="118"/>
      <c r="LEX11" s="118"/>
      <c r="LEY11" s="118"/>
      <c r="LEZ11" s="118"/>
      <c r="LFA11" s="118"/>
      <c r="LFB11" s="118"/>
      <c r="LFC11" s="118"/>
      <c r="LFD11" s="118"/>
      <c r="LFE11" s="118"/>
      <c r="LFF11" s="118"/>
      <c r="LFG11" s="118"/>
      <c r="LFH11" s="118"/>
      <c r="LFI11" s="118"/>
      <c r="LFJ11" s="118"/>
      <c r="LFK11" s="118"/>
      <c r="LFL11" s="118"/>
      <c r="LFM11" s="118"/>
      <c r="LFN11" s="118"/>
      <c r="LFO11" s="118"/>
      <c r="LFP11" s="118"/>
      <c r="LFQ11" s="118"/>
      <c r="LFR11" s="118"/>
      <c r="LFS11" s="118"/>
      <c r="LFT11" s="118"/>
      <c r="LFU11" s="118"/>
      <c r="LFV11" s="118"/>
      <c r="LFW11" s="118"/>
      <c r="LFX11" s="118"/>
      <c r="LFY11" s="118"/>
      <c r="LFZ11" s="118"/>
      <c r="LGA11" s="118"/>
      <c r="LGB11" s="118"/>
      <c r="LGC11" s="118"/>
      <c r="LGD11" s="118"/>
      <c r="LGE11" s="118"/>
      <c r="LGF11" s="118"/>
      <c r="LGG11" s="118"/>
      <c r="LGH11" s="118"/>
      <c r="LGI11" s="118"/>
      <c r="LGJ11" s="118"/>
      <c r="LGK11" s="118"/>
      <c r="LGL11" s="118"/>
      <c r="LGM11" s="118"/>
      <c r="LGN11" s="118"/>
      <c r="LGO11" s="118"/>
      <c r="LGP11" s="118"/>
      <c r="LGQ11" s="118"/>
      <c r="LGR11" s="118"/>
      <c r="LGS11" s="118"/>
      <c r="LGT11" s="118"/>
      <c r="LGU11" s="118"/>
      <c r="LGV11" s="118"/>
      <c r="LGW11" s="118"/>
      <c r="LGX11" s="118"/>
      <c r="LGY11" s="118"/>
      <c r="LGZ11" s="118"/>
      <c r="LHA11" s="118"/>
      <c r="LHB11" s="118"/>
      <c r="LHC11" s="118"/>
      <c r="LHD11" s="118"/>
      <c r="LHE11" s="118"/>
      <c r="LHF11" s="118"/>
      <c r="LHG11" s="118"/>
      <c r="LHH11" s="118"/>
      <c r="LHI11" s="118"/>
      <c r="LHJ11" s="118"/>
      <c r="LHK11" s="118"/>
      <c r="LHL11" s="118"/>
      <c r="LHM11" s="118"/>
      <c r="LHN11" s="118"/>
      <c r="LHO11" s="118"/>
      <c r="LHP11" s="118"/>
      <c r="LHQ11" s="118"/>
      <c r="LHR11" s="118"/>
      <c r="LHS11" s="118"/>
      <c r="LHT11" s="118"/>
      <c r="LHU11" s="118"/>
      <c r="LHV11" s="118"/>
      <c r="LHW11" s="118"/>
      <c r="LHX11" s="118"/>
      <c r="LHY11" s="118"/>
      <c r="LHZ11" s="118"/>
      <c r="LIA11" s="118"/>
      <c r="LIB11" s="118"/>
      <c r="LIC11" s="118"/>
      <c r="LID11" s="118"/>
      <c r="LIE11" s="118"/>
      <c r="LIF11" s="118"/>
      <c r="LIG11" s="118"/>
      <c r="LIH11" s="118"/>
      <c r="LII11" s="118"/>
      <c r="LIJ11" s="118"/>
      <c r="LIK11" s="118"/>
      <c r="LIL11" s="118"/>
      <c r="LIM11" s="118"/>
      <c r="LIN11" s="118"/>
      <c r="LIO11" s="118"/>
      <c r="LIP11" s="118"/>
      <c r="LIQ11" s="118"/>
      <c r="LIR11" s="118"/>
      <c r="LIS11" s="118"/>
      <c r="LIT11" s="118"/>
      <c r="LIU11" s="118"/>
      <c r="LIV11" s="118"/>
      <c r="LIW11" s="118"/>
      <c r="LIX11" s="118"/>
      <c r="LIY11" s="118"/>
      <c r="LIZ11" s="118"/>
      <c r="LJA11" s="118"/>
      <c r="LJB11" s="118"/>
      <c r="LJC11" s="118"/>
      <c r="LJD11" s="118"/>
      <c r="LJE11" s="118"/>
      <c r="LJF11" s="118"/>
      <c r="LJG11" s="118"/>
      <c r="LJH11" s="118"/>
      <c r="LJI11" s="118"/>
      <c r="LJJ11" s="118"/>
      <c r="LJK11" s="118"/>
      <c r="LJL11" s="118"/>
      <c r="LJM11" s="118"/>
      <c r="LJN11" s="118"/>
      <c r="LJO11" s="118"/>
      <c r="LJP11" s="118"/>
      <c r="LJQ11" s="118"/>
      <c r="LJR11" s="118"/>
      <c r="LJS11" s="118"/>
      <c r="LJT11" s="118"/>
      <c r="LJU11" s="118"/>
      <c r="LJV11" s="118"/>
      <c r="LJW11" s="118"/>
      <c r="LJX11" s="118"/>
      <c r="LJY11" s="118"/>
      <c r="LJZ11" s="118"/>
      <c r="LKA11" s="118"/>
      <c r="LKB11" s="118"/>
      <c r="LKC11" s="118"/>
      <c r="LKD11" s="118"/>
      <c r="LKE11" s="118"/>
      <c r="LKF11" s="118"/>
      <c r="LKG11" s="118"/>
      <c r="LKH11" s="118"/>
      <c r="LKI11" s="118"/>
      <c r="LKJ11" s="118"/>
      <c r="LKK11" s="118"/>
      <c r="LKL11" s="118"/>
      <c r="LKM11" s="118"/>
      <c r="LKN11" s="118"/>
      <c r="LKO11" s="118"/>
      <c r="LKP11" s="118"/>
      <c r="LKQ11" s="118"/>
      <c r="LKR11" s="118"/>
      <c r="LKS11" s="118"/>
      <c r="LKT11" s="118"/>
      <c r="LKU11" s="118"/>
      <c r="LKV11" s="118"/>
      <c r="LKW11" s="118"/>
      <c r="LKX11" s="118"/>
      <c r="LKY11" s="118"/>
      <c r="LKZ11" s="118"/>
      <c r="LLA11" s="118"/>
      <c r="LLB11" s="118"/>
      <c r="LLC11" s="118"/>
      <c r="LLD11" s="118"/>
      <c r="LLE11" s="118"/>
      <c r="LLF11" s="118"/>
      <c r="LLG11" s="118"/>
      <c r="LLH11" s="118"/>
      <c r="LLI11" s="118"/>
      <c r="LLJ11" s="118"/>
      <c r="LLK11" s="118"/>
      <c r="LLL11" s="118"/>
      <c r="LLM11" s="118"/>
      <c r="LLN11" s="118"/>
      <c r="LLO11" s="118"/>
      <c r="LLP11" s="118"/>
      <c r="LLQ11" s="118"/>
      <c r="LLR11" s="118"/>
      <c r="LLS11" s="118"/>
      <c r="LLT11" s="118"/>
      <c r="LLU11" s="118"/>
      <c r="LLV11" s="118"/>
      <c r="LLW11" s="118"/>
      <c r="LLX11" s="118"/>
      <c r="LLY11" s="118"/>
      <c r="LLZ11" s="118"/>
      <c r="LMA11" s="118"/>
      <c r="LMB11" s="118"/>
      <c r="LMC11" s="118"/>
      <c r="LMD11" s="118"/>
      <c r="LME11" s="118"/>
      <c r="LMF11" s="118"/>
      <c r="LMG11" s="118"/>
      <c r="LMH11" s="118"/>
      <c r="LMI11" s="118"/>
      <c r="LMJ11" s="118"/>
      <c r="LMK11" s="118"/>
      <c r="LML11" s="118"/>
      <c r="LMM11" s="118"/>
      <c r="LMN11" s="118"/>
      <c r="LMO11" s="118"/>
      <c r="LMP11" s="118"/>
      <c r="LMQ11" s="118"/>
      <c r="LMR11" s="118"/>
      <c r="LMS11" s="118"/>
      <c r="LMT11" s="118"/>
      <c r="LMU11" s="118"/>
      <c r="LMV11" s="118"/>
      <c r="LMW11" s="118"/>
      <c r="LMX11" s="118"/>
      <c r="LMY11" s="118"/>
      <c r="LMZ11" s="118"/>
      <c r="LNA11" s="118"/>
      <c r="LNB11" s="118"/>
      <c r="LNC11" s="118"/>
      <c r="LND11" s="118"/>
      <c r="LNE11" s="118"/>
      <c r="LNF11" s="118"/>
      <c r="LNG11" s="118"/>
      <c r="LNH11" s="118"/>
      <c r="LNI11" s="118"/>
      <c r="LNJ11" s="118"/>
      <c r="LNK11" s="118"/>
      <c r="LNL11" s="118"/>
      <c r="LNM11" s="118"/>
      <c r="LNN11" s="118"/>
      <c r="LNO11" s="118"/>
      <c r="LNP11" s="118"/>
      <c r="LNQ11" s="118"/>
      <c r="LNR11" s="118"/>
      <c r="LNS11" s="118"/>
      <c r="LNT11" s="118"/>
      <c r="LNU11" s="118"/>
      <c r="LNV11" s="118"/>
      <c r="LNW11" s="118"/>
      <c r="LNX11" s="118"/>
      <c r="LNY11" s="118"/>
      <c r="LNZ11" s="118"/>
      <c r="LOA11" s="118"/>
      <c r="LOB11" s="118"/>
      <c r="LOC11" s="118"/>
      <c r="LOD11" s="118"/>
      <c r="LOE11" s="118"/>
      <c r="LOF11" s="118"/>
      <c r="LOG11" s="118"/>
      <c r="LOH11" s="118"/>
      <c r="LOI11" s="118"/>
      <c r="LOJ11" s="118"/>
      <c r="LOK11" s="118"/>
      <c r="LOL11" s="118"/>
      <c r="LOM11" s="118"/>
      <c r="LON11" s="118"/>
      <c r="LOO11" s="118"/>
      <c r="LOP11" s="118"/>
      <c r="LOQ11" s="118"/>
      <c r="LOR11" s="118"/>
      <c r="LOS11" s="118"/>
      <c r="LOT11" s="118"/>
      <c r="LOU11" s="118"/>
      <c r="LOV11" s="118"/>
      <c r="LOW11" s="118"/>
      <c r="LOX11" s="118"/>
      <c r="LOY11" s="118"/>
      <c r="LOZ11" s="118"/>
      <c r="LPA11" s="118"/>
      <c r="LPB11" s="118"/>
      <c r="LPC11" s="118"/>
      <c r="LPD11" s="118"/>
      <c r="LPE11" s="118"/>
      <c r="LPF11" s="118"/>
      <c r="LPG11" s="118"/>
      <c r="LPH11" s="118"/>
      <c r="LPI11" s="118"/>
      <c r="LPJ11" s="118"/>
      <c r="LPK11" s="118"/>
      <c r="LPL11" s="118"/>
      <c r="LPM11" s="118"/>
      <c r="LPN11" s="118"/>
      <c r="LPO11" s="118"/>
      <c r="LPP11" s="118"/>
      <c r="LPQ11" s="118"/>
      <c r="LPR11" s="118"/>
      <c r="LPS11" s="118"/>
      <c r="LPT11" s="118"/>
      <c r="LPU11" s="118"/>
      <c r="LPV11" s="118"/>
      <c r="LPW11" s="118"/>
      <c r="LPX11" s="118"/>
      <c r="LPY11" s="118"/>
      <c r="LPZ11" s="118"/>
      <c r="LQA11" s="118"/>
      <c r="LQB11" s="118"/>
      <c r="LQC11" s="118"/>
      <c r="LQD11" s="118"/>
      <c r="LQE11" s="118"/>
      <c r="LQF11" s="118"/>
      <c r="LQG11" s="118"/>
      <c r="LQH11" s="118"/>
      <c r="LQI11" s="118"/>
      <c r="LQJ11" s="118"/>
      <c r="LQK11" s="118"/>
      <c r="LQL11" s="118"/>
      <c r="LQM11" s="118"/>
      <c r="LQN11" s="118"/>
      <c r="LQO11" s="118"/>
      <c r="LQP11" s="118"/>
      <c r="LQQ11" s="118"/>
      <c r="LQR11" s="118"/>
      <c r="LQS11" s="118"/>
      <c r="LQT11" s="118"/>
      <c r="LQU11" s="118"/>
      <c r="LQV11" s="118"/>
      <c r="LQW11" s="118"/>
      <c r="LQX11" s="118"/>
      <c r="LQY11" s="118"/>
      <c r="LQZ11" s="118"/>
      <c r="LRA11" s="118"/>
      <c r="LRB11" s="118"/>
      <c r="LRC11" s="118"/>
      <c r="LRD11" s="118"/>
      <c r="LRE11" s="118"/>
      <c r="LRF11" s="118"/>
      <c r="LRG11" s="118"/>
      <c r="LRH11" s="118"/>
      <c r="LRI11" s="118"/>
      <c r="LRJ11" s="118"/>
      <c r="LRK11" s="118"/>
      <c r="LRL11" s="118"/>
      <c r="LRM11" s="118"/>
      <c r="LRN11" s="118"/>
      <c r="LRO11" s="118"/>
      <c r="LRP11" s="118"/>
      <c r="LRQ11" s="118"/>
      <c r="LRR11" s="118"/>
      <c r="LRS11" s="118"/>
      <c r="LRT11" s="118"/>
      <c r="LRU11" s="118"/>
      <c r="LRV11" s="118"/>
      <c r="LRW11" s="118"/>
      <c r="LRX11" s="118"/>
      <c r="LRY11" s="118"/>
      <c r="LRZ11" s="118"/>
      <c r="LSA11" s="118"/>
      <c r="LSB11" s="118"/>
      <c r="LSC11" s="118"/>
      <c r="LSD11" s="118"/>
      <c r="LSE11" s="118"/>
      <c r="LSF11" s="118"/>
      <c r="LSG11" s="118"/>
      <c r="LSH11" s="118"/>
      <c r="LSI11" s="118"/>
      <c r="LSJ11" s="118"/>
      <c r="LSK11" s="118"/>
      <c r="LSL11" s="118"/>
      <c r="LSM11" s="118"/>
      <c r="LSN11" s="118"/>
      <c r="LSO11" s="118"/>
      <c r="LSP11" s="118"/>
      <c r="LSQ11" s="118"/>
      <c r="LSR11" s="118"/>
      <c r="LSS11" s="118"/>
      <c r="LST11" s="118"/>
      <c r="LSU11" s="118"/>
      <c r="LSV11" s="118"/>
      <c r="LSW11" s="118"/>
      <c r="LSX11" s="118"/>
      <c r="LSY11" s="118"/>
      <c r="LSZ11" s="118"/>
      <c r="LTA11" s="118"/>
      <c r="LTB11" s="118"/>
      <c r="LTC11" s="118"/>
      <c r="LTD11" s="118"/>
      <c r="LTE11" s="118"/>
      <c r="LTF11" s="118"/>
      <c r="LTG11" s="118"/>
      <c r="LTH11" s="118"/>
      <c r="LTI11" s="118"/>
      <c r="LTJ11" s="118"/>
      <c r="LTK11" s="118"/>
      <c r="LTL11" s="118"/>
      <c r="LTM11" s="118"/>
      <c r="LTN11" s="118"/>
      <c r="LTO11" s="118"/>
      <c r="LTP11" s="118"/>
      <c r="LTQ11" s="118"/>
      <c r="LTR11" s="118"/>
      <c r="LTS11" s="118"/>
      <c r="LTT11" s="118"/>
      <c r="LTU11" s="118"/>
      <c r="LTV11" s="118"/>
      <c r="LTW11" s="118"/>
      <c r="LTX11" s="118"/>
      <c r="LTY11" s="118"/>
      <c r="LTZ11" s="118"/>
      <c r="LUA11" s="118"/>
      <c r="LUB11" s="118"/>
      <c r="LUC11" s="118"/>
      <c r="LUD11" s="118"/>
      <c r="LUE11" s="118"/>
      <c r="LUF11" s="118"/>
      <c r="LUG11" s="118"/>
      <c r="LUH11" s="118"/>
      <c r="LUI11" s="118"/>
      <c r="LUJ11" s="118"/>
      <c r="LUK11" s="118"/>
      <c r="LUL11" s="118"/>
      <c r="LUM11" s="118"/>
      <c r="LUN11" s="118"/>
      <c r="LUO11" s="118"/>
      <c r="LUP11" s="118"/>
      <c r="LUQ11" s="118"/>
      <c r="LUR11" s="118"/>
      <c r="LUS11" s="118"/>
      <c r="LUT11" s="118"/>
      <c r="LUU11" s="118"/>
      <c r="LUV11" s="118"/>
      <c r="LUW11" s="118"/>
      <c r="LUX11" s="118"/>
      <c r="LUY11" s="118"/>
      <c r="LUZ11" s="118"/>
      <c r="LVA11" s="118"/>
      <c r="LVB11" s="118"/>
      <c r="LVC11" s="118"/>
      <c r="LVD11" s="118"/>
      <c r="LVE11" s="118"/>
      <c r="LVF11" s="118"/>
      <c r="LVG11" s="118"/>
      <c r="LVH11" s="118"/>
      <c r="LVI11" s="118"/>
      <c r="LVJ11" s="118"/>
      <c r="LVK11" s="118"/>
      <c r="LVL11" s="118"/>
      <c r="LVM11" s="118"/>
      <c r="LVN11" s="118"/>
      <c r="LVO11" s="118"/>
      <c r="LVP11" s="118"/>
      <c r="LVQ11" s="118"/>
      <c r="LVR11" s="118"/>
      <c r="LVS11" s="118"/>
      <c r="LVT11" s="118"/>
      <c r="LVU11" s="118"/>
      <c r="LVV11" s="118"/>
      <c r="LVW11" s="118"/>
      <c r="LVX11" s="118"/>
      <c r="LVY11" s="118"/>
      <c r="LVZ11" s="118"/>
      <c r="LWA11" s="118"/>
      <c r="LWB11" s="118"/>
      <c r="LWC11" s="118"/>
      <c r="LWD11" s="118"/>
      <c r="LWE11" s="118"/>
      <c r="LWF11" s="118"/>
      <c r="LWG11" s="118"/>
      <c r="LWH11" s="118"/>
      <c r="LWI11" s="118"/>
      <c r="LWJ11" s="118"/>
      <c r="LWK11" s="118"/>
      <c r="LWL11" s="118"/>
      <c r="LWM11" s="118"/>
      <c r="LWN11" s="118"/>
      <c r="LWO11" s="118"/>
      <c r="LWP11" s="118"/>
      <c r="LWQ11" s="118"/>
      <c r="LWR11" s="118"/>
      <c r="LWS11" s="118"/>
      <c r="LWT11" s="118"/>
      <c r="LWU11" s="118"/>
      <c r="LWV11" s="118"/>
      <c r="LWW11" s="118"/>
      <c r="LWX11" s="118"/>
      <c r="LWY11" s="118"/>
      <c r="LWZ11" s="118"/>
      <c r="LXA11" s="118"/>
      <c r="LXB11" s="118"/>
      <c r="LXC11" s="118"/>
      <c r="LXD11" s="118"/>
      <c r="LXE11" s="118"/>
      <c r="LXF11" s="118"/>
      <c r="LXG11" s="118"/>
      <c r="LXH11" s="118"/>
      <c r="LXI11" s="118"/>
      <c r="LXJ11" s="118"/>
      <c r="LXK11" s="118"/>
      <c r="LXL11" s="118"/>
      <c r="LXM11" s="118"/>
      <c r="LXN11" s="118"/>
      <c r="LXO11" s="118"/>
      <c r="LXP11" s="118"/>
      <c r="LXQ11" s="118"/>
      <c r="LXR11" s="118"/>
      <c r="LXS11" s="118"/>
      <c r="LXT11" s="118"/>
      <c r="LXU11" s="118"/>
      <c r="LXV11" s="118"/>
      <c r="LXW11" s="118"/>
      <c r="LXX11" s="118"/>
      <c r="LXY11" s="118"/>
      <c r="LXZ11" s="118"/>
      <c r="LYA11" s="118"/>
      <c r="LYB11" s="118"/>
      <c r="LYC11" s="118"/>
      <c r="LYD11" s="118"/>
      <c r="LYE11" s="118"/>
      <c r="LYF11" s="118"/>
      <c r="LYG11" s="118"/>
      <c r="LYH11" s="118"/>
      <c r="LYI11" s="118"/>
      <c r="LYJ11" s="118"/>
      <c r="LYK11" s="118"/>
      <c r="LYL11" s="118"/>
      <c r="LYM11" s="118"/>
      <c r="LYN11" s="118"/>
      <c r="LYO11" s="118"/>
      <c r="LYP11" s="118"/>
      <c r="LYQ11" s="118"/>
      <c r="LYR11" s="118"/>
      <c r="LYS11" s="118"/>
      <c r="LYT11" s="118"/>
      <c r="LYU11" s="118"/>
      <c r="LYV11" s="118"/>
      <c r="LYW11" s="118"/>
      <c r="LYX11" s="118"/>
      <c r="LYY11" s="118"/>
      <c r="LYZ11" s="118"/>
      <c r="LZA11" s="118"/>
      <c r="LZB11" s="118"/>
      <c r="LZC11" s="118"/>
      <c r="LZD11" s="118"/>
      <c r="LZE11" s="118"/>
      <c r="LZF11" s="118"/>
      <c r="LZG11" s="118"/>
      <c r="LZH11" s="118"/>
      <c r="LZI11" s="118"/>
      <c r="LZJ11" s="118"/>
      <c r="LZK11" s="118"/>
      <c r="LZL11" s="118"/>
      <c r="LZM11" s="118"/>
      <c r="LZN11" s="118"/>
      <c r="LZO11" s="118"/>
      <c r="LZP11" s="118"/>
      <c r="LZQ11" s="118"/>
      <c r="LZR11" s="118"/>
      <c r="LZS11" s="118"/>
      <c r="LZT11" s="118"/>
      <c r="LZU11" s="118"/>
      <c r="LZV11" s="118"/>
      <c r="LZW11" s="118"/>
      <c r="LZX11" s="118"/>
      <c r="LZY11" s="118"/>
      <c r="LZZ11" s="118"/>
      <c r="MAA11" s="118"/>
      <c r="MAB11" s="118"/>
      <c r="MAC11" s="118"/>
      <c r="MAD11" s="118"/>
      <c r="MAE11" s="118"/>
      <c r="MAF11" s="118"/>
      <c r="MAG11" s="118"/>
      <c r="MAH11" s="118"/>
      <c r="MAI11" s="118"/>
      <c r="MAJ11" s="118"/>
      <c r="MAK11" s="118"/>
      <c r="MAL11" s="118"/>
      <c r="MAM11" s="118"/>
      <c r="MAN11" s="118"/>
      <c r="MAO11" s="118"/>
      <c r="MAP11" s="118"/>
      <c r="MAQ11" s="118"/>
      <c r="MAR11" s="118"/>
      <c r="MAS11" s="118"/>
      <c r="MAT11" s="118"/>
      <c r="MAU11" s="118"/>
      <c r="MAV11" s="118"/>
      <c r="MAW11" s="118"/>
      <c r="MAX11" s="118"/>
      <c r="MAY11" s="118"/>
      <c r="MAZ11" s="118"/>
      <c r="MBA11" s="118"/>
      <c r="MBB11" s="118"/>
      <c r="MBC11" s="118"/>
      <c r="MBD11" s="118"/>
      <c r="MBE11" s="118"/>
      <c r="MBF11" s="118"/>
      <c r="MBG11" s="118"/>
      <c r="MBH11" s="118"/>
      <c r="MBI11" s="118"/>
      <c r="MBJ11" s="118"/>
      <c r="MBK11" s="118"/>
      <c r="MBL11" s="118"/>
      <c r="MBM11" s="118"/>
      <c r="MBN11" s="118"/>
      <c r="MBO11" s="118"/>
      <c r="MBP11" s="118"/>
      <c r="MBQ11" s="118"/>
      <c r="MBR11" s="118"/>
      <c r="MBS11" s="118"/>
      <c r="MBT11" s="118"/>
      <c r="MBU11" s="118"/>
      <c r="MBV11" s="118"/>
      <c r="MBW11" s="118"/>
      <c r="MBX11" s="118"/>
      <c r="MBY11" s="118"/>
      <c r="MBZ11" s="118"/>
      <c r="MCA11" s="118"/>
      <c r="MCB11" s="118"/>
      <c r="MCC11" s="118"/>
      <c r="MCD11" s="118"/>
      <c r="MCE11" s="118"/>
      <c r="MCF11" s="118"/>
      <c r="MCG11" s="118"/>
      <c r="MCH11" s="118"/>
      <c r="MCI11" s="118"/>
      <c r="MCJ11" s="118"/>
      <c r="MCK11" s="118"/>
      <c r="MCL11" s="118"/>
      <c r="MCM11" s="118"/>
      <c r="MCN11" s="118"/>
      <c r="MCO11" s="118"/>
      <c r="MCP11" s="118"/>
      <c r="MCQ11" s="118"/>
      <c r="MCR11" s="118"/>
      <c r="MCS11" s="118"/>
      <c r="MCT11" s="118"/>
      <c r="MCU11" s="118"/>
      <c r="MCV11" s="118"/>
      <c r="MCW11" s="118"/>
      <c r="MCX11" s="118"/>
      <c r="MCY11" s="118"/>
      <c r="MCZ11" s="118"/>
      <c r="MDA11" s="118"/>
      <c r="MDB11" s="118"/>
      <c r="MDC11" s="118"/>
      <c r="MDD11" s="118"/>
      <c r="MDE11" s="118"/>
      <c r="MDF11" s="118"/>
      <c r="MDG11" s="118"/>
      <c r="MDH11" s="118"/>
      <c r="MDI11" s="118"/>
      <c r="MDJ11" s="118"/>
      <c r="MDK11" s="118"/>
      <c r="MDL11" s="118"/>
      <c r="MDM11" s="118"/>
      <c r="MDN11" s="118"/>
      <c r="MDO11" s="118"/>
      <c r="MDP11" s="118"/>
      <c r="MDQ11" s="118"/>
      <c r="MDR11" s="118"/>
      <c r="MDS11" s="118"/>
      <c r="MDT11" s="118"/>
      <c r="MDU11" s="118"/>
      <c r="MDV11" s="118"/>
      <c r="MDW11" s="118"/>
      <c r="MDX11" s="118"/>
      <c r="MDY11" s="118"/>
      <c r="MDZ11" s="118"/>
      <c r="MEA11" s="118"/>
      <c r="MEB11" s="118"/>
      <c r="MEC11" s="118"/>
      <c r="MED11" s="118"/>
      <c r="MEE11" s="118"/>
      <c r="MEF11" s="118"/>
      <c r="MEG11" s="118"/>
      <c r="MEH11" s="118"/>
      <c r="MEI11" s="118"/>
      <c r="MEJ11" s="118"/>
      <c r="MEK11" s="118"/>
      <c r="MEL11" s="118"/>
      <c r="MEM11" s="118"/>
      <c r="MEN11" s="118"/>
      <c r="MEO11" s="118"/>
      <c r="MEP11" s="118"/>
      <c r="MEQ11" s="118"/>
      <c r="MER11" s="118"/>
      <c r="MES11" s="118"/>
      <c r="MET11" s="118"/>
      <c r="MEU11" s="118"/>
      <c r="MEV11" s="118"/>
      <c r="MEW11" s="118"/>
      <c r="MEX11" s="118"/>
      <c r="MEY11" s="118"/>
      <c r="MEZ11" s="118"/>
      <c r="MFA11" s="118"/>
      <c r="MFB11" s="118"/>
      <c r="MFC11" s="118"/>
      <c r="MFD11" s="118"/>
      <c r="MFE11" s="118"/>
      <c r="MFF11" s="118"/>
      <c r="MFG11" s="118"/>
      <c r="MFH11" s="118"/>
      <c r="MFI11" s="118"/>
      <c r="MFJ11" s="118"/>
      <c r="MFK11" s="118"/>
      <c r="MFL11" s="118"/>
      <c r="MFM11" s="118"/>
      <c r="MFN11" s="118"/>
      <c r="MFO11" s="118"/>
      <c r="MFP11" s="118"/>
      <c r="MFQ11" s="118"/>
      <c r="MFR11" s="118"/>
      <c r="MFS11" s="118"/>
      <c r="MFT11" s="118"/>
      <c r="MFU11" s="118"/>
      <c r="MFV11" s="118"/>
      <c r="MFW11" s="118"/>
      <c r="MFX11" s="118"/>
      <c r="MFY11" s="118"/>
      <c r="MFZ11" s="118"/>
      <c r="MGA11" s="118"/>
      <c r="MGB11" s="118"/>
      <c r="MGC11" s="118"/>
      <c r="MGD11" s="118"/>
      <c r="MGE11" s="118"/>
      <c r="MGF11" s="118"/>
      <c r="MGG11" s="118"/>
      <c r="MGH11" s="118"/>
      <c r="MGI11" s="118"/>
      <c r="MGJ11" s="118"/>
      <c r="MGK11" s="118"/>
      <c r="MGL11" s="118"/>
      <c r="MGM11" s="118"/>
      <c r="MGN11" s="118"/>
      <c r="MGO11" s="118"/>
      <c r="MGP11" s="118"/>
      <c r="MGQ11" s="118"/>
      <c r="MGR11" s="118"/>
      <c r="MGS11" s="118"/>
      <c r="MGT11" s="118"/>
      <c r="MGU11" s="118"/>
      <c r="MGV11" s="118"/>
      <c r="MGW11" s="118"/>
      <c r="MGX11" s="118"/>
      <c r="MGY11" s="118"/>
      <c r="MGZ11" s="118"/>
      <c r="MHA11" s="118"/>
      <c r="MHB11" s="118"/>
      <c r="MHC11" s="118"/>
      <c r="MHD11" s="118"/>
      <c r="MHE11" s="118"/>
      <c r="MHF11" s="118"/>
      <c r="MHG11" s="118"/>
      <c r="MHH11" s="118"/>
      <c r="MHI11" s="118"/>
      <c r="MHJ11" s="118"/>
      <c r="MHK11" s="118"/>
      <c r="MHL11" s="118"/>
      <c r="MHM11" s="118"/>
      <c r="MHN11" s="118"/>
      <c r="MHO11" s="118"/>
      <c r="MHP11" s="118"/>
      <c r="MHQ11" s="118"/>
      <c r="MHR11" s="118"/>
      <c r="MHS11" s="118"/>
      <c r="MHT11" s="118"/>
      <c r="MHU11" s="118"/>
      <c r="MHV11" s="118"/>
      <c r="MHW11" s="118"/>
      <c r="MHX11" s="118"/>
      <c r="MHY11" s="118"/>
      <c r="MHZ11" s="118"/>
      <c r="MIA11" s="118"/>
      <c r="MIB11" s="118"/>
      <c r="MIC11" s="118"/>
      <c r="MID11" s="118"/>
      <c r="MIE11" s="118"/>
      <c r="MIF11" s="118"/>
      <c r="MIG11" s="118"/>
      <c r="MIH11" s="118"/>
      <c r="MII11" s="118"/>
      <c r="MIJ11" s="118"/>
      <c r="MIK11" s="118"/>
      <c r="MIL11" s="118"/>
      <c r="MIM11" s="118"/>
      <c r="MIN11" s="118"/>
      <c r="MIO11" s="118"/>
      <c r="MIP11" s="118"/>
      <c r="MIQ11" s="118"/>
      <c r="MIR11" s="118"/>
      <c r="MIS11" s="118"/>
      <c r="MIT11" s="118"/>
      <c r="MIU11" s="118"/>
      <c r="MIV11" s="118"/>
      <c r="MIW11" s="118"/>
      <c r="MIX11" s="118"/>
      <c r="MIY11" s="118"/>
      <c r="MIZ11" s="118"/>
      <c r="MJA11" s="118"/>
      <c r="MJB11" s="118"/>
      <c r="MJC11" s="118"/>
      <c r="MJD11" s="118"/>
      <c r="MJE11" s="118"/>
      <c r="MJF11" s="118"/>
      <c r="MJG11" s="118"/>
      <c r="MJH11" s="118"/>
      <c r="MJI11" s="118"/>
      <c r="MJJ11" s="118"/>
      <c r="MJK11" s="118"/>
      <c r="MJL11" s="118"/>
      <c r="MJM11" s="118"/>
      <c r="MJN11" s="118"/>
      <c r="MJO11" s="118"/>
      <c r="MJP11" s="118"/>
      <c r="MJQ11" s="118"/>
      <c r="MJR11" s="118"/>
      <c r="MJS11" s="118"/>
      <c r="MJT11" s="118"/>
      <c r="MJU11" s="118"/>
      <c r="MJV11" s="118"/>
      <c r="MJW11" s="118"/>
      <c r="MJX11" s="118"/>
      <c r="MJY11" s="118"/>
      <c r="MJZ11" s="118"/>
      <c r="MKA11" s="118"/>
      <c r="MKB11" s="118"/>
      <c r="MKC11" s="118"/>
      <c r="MKD11" s="118"/>
      <c r="MKE11" s="118"/>
      <c r="MKF11" s="118"/>
      <c r="MKG11" s="118"/>
      <c r="MKH11" s="118"/>
      <c r="MKI11" s="118"/>
      <c r="MKJ11" s="118"/>
      <c r="MKK11" s="118"/>
      <c r="MKL11" s="118"/>
      <c r="MKM11" s="118"/>
      <c r="MKN11" s="118"/>
      <c r="MKO11" s="118"/>
      <c r="MKP11" s="118"/>
      <c r="MKQ11" s="118"/>
      <c r="MKR11" s="118"/>
      <c r="MKS11" s="118"/>
      <c r="MKT11" s="118"/>
      <c r="MKU11" s="118"/>
      <c r="MKV11" s="118"/>
      <c r="MKW11" s="118"/>
      <c r="MKX11" s="118"/>
      <c r="MKY11" s="118"/>
      <c r="MKZ11" s="118"/>
      <c r="MLA11" s="118"/>
      <c r="MLB11" s="118"/>
      <c r="MLC11" s="118"/>
      <c r="MLD11" s="118"/>
      <c r="MLE11" s="118"/>
      <c r="MLF11" s="118"/>
      <c r="MLG11" s="118"/>
      <c r="MLH11" s="118"/>
      <c r="MLI11" s="118"/>
      <c r="MLJ11" s="118"/>
      <c r="MLK11" s="118"/>
      <c r="MLL11" s="118"/>
      <c r="MLM11" s="118"/>
      <c r="MLN11" s="118"/>
      <c r="MLO11" s="118"/>
      <c r="MLP11" s="118"/>
      <c r="MLQ11" s="118"/>
      <c r="MLR11" s="118"/>
      <c r="MLS11" s="118"/>
      <c r="MLT11" s="118"/>
      <c r="MLU11" s="118"/>
      <c r="MLV11" s="118"/>
      <c r="MLW11" s="118"/>
      <c r="MLX11" s="118"/>
      <c r="MLY11" s="118"/>
      <c r="MLZ11" s="118"/>
      <c r="MMA11" s="118"/>
      <c r="MMB11" s="118"/>
      <c r="MMC11" s="118"/>
      <c r="MMD11" s="118"/>
      <c r="MME11" s="118"/>
      <c r="MMF11" s="118"/>
      <c r="MMG11" s="118"/>
      <c r="MMH11" s="118"/>
      <c r="MMI11" s="118"/>
      <c r="MMJ11" s="118"/>
      <c r="MMK11" s="118"/>
      <c r="MML11" s="118"/>
      <c r="MMM11" s="118"/>
      <c r="MMN11" s="118"/>
      <c r="MMO11" s="118"/>
      <c r="MMP11" s="118"/>
      <c r="MMQ11" s="118"/>
      <c r="MMR11" s="118"/>
      <c r="MMS11" s="118"/>
      <c r="MMT11" s="118"/>
      <c r="MMU11" s="118"/>
      <c r="MMV11" s="118"/>
      <c r="MMW11" s="118"/>
      <c r="MMX11" s="118"/>
      <c r="MMY11" s="118"/>
      <c r="MMZ11" s="118"/>
      <c r="MNA11" s="118"/>
      <c r="MNB11" s="118"/>
      <c r="MNC11" s="118"/>
      <c r="MND11" s="118"/>
      <c r="MNE11" s="118"/>
      <c r="MNF11" s="118"/>
      <c r="MNG11" s="118"/>
      <c r="MNH11" s="118"/>
      <c r="MNI11" s="118"/>
      <c r="MNJ11" s="118"/>
      <c r="MNK11" s="118"/>
      <c r="MNL11" s="118"/>
      <c r="MNM11" s="118"/>
      <c r="MNN11" s="118"/>
      <c r="MNO11" s="118"/>
      <c r="MNP11" s="118"/>
      <c r="MNQ11" s="118"/>
      <c r="MNR11" s="118"/>
      <c r="MNS11" s="118"/>
      <c r="MNT11" s="118"/>
      <c r="MNU11" s="118"/>
      <c r="MNV11" s="118"/>
      <c r="MNW11" s="118"/>
      <c r="MNX11" s="118"/>
      <c r="MNY11" s="118"/>
      <c r="MNZ11" s="118"/>
      <c r="MOA11" s="118"/>
      <c r="MOB11" s="118"/>
      <c r="MOC11" s="118"/>
      <c r="MOD11" s="118"/>
      <c r="MOE11" s="118"/>
      <c r="MOF11" s="118"/>
      <c r="MOG11" s="118"/>
      <c r="MOH11" s="118"/>
      <c r="MOI11" s="118"/>
      <c r="MOJ11" s="118"/>
      <c r="MOK11" s="118"/>
      <c r="MOL11" s="118"/>
      <c r="MOM11" s="118"/>
      <c r="MON11" s="118"/>
      <c r="MOO11" s="118"/>
      <c r="MOP11" s="118"/>
      <c r="MOQ11" s="118"/>
      <c r="MOR11" s="118"/>
      <c r="MOS11" s="118"/>
      <c r="MOT11" s="118"/>
      <c r="MOU11" s="118"/>
      <c r="MOV11" s="118"/>
      <c r="MOW11" s="118"/>
      <c r="MOX11" s="118"/>
      <c r="MOY11" s="118"/>
      <c r="MOZ11" s="118"/>
      <c r="MPA11" s="118"/>
      <c r="MPB11" s="118"/>
      <c r="MPC11" s="118"/>
      <c r="MPD11" s="118"/>
      <c r="MPE11" s="118"/>
      <c r="MPF11" s="118"/>
      <c r="MPG11" s="118"/>
      <c r="MPH11" s="118"/>
      <c r="MPI11" s="118"/>
      <c r="MPJ11" s="118"/>
      <c r="MPK11" s="118"/>
      <c r="MPL11" s="118"/>
      <c r="MPM11" s="118"/>
      <c r="MPN11" s="118"/>
      <c r="MPO11" s="118"/>
      <c r="MPP11" s="118"/>
      <c r="MPQ11" s="118"/>
      <c r="MPR11" s="118"/>
      <c r="MPS11" s="118"/>
      <c r="MPT11" s="118"/>
      <c r="MPU11" s="118"/>
      <c r="MPV11" s="118"/>
      <c r="MPW11" s="118"/>
      <c r="MPX11" s="118"/>
      <c r="MPY11" s="118"/>
      <c r="MPZ11" s="118"/>
      <c r="MQA11" s="118"/>
      <c r="MQB11" s="118"/>
      <c r="MQC11" s="118"/>
      <c r="MQD11" s="118"/>
      <c r="MQE11" s="118"/>
      <c r="MQF11" s="118"/>
      <c r="MQG11" s="118"/>
      <c r="MQH11" s="118"/>
      <c r="MQI11" s="118"/>
      <c r="MQJ11" s="118"/>
      <c r="MQK11" s="118"/>
      <c r="MQL11" s="118"/>
      <c r="MQM11" s="118"/>
      <c r="MQN11" s="118"/>
      <c r="MQO11" s="118"/>
      <c r="MQP11" s="118"/>
      <c r="MQQ11" s="118"/>
      <c r="MQR11" s="118"/>
      <c r="MQS11" s="118"/>
      <c r="MQT11" s="118"/>
      <c r="MQU11" s="118"/>
      <c r="MQV11" s="118"/>
      <c r="MQW11" s="118"/>
      <c r="MQX11" s="118"/>
      <c r="MQY11" s="118"/>
      <c r="MQZ11" s="118"/>
      <c r="MRA11" s="118"/>
      <c r="MRB11" s="118"/>
      <c r="MRC11" s="118"/>
      <c r="MRD11" s="118"/>
      <c r="MRE11" s="118"/>
      <c r="MRF11" s="118"/>
      <c r="MRG11" s="118"/>
      <c r="MRH11" s="118"/>
      <c r="MRI11" s="118"/>
      <c r="MRJ11" s="118"/>
      <c r="MRK11" s="118"/>
      <c r="MRL11" s="118"/>
      <c r="MRM11" s="118"/>
      <c r="MRN11" s="118"/>
      <c r="MRO11" s="118"/>
      <c r="MRP11" s="118"/>
      <c r="MRQ11" s="118"/>
      <c r="MRR11" s="118"/>
      <c r="MRS11" s="118"/>
      <c r="MRT11" s="118"/>
      <c r="MRU11" s="118"/>
      <c r="MRV11" s="118"/>
      <c r="MRW11" s="118"/>
      <c r="MRX11" s="118"/>
      <c r="MRY11" s="118"/>
      <c r="MRZ11" s="118"/>
      <c r="MSA11" s="118"/>
      <c r="MSB11" s="118"/>
      <c r="MSC11" s="118"/>
      <c r="MSD11" s="118"/>
      <c r="MSE11" s="118"/>
      <c r="MSF11" s="118"/>
      <c r="MSG11" s="118"/>
      <c r="MSH11" s="118"/>
      <c r="MSI11" s="118"/>
      <c r="MSJ11" s="118"/>
      <c r="MSK11" s="118"/>
      <c r="MSL11" s="118"/>
      <c r="MSM11" s="118"/>
      <c r="MSN11" s="118"/>
      <c r="MSO11" s="118"/>
      <c r="MSP11" s="118"/>
      <c r="MSQ11" s="118"/>
      <c r="MSR11" s="118"/>
      <c r="MSS11" s="118"/>
      <c r="MST11" s="118"/>
      <c r="MSU11" s="118"/>
      <c r="MSV11" s="118"/>
      <c r="MSW11" s="118"/>
      <c r="MSX11" s="118"/>
      <c r="MSY11" s="118"/>
      <c r="MSZ11" s="118"/>
      <c r="MTA11" s="118"/>
      <c r="MTB11" s="118"/>
      <c r="MTC11" s="118"/>
      <c r="MTD11" s="118"/>
      <c r="MTE11" s="118"/>
      <c r="MTF11" s="118"/>
      <c r="MTG11" s="118"/>
      <c r="MTH11" s="118"/>
      <c r="MTI11" s="118"/>
      <c r="MTJ11" s="118"/>
      <c r="MTK11" s="118"/>
      <c r="MTL11" s="118"/>
      <c r="MTM11" s="118"/>
      <c r="MTN11" s="118"/>
      <c r="MTO11" s="118"/>
      <c r="MTP11" s="118"/>
      <c r="MTQ11" s="118"/>
      <c r="MTR11" s="118"/>
      <c r="MTS11" s="118"/>
      <c r="MTT11" s="118"/>
      <c r="MTU11" s="118"/>
      <c r="MTV11" s="118"/>
      <c r="MTW11" s="118"/>
      <c r="MTX11" s="118"/>
      <c r="MTY11" s="118"/>
      <c r="MTZ11" s="118"/>
      <c r="MUA11" s="118"/>
      <c r="MUB11" s="118"/>
      <c r="MUC11" s="118"/>
      <c r="MUD11" s="118"/>
      <c r="MUE11" s="118"/>
      <c r="MUF11" s="118"/>
      <c r="MUG11" s="118"/>
      <c r="MUH11" s="118"/>
      <c r="MUI11" s="118"/>
      <c r="MUJ11" s="118"/>
      <c r="MUK11" s="118"/>
      <c r="MUL11" s="118"/>
      <c r="MUM11" s="118"/>
      <c r="MUN11" s="118"/>
      <c r="MUO11" s="118"/>
      <c r="MUP11" s="118"/>
      <c r="MUQ11" s="118"/>
      <c r="MUR11" s="118"/>
      <c r="MUS11" s="118"/>
      <c r="MUT11" s="118"/>
      <c r="MUU11" s="118"/>
      <c r="MUV11" s="118"/>
      <c r="MUW11" s="118"/>
      <c r="MUX11" s="118"/>
      <c r="MUY11" s="118"/>
      <c r="MUZ11" s="118"/>
      <c r="MVA11" s="118"/>
      <c r="MVB11" s="118"/>
      <c r="MVC11" s="118"/>
      <c r="MVD11" s="118"/>
      <c r="MVE11" s="118"/>
      <c r="MVF11" s="118"/>
      <c r="MVG11" s="118"/>
      <c r="MVH11" s="118"/>
      <c r="MVI11" s="118"/>
      <c r="MVJ11" s="118"/>
      <c r="MVK11" s="118"/>
      <c r="MVL11" s="118"/>
      <c r="MVM11" s="118"/>
      <c r="MVN11" s="118"/>
      <c r="MVO11" s="118"/>
      <c r="MVP11" s="118"/>
      <c r="MVQ11" s="118"/>
      <c r="MVR11" s="118"/>
      <c r="MVS11" s="118"/>
      <c r="MVT11" s="118"/>
      <c r="MVU11" s="118"/>
      <c r="MVV11" s="118"/>
      <c r="MVW11" s="118"/>
      <c r="MVX11" s="118"/>
      <c r="MVY11" s="118"/>
      <c r="MVZ11" s="118"/>
      <c r="MWA11" s="118"/>
      <c r="MWB11" s="118"/>
      <c r="MWC11" s="118"/>
      <c r="MWD11" s="118"/>
      <c r="MWE11" s="118"/>
      <c r="MWF11" s="118"/>
      <c r="MWG11" s="118"/>
      <c r="MWH11" s="118"/>
      <c r="MWI11" s="118"/>
      <c r="MWJ11" s="118"/>
      <c r="MWK11" s="118"/>
      <c r="MWL11" s="118"/>
      <c r="MWM11" s="118"/>
      <c r="MWN11" s="118"/>
      <c r="MWO11" s="118"/>
      <c r="MWP11" s="118"/>
      <c r="MWQ11" s="118"/>
      <c r="MWR11" s="118"/>
      <c r="MWS11" s="118"/>
      <c r="MWT11" s="118"/>
      <c r="MWU11" s="118"/>
      <c r="MWV11" s="118"/>
      <c r="MWW11" s="118"/>
      <c r="MWX11" s="118"/>
      <c r="MWY11" s="118"/>
      <c r="MWZ11" s="118"/>
      <c r="MXA11" s="118"/>
      <c r="MXB11" s="118"/>
      <c r="MXC11" s="118"/>
      <c r="MXD11" s="118"/>
      <c r="MXE11" s="118"/>
      <c r="MXF11" s="118"/>
      <c r="MXG11" s="118"/>
      <c r="MXH11" s="118"/>
      <c r="MXI11" s="118"/>
      <c r="MXJ11" s="118"/>
      <c r="MXK11" s="118"/>
      <c r="MXL11" s="118"/>
      <c r="MXM11" s="118"/>
      <c r="MXN11" s="118"/>
      <c r="MXO11" s="118"/>
      <c r="MXP11" s="118"/>
      <c r="MXQ11" s="118"/>
      <c r="MXR11" s="118"/>
      <c r="MXS11" s="118"/>
      <c r="MXT11" s="118"/>
      <c r="MXU11" s="118"/>
      <c r="MXV11" s="118"/>
      <c r="MXW11" s="118"/>
      <c r="MXX11" s="118"/>
      <c r="MXY11" s="118"/>
      <c r="MXZ11" s="118"/>
      <c r="MYA11" s="118"/>
      <c r="MYB11" s="118"/>
      <c r="MYC11" s="118"/>
      <c r="MYD11" s="118"/>
      <c r="MYE11" s="118"/>
      <c r="MYF11" s="118"/>
      <c r="MYG11" s="118"/>
      <c r="MYH11" s="118"/>
      <c r="MYI11" s="118"/>
      <c r="MYJ11" s="118"/>
      <c r="MYK11" s="118"/>
      <c r="MYL11" s="118"/>
      <c r="MYM11" s="118"/>
      <c r="MYN11" s="118"/>
      <c r="MYO11" s="118"/>
      <c r="MYP11" s="118"/>
      <c r="MYQ11" s="118"/>
      <c r="MYR11" s="118"/>
      <c r="MYS11" s="118"/>
      <c r="MYT11" s="118"/>
      <c r="MYU11" s="118"/>
      <c r="MYV11" s="118"/>
      <c r="MYW11" s="118"/>
      <c r="MYX11" s="118"/>
      <c r="MYY11" s="118"/>
      <c r="MYZ11" s="118"/>
      <c r="MZA11" s="118"/>
      <c r="MZB11" s="118"/>
      <c r="MZC11" s="118"/>
      <c r="MZD11" s="118"/>
      <c r="MZE11" s="118"/>
      <c r="MZF11" s="118"/>
      <c r="MZG11" s="118"/>
      <c r="MZH11" s="118"/>
      <c r="MZI11" s="118"/>
      <c r="MZJ11" s="118"/>
      <c r="MZK11" s="118"/>
      <c r="MZL11" s="118"/>
      <c r="MZM11" s="118"/>
      <c r="MZN11" s="118"/>
      <c r="MZO11" s="118"/>
      <c r="MZP11" s="118"/>
      <c r="MZQ11" s="118"/>
      <c r="MZR11" s="118"/>
      <c r="MZS11" s="118"/>
      <c r="MZT11" s="118"/>
      <c r="MZU11" s="118"/>
      <c r="MZV11" s="118"/>
      <c r="MZW11" s="118"/>
      <c r="MZX11" s="118"/>
      <c r="MZY11" s="118"/>
      <c r="MZZ11" s="118"/>
      <c r="NAA11" s="118"/>
      <c r="NAB11" s="118"/>
      <c r="NAC11" s="118"/>
      <c r="NAD11" s="118"/>
      <c r="NAE11" s="118"/>
      <c r="NAF11" s="118"/>
      <c r="NAG11" s="118"/>
      <c r="NAH11" s="118"/>
      <c r="NAI11" s="118"/>
      <c r="NAJ11" s="118"/>
      <c r="NAK11" s="118"/>
      <c r="NAL11" s="118"/>
      <c r="NAM11" s="118"/>
      <c r="NAN11" s="118"/>
      <c r="NAO11" s="118"/>
      <c r="NAP11" s="118"/>
      <c r="NAQ11" s="118"/>
      <c r="NAR11" s="118"/>
      <c r="NAS11" s="118"/>
      <c r="NAT11" s="118"/>
      <c r="NAU11" s="118"/>
      <c r="NAV11" s="118"/>
      <c r="NAW11" s="118"/>
      <c r="NAX11" s="118"/>
      <c r="NAY11" s="118"/>
      <c r="NAZ11" s="118"/>
      <c r="NBA11" s="118"/>
      <c r="NBB11" s="118"/>
      <c r="NBC11" s="118"/>
      <c r="NBD11" s="118"/>
      <c r="NBE11" s="118"/>
      <c r="NBF11" s="118"/>
      <c r="NBG11" s="118"/>
      <c r="NBH11" s="118"/>
      <c r="NBI11" s="118"/>
      <c r="NBJ11" s="118"/>
      <c r="NBK11" s="118"/>
      <c r="NBL11" s="118"/>
      <c r="NBM11" s="118"/>
      <c r="NBN11" s="118"/>
      <c r="NBO11" s="118"/>
      <c r="NBP11" s="118"/>
      <c r="NBQ11" s="118"/>
      <c r="NBR11" s="118"/>
      <c r="NBS11" s="118"/>
      <c r="NBT11" s="118"/>
      <c r="NBU11" s="118"/>
      <c r="NBV11" s="118"/>
      <c r="NBW11" s="118"/>
      <c r="NBX11" s="118"/>
      <c r="NBY11" s="118"/>
      <c r="NBZ11" s="118"/>
      <c r="NCA11" s="118"/>
      <c r="NCB11" s="118"/>
      <c r="NCC11" s="118"/>
      <c r="NCD11" s="118"/>
      <c r="NCE11" s="118"/>
      <c r="NCF11" s="118"/>
      <c r="NCG11" s="118"/>
      <c r="NCH11" s="118"/>
      <c r="NCI11" s="118"/>
      <c r="NCJ11" s="118"/>
      <c r="NCK11" s="118"/>
      <c r="NCL11" s="118"/>
      <c r="NCM11" s="118"/>
      <c r="NCN11" s="118"/>
      <c r="NCO11" s="118"/>
      <c r="NCP11" s="118"/>
      <c r="NCQ11" s="118"/>
      <c r="NCR11" s="118"/>
      <c r="NCS11" s="118"/>
      <c r="NCT11" s="118"/>
      <c r="NCU11" s="118"/>
      <c r="NCV11" s="118"/>
      <c r="NCW11" s="118"/>
      <c r="NCX11" s="118"/>
      <c r="NCY11" s="118"/>
      <c r="NCZ11" s="118"/>
      <c r="NDA11" s="118"/>
      <c r="NDB11" s="118"/>
      <c r="NDC11" s="118"/>
      <c r="NDD11" s="118"/>
      <c r="NDE11" s="118"/>
      <c r="NDF11" s="118"/>
      <c r="NDG11" s="118"/>
      <c r="NDH11" s="118"/>
      <c r="NDI11" s="118"/>
      <c r="NDJ11" s="118"/>
      <c r="NDK11" s="118"/>
      <c r="NDL11" s="118"/>
      <c r="NDM11" s="118"/>
      <c r="NDN11" s="118"/>
      <c r="NDO11" s="118"/>
      <c r="NDP11" s="118"/>
      <c r="NDQ11" s="118"/>
      <c r="NDR11" s="118"/>
      <c r="NDS11" s="118"/>
      <c r="NDT11" s="118"/>
      <c r="NDU11" s="118"/>
      <c r="NDV11" s="118"/>
      <c r="NDW11" s="118"/>
      <c r="NDX11" s="118"/>
      <c r="NDY11" s="118"/>
      <c r="NDZ11" s="118"/>
      <c r="NEA11" s="118"/>
      <c r="NEB11" s="118"/>
      <c r="NEC11" s="118"/>
      <c r="NED11" s="118"/>
      <c r="NEE11" s="118"/>
      <c r="NEF11" s="118"/>
      <c r="NEG11" s="118"/>
      <c r="NEH11" s="118"/>
      <c r="NEI11" s="118"/>
      <c r="NEJ11" s="118"/>
      <c r="NEK11" s="118"/>
      <c r="NEL11" s="118"/>
      <c r="NEM11" s="118"/>
      <c r="NEN11" s="118"/>
      <c r="NEO11" s="118"/>
      <c r="NEP11" s="118"/>
      <c r="NEQ11" s="118"/>
      <c r="NER11" s="118"/>
      <c r="NES11" s="118"/>
      <c r="NET11" s="118"/>
      <c r="NEU11" s="118"/>
      <c r="NEV11" s="118"/>
      <c r="NEW11" s="118"/>
      <c r="NEX11" s="118"/>
      <c r="NEY11" s="118"/>
      <c r="NEZ11" s="118"/>
      <c r="NFA11" s="118"/>
      <c r="NFB11" s="118"/>
      <c r="NFC11" s="118"/>
      <c r="NFD11" s="118"/>
      <c r="NFE11" s="118"/>
      <c r="NFF11" s="118"/>
      <c r="NFG11" s="118"/>
      <c r="NFH11" s="118"/>
      <c r="NFI11" s="118"/>
      <c r="NFJ11" s="118"/>
      <c r="NFK11" s="118"/>
      <c r="NFL11" s="118"/>
      <c r="NFM11" s="118"/>
      <c r="NFN11" s="118"/>
      <c r="NFO11" s="118"/>
      <c r="NFP11" s="118"/>
      <c r="NFQ11" s="118"/>
      <c r="NFR11" s="118"/>
      <c r="NFS11" s="118"/>
      <c r="NFT11" s="118"/>
      <c r="NFU11" s="118"/>
      <c r="NFV11" s="118"/>
      <c r="NFW11" s="118"/>
      <c r="NFX11" s="118"/>
      <c r="NFY11" s="118"/>
      <c r="NFZ11" s="118"/>
      <c r="NGA11" s="118"/>
      <c r="NGB11" s="118"/>
      <c r="NGC11" s="118"/>
      <c r="NGD11" s="118"/>
      <c r="NGE11" s="118"/>
      <c r="NGF11" s="118"/>
      <c r="NGG11" s="118"/>
      <c r="NGH11" s="118"/>
      <c r="NGI11" s="118"/>
      <c r="NGJ11" s="118"/>
      <c r="NGK11" s="118"/>
      <c r="NGL11" s="118"/>
      <c r="NGM11" s="118"/>
      <c r="NGN11" s="118"/>
      <c r="NGO11" s="118"/>
      <c r="NGP11" s="118"/>
      <c r="NGQ11" s="118"/>
      <c r="NGR11" s="118"/>
      <c r="NGS11" s="118"/>
      <c r="NGT11" s="118"/>
      <c r="NGU11" s="118"/>
      <c r="NGV11" s="118"/>
      <c r="NGW11" s="118"/>
      <c r="NGX11" s="118"/>
      <c r="NGY11" s="118"/>
      <c r="NGZ11" s="118"/>
      <c r="NHA11" s="118"/>
      <c r="NHB11" s="118"/>
      <c r="NHC11" s="118"/>
      <c r="NHD11" s="118"/>
      <c r="NHE11" s="118"/>
      <c r="NHF11" s="118"/>
      <c r="NHG11" s="118"/>
      <c r="NHH11" s="118"/>
      <c r="NHI11" s="118"/>
      <c r="NHJ11" s="118"/>
      <c r="NHK11" s="118"/>
      <c r="NHL11" s="118"/>
      <c r="NHM11" s="118"/>
      <c r="NHN11" s="118"/>
      <c r="NHO11" s="118"/>
      <c r="NHP11" s="118"/>
      <c r="NHQ11" s="118"/>
      <c r="NHR11" s="118"/>
      <c r="NHS11" s="118"/>
      <c r="NHT11" s="118"/>
      <c r="NHU11" s="118"/>
      <c r="NHV11" s="118"/>
      <c r="NHW11" s="118"/>
      <c r="NHX11" s="118"/>
      <c r="NHY11" s="118"/>
      <c r="NHZ11" s="118"/>
      <c r="NIA11" s="118"/>
      <c r="NIB11" s="118"/>
      <c r="NIC11" s="118"/>
      <c r="NID11" s="118"/>
      <c r="NIE11" s="118"/>
      <c r="NIF11" s="118"/>
      <c r="NIG11" s="118"/>
      <c r="NIH11" s="118"/>
      <c r="NII11" s="118"/>
      <c r="NIJ11" s="118"/>
      <c r="NIK11" s="118"/>
      <c r="NIL11" s="118"/>
      <c r="NIM11" s="118"/>
      <c r="NIN11" s="118"/>
      <c r="NIO11" s="118"/>
      <c r="NIP11" s="118"/>
      <c r="NIQ11" s="118"/>
      <c r="NIR11" s="118"/>
      <c r="NIS11" s="118"/>
      <c r="NIT11" s="118"/>
      <c r="NIU11" s="118"/>
      <c r="NIV11" s="118"/>
      <c r="NIW11" s="118"/>
      <c r="NIX11" s="118"/>
      <c r="NIY11" s="118"/>
      <c r="NIZ11" s="118"/>
      <c r="NJA11" s="118"/>
      <c r="NJB11" s="118"/>
      <c r="NJC11" s="118"/>
      <c r="NJD11" s="118"/>
      <c r="NJE11" s="118"/>
      <c r="NJF11" s="118"/>
      <c r="NJG11" s="118"/>
      <c r="NJH11" s="118"/>
      <c r="NJI11" s="118"/>
      <c r="NJJ11" s="118"/>
      <c r="NJK11" s="118"/>
      <c r="NJL11" s="118"/>
      <c r="NJM11" s="118"/>
      <c r="NJN11" s="118"/>
      <c r="NJO11" s="118"/>
      <c r="NJP11" s="118"/>
      <c r="NJQ11" s="118"/>
      <c r="NJR11" s="118"/>
      <c r="NJS11" s="118"/>
      <c r="NJT11" s="118"/>
      <c r="NJU11" s="118"/>
      <c r="NJV11" s="118"/>
      <c r="NJW11" s="118"/>
      <c r="NJX11" s="118"/>
      <c r="NJY11" s="118"/>
      <c r="NJZ11" s="118"/>
      <c r="NKA11" s="118"/>
      <c r="NKB11" s="118"/>
      <c r="NKC11" s="118"/>
      <c r="NKD11" s="118"/>
      <c r="NKE11" s="118"/>
      <c r="NKF11" s="118"/>
      <c r="NKG11" s="118"/>
      <c r="NKH11" s="118"/>
      <c r="NKI11" s="118"/>
      <c r="NKJ11" s="118"/>
      <c r="NKK11" s="118"/>
      <c r="NKL11" s="118"/>
      <c r="NKM11" s="118"/>
      <c r="NKN11" s="118"/>
      <c r="NKO11" s="118"/>
      <c r="NKP11" s="118"/>
      <c r="NKQ11" s="118"/>
      <c r="NKR11" s="118"/>
      <c r="NKS11" s="118"/>
      <c r="NKT11" s="118"/>
      <c r="NKU11" s="118"/>
      <c r="NKV11" s="118"/>
      <c r="NKW11" s="118"/>
      <c r="NKX11" s="118"/>
      <c r="NKY11" s="118"/>
      <c r="NKZ11" s="118"/>
      <c r="NLA11" s="118"/>
      <c r="NLB11" s="118"/>
      <c r="NLC11" s="118"/>
      <c r="NLD11" s="118"/>
      <c r="NLE11" s="118"/>
      <c r="NLF11" s="118"/>
      <c r="NLG11" s="118"/>
      <c r="NLH11" s="118"/>
      <c r="NLI11" s="118"/>
      <c r="NLJ11" s="118"/>
      <c r="NLK11" s="118"/>
      <c r="NLL11" s="118"/>
      <c r="NLM11" s="118"/>
      <c r="NLN11" s="118"/>
      <c r="NLO11" s="118"/>
      <c r="NLP11" s="118"/>
      <c r="NLQ11" s="118"/>
      <c r="NLR11" s="118"/>
      <c r="NLS11" s="118"/>
      <c r="NLT11" s="118"/>
      <c r="NLU11" s="118"/>
      <c r="NLV11" s="118"/>
      <c r="NLW11" s="118"/>
      <c r="NLX11" s="118"/>
      <c r="NLY11" s="118"/>
      <c r="NLZ11" s="118"/>
      <c r="NMA11" s="118"/>
      <c r="NMB11" s="118"/>
      <c r="NMC11" s="118"/>
      <c r="NMD11" s="118"/>
      <c r="NME11" s="118"/>
      <c r="NMF11" s="118"/>
      <c r="NMG11" s="118"/>
      <c r="NMH11" s="118"/>
      <c r="NMI11" s="118"/>
      <c r="NMJ11" s="118"/>
      <c r="NMK11" s="118"/>
      <c r="NML11" s="118"/>
      <c r="NMM11" s="118"/>
      <c r="NMN11" s="118"/>
      <c r="NMO11" s="118"/>
      <c r="NMP11" s="118"/>
      <c r="NMQ11" s="118"/>
      <c r="NMR11" s="118"/>
      <c r="NMS11" s="118"/>
      <c r="NMT11" s="118"/>
      <c r="NMU11" s="118"/>
      <c r="NMV11" s="118"/>
      <c r="NMW11" s="118"/>
      <c r="NMX11" s="118"/>
      <c r="NMY11" s="118"/>
      <c r="NMZ11" s="118"/>
      <c r="NNA11" s="118"/>
      <c r="NNB11" s="118"/>
      <c r="NNC11" s="118"/>
      <c r="NND11" s="118"/>
      <c r="NNE11" s="118"/>
      <c r="NNF11" s="118"/>
      <c r="NNG11" s="118"/>
      <c r="NNH11" s="118"/>
      <c r="NNI11" s="118"/>
      <c r="NNJ11" s="118"/>
      <c r="NNK11" s="118"/>
      <c r="NNL11" s="118"/>
      <c r="NNM11" s="118"/>
      <c r="NNN11" s="118"/>
      <c r="NNO11" s="118"/>
      <c r="NNP11" s="118"/>
      <c r="NNQ11" s="118"/>
      <c r="NNR11" s="118"/>
      <c r="NNS11" s="118"/>
      <c r="NNT11" s="118"/>
      <c r="NNU11" s="118"/>
      <c r="NNV11" s="118"/>
      <c r="NNW11" s="118"/>
      <c r="NNX11" s="118"/>
      <c r="NNY11" s="118"/>
      <c r="NNZ11" s="118"/>
      <c r="NOA11" s="118"/>
      <c r="NOB11" s="118"/>
      <c r="NOC11" s="118"/>
      <c r="NOD11" s="118"/>
      <c r="NOE11" s="118"/>
      <c r="NOF11" s="118"/>
      <c r="NOG11" s="118"/>
      <c r="NOH11" s="118"/>
      <c r="NOI11" s="118"/>
      <c r="NOJ11" s="118"/>
      <c r="NOK11" s="118"/>
      <c r="NOL11" s="118"/>
      <c r="NOM11" s="118"/>
      <c r="NON11" s="118"/>
      <c r="NOO11" s="118"/>
      <c r="NOP11" s="118"/>
      <c r="NOQ11" s="118"/>
      <c r="NOR11" s="118"/>
      <c r="NOS11" s="118"/>
      <c r="NOT11" s="118"/>
      <c r="NOU11" s="118"/>
      <c r="NOV11" s="118"/>
      <c r="NOW11" s="118"/>
      <c r="NOX11" s="118"/>
      <c r="NOY11" s="118"/>
      <c r="NOZ11" s="118"/>
      <c r="NPA11" s="118"/>
      <c r="NPB11" s="118"/>
      <c r="NPC11" s="118"/>
      <c r="NPD11" s="118"/>
      <c r="NPE11" s="118"/>
      <c r="NPF11" s="118"/>
      <c r="NPG11" s="118"/>
      <c r="NPH11" s="118"/>
      <c r="NPI11" s="118"/>
      <c r="NPJ11" s="118"/>
      <c r="NPK11" s="118"/>
      <c r="NPL11" s="118"/>
      <c r="NPM11" s="118"/>
      <c r="NPN11" s="118"/>
      <c r="NPO11" s="118"/>
      <c r="NPP11" s="118"/>
      <c r="NPQ11" s="118"/>
      <c r="NPR11" s="118"/>
      <c r="NPS11" s="118"/>
      <c r="NPT11" s="118"/>
      <c r="NPU11" s="118"/>
      <c r="NPV11" s="118"/>
      <c r="NPW11" s="118"/>
      <c r="NPX11" s="118"/>
      <c r="NPY11" s="118"/>
      <c r="NPZ11" s="118"/>
      <c r="NQA11" s="118"/>
      <c r="NQB11" s="118"/>
      <c r="NQC11" s="118"/>
      <c r="NQD11" s="118"/>
      <c r="NQE11" s="118"/>
      <c r="NQF11" s="118"/>
      <c r="NQG11" s="118"/>
      <c r="NQH11" s="118"/>
      <c r="NQI11" s="118"/>
      <c r="NQJ11" s="118"/>
      <c r="NQK11" s="118"/>
      <c r="NQL11" s="118"/>
      <c r="NQM11" s="118"/>
      <c r="NQN11" s="118"/>
      <c r="NQO11" s="118"/>
      <c r="NQP11" s="118"/>
      <c r="NQQ11" s="118"/>
      <c r="NQR11" s="118"/>
      <c r="NQS11" s="118"/>
      <c r="NQT11" s="118"/>
      <c r="NQU11" s="118"/>
      <c r="NQV11" s="118"/>
      <c r="NQW11" s="118"/>
      <c r="NQX11" s="118"/>
      <c r="NQY11" s="118"/>
      <c r="NQZ11" s="118"/>
      <c r="NRA11" s="118"/>
      <c r="NRB11" s="118"/>
      <c r="NRC11" s="118"/>
      <c r="NRD11" s="118"/>
      <c r="NRE11" s="118"/>
      <c r="NRF11" s="118"/>
      <c r="NRG11" s="118"/>
      <c r="NRH11" s="118"/>
      <c r="NRI11" s="118"/>
      <c r="NRJ11" s="118"/>
      <c r="NRK11" s="118"/>
      <c r="NRL11" s="118"/>
      <c r="NRM11" s="118"/>
      <c r="NRN11" s="118"/>
      <c r="NRO11" s="118"/>
      <c r="NRP11" s="118"/>
      <c r="NRQ11" s="118"/>
      <c r="NRR11" s="118"/>
      <c r="NRS11" s="118"/>
      <c r="NRT11" s="118"/>
      <c r="NRU11" s="118"/>
      <c r="NRV11" s="118"/>
      <c r="NRW11" s="118"/>
      <c r="NRX11" s="118"/>
      <c r="NRY11" s="118"/>
      <c r="NRZ11" s="118"/>
      <c r="NSA11" s="118"/>
      <c r="NSB11" s="118"/>
      <c r="NSC11" s="118"/>
      <c r="NSD11" s="118"/>
      <c r="NSE11" s="118"/>
      <c r="NSF11" s="118"/>
      <c r="NSG11" s="118"/>
      <c r="NSH11" s="118"/>
      <c r="NSI11" s="118"/>
      <c r="NSJ11" s="118"/>
      <c r="NSK11" s="118"/>
      <c r="NSL11" s="118"/>
      <c r="NSM11" s="118"/>
      <c r="NSN11" s="118"/>
      <c r="NSO11" s="118"/>
      <c r="NSP11" s="118"/>
      <c r="NSQ11" s="118"/>
      <c r="NSR11" s="118"/>
      <c r="NSS11" s="118"/>
      <c r="NST11" s="118"/>
      <c r="NSU11" s="118"/>
      <c r="NSV11" s="118"/>
      <c r="NSW11" s="118"/>
      <c r="NSX11" s="118"/>
      <c r="NSY11" s="118"/>
      <c r="NSZ11" s="118"/>
      <c r="NTA11" s="118"/>
      <c r="NTB11" s="118"/>
      <c r="NTC11" s="118"/>
      <c r="NTD11" s="118"/>
      <c r="NTE11" s="118"/>
      <c r="NTF11" s="118"/>
      <c r="NTG11" s="118"/>
      <c r="NTH11" s="118"/>
      <c r="NTI11" s="118"/>
      <c r="NTJ11" s="118"/>
      <c r="NTK11" s="118"/>
      <c r="NTL11" s="118"/>
      <c r="NTM11" s="118"/>
      <c r="NTN11" s="118"/>
      <c r="NTO11" s="118"/>
      <c r="NTP11" s="118"/>
      <c r="NTQ11" s="118"/>
      <c r="NTR11" s="118"/>
      <c r="NTS11" s="118"/>
      <c r="NTT11" s="118"/>
      <c r="NTU11" s="118"/>
      <c r="NTV11" s="118"/>
      <c r="NTW11" s="118"/>
      <c r="NTX11" s="118"/>
      <c r="NTY11" s="118"/>
      <c r="NTZ11" s="118"/>
      <c r="NUA11" s="118"/>
      <c r="NUB11" s="118"/>
      <c r="NUC11" s="118"/>
      <c r="NUD11" s="118"/>
      <c r="NUE11" s="118"/>
      <c r="NUF11" s="118"/>
      <c r="NUG11" s="118"/>
      <c r="NUH11" s="118"/>
      <c r="NUI11" s="118"/>
      <c r="NUJ11" s="118"/>
      <c r="NUK11" s="118"/>
      <c r="NUL11" s="118"/>
      <c r="NUM11" s="118"/>
      <c r="NUN11" s="118"/>
      <c r="NUO11" s="118"/>
      <c r="NUP11" s="118"/>
      <c r="NUQ11" s="118"/>
      <c r="NUR11" s="118"/>
      <c r="NUS11" s="118"/>
      <c r="NUT11" s="118"/>
      <c r="NUU11" s="118"/>
      <c r="NUV11" s="118"/>
      <c r="NUW11" s="118"/>
      <c r="NUX11" s="118"/>
      <c r="NUY11" s="118"/>
      <c r="NUZ11" s="118"/>
      <c r="NVA11" s="118"/>
      <c r="NVB11" s="118"/>
      <c r="NVC11" s="118"/>
      <c r="NVD11" s="118"/>
      <c r="NVE11" s="118"/>
      <c r="NVF11" s="118"/>
      <c r="NVG11" s="118"/>
      <c r="NVH11" s="118"/>
      <c r="NVI11" s="118"/>
      <c r="NVJ11" s="118"/>
      <c r="NVK11" s="118"/>
      <c r="NVL11" s="118"/>
      <c r="NVM11" s="118"/>
      <c r="NVN11" s="118"/>
      <c r="NVO11" s="118"/>
      <c r="NVP11" s="118"/>
      <c r="NVQ11" s="118"/>
      <c r="NVR11" s="118"/>
      <c r="NVS11" s="118"/>
      <c r="NVT11" s="118"/>
      <c r="NVU11" s="118"/>
      <c r="NVV11" s="118"/>
      <c r="NVW11" s="118"/>
      <c r="NVX11" s="118"/>
      <c r="NVY11" s="118"/>
      <c r="NVZ11" s="118"/>
      <c r="NWA11" s="118"/>
      <c r="NWB11" s="118"/>
      <c r="NWC11" s="118"/>
      <c r="NWD11" s="118"/>
      <c r="NWE11" s="118"/>
      <c r="NWF11" s="118"/>
      <c r="NWG11" s="118"/>
      <c r="NWH11" s="118"/>
      <c r="NWI11" s="118"/>
      <c r="NWJ11" s="118"/>
      <c r="NWK11" s="118"/>
      <c r="NWL11" s="118"/>
      <c r="NWM11" s="118"/>
      <c r="NWN11" s="118"/>
      <c r="NWO11" s="118"/>
      <c r="NWP11" s="118"/>
      <c r="NWQ11" s="118"/>
      <c r="NWR11" s="118"/>
      <c r="NWS11" s="118"/>
      <c r="NWT11" s="118"/>
      <c r="NWU11" s="118"/>
      <c r="NWV11" s="118"/>
      <c r="NWW11" s="118"/>
      <c r="NWX11" s="118"/>
      <c r="NWY11" s="118"/>
      <c r="NWZ11" s="118"/>
      <c r="NXA11" s="118"/>
      <c r="NXB11" s="118"/>
      <c r="NXC11" s="118"/>
      <c r="NXD11" s="118"/>
      <c r="NXE11" s="118"/>
      <c r="NXF11" s="118"/>
      <c r="NXG11" s="118"/>
      <c r="NXH11" s="118"/>
      <c r="NXI11" s="118"/>
      <c r="NXJ11" s="118"/>
      <c r="NXK11" s="118"/>
      <c r="NXL11" s="118"/>
      <c r="NXM11" s="118"/>
      <c r="NXN11" s="118"/>
      <c r="NXO11" s="118"/>
      <c r="NXP11" s="118"/>
      <c r="NXQ11" s="118"/>
      <c r="NXR11" s="118"/>
      <c r="NXS11" s="118"/>
      <c r="NXT11" s="118"/>
      <c r="NXU11" s="118"/>
      <c r="NXV11" s="118"/>
      <c r="NXW11" s="118"/>
      <c r="NXX11" s="118"/>
      <c r="NXY11" s="118"/>
      <c r="NXZ11" s="118"/>
      <c r="NYA11" s="118"/>
      <c r="NYB11" s="118"/>
      <c r="NYC11" s="118"/>
      <c r="NYD11" s="118"/>
      <c r="NYE11" s="118"/>
      <c r="NYF11" s="118"/>
      <c r="NYG11" s="118"/>
      <c r="NYH11" s="118"/>
      <c r="NYI11" s="118"/>
      <c r="NYJ11" s="118"/>
      <c r="NYK11" s="118"/>
      <c r="NYL11" s="118"/>
      <c r="NYM11" s="118"/>
      <c r="NYN11" s="118"/>
      <c r="NYO11" s="118"/>
      <c r="NYP11" s="118"/>
      <c r="NYQ11" s="118"/>
      <c r="NYR11" s="118"/>
      <c r="NYS11" s="118"/>
      <c r="NYT11" s="118"/>
      <c r="NYU11" s="118"/>
      <c r="NYV11" s="118"/>
      <c r="NYW11" s="118"/>
      <c r="NYX11" s="118"/>
      <c r="NYY11" s="118"/>
      <c r="NYZ11" s="118"/>
      <c r="NZA11" s="118"/>
      <c r="NZB11" s="118"/>
      <c r="NZC11" s="118"/>
      <c r="NZD11" s="118"/>
      <c r="NZE11" s="118"/>
      <c r="NZF11" s="118"/>
      <c r="NZG11" s="118"/>
      <c r="NZH11" s="118"/>
      <c r="NZI11" s="118"/>
      <c r="NZJ11" s="118"/>
      <c r="NZK11" s="118"/>
      <c r="NZL11" s="118"/>
      <c r="NZM11" s="118"/>
      <c r="NZN11" s="118"/>
      <c r="NZO11" s="118"/>
      <c r="NZP11" s="118"/>
      <c r="NZQ11" s="118"/>
      <c r="NZR11" s="118"/>
      <c r="NZS11" s="118"/>
      <c r="NZT11" s="118"/>
      <c r="NZU11" s="118"/>
      <c r="NZV11" s="118"/>
      <c r="NZW11" s="118"/>
      <c r="NZX11" s="118"/>
      <c r="NZY11" s="118"/>
      <c r="NZZ11" s="118"/>
      <c r="OAA11" s="118"/>
      <c r="OAB11" s="118"/>
      <c r="OAC11" s="118"/>
      <c r="OAD11" s="118"/>
      <c r="OAE11" s="118"/>
      <c r="OAF11" s="118"/>
      <c r="OAG11" s="118"/>
      <c r="OAH11" s="118"/>
      <c r="OAI11" s="118"/>
      <c r="OAJ11" s="118"/>
      <c r="OAK11" s="118"/>
      <c r="OAL11" s="118"/>
      <c r="OAM11" s="118"/>
      <c r="OAN11" s="118"/>
      <c r="OAO11" s="118"/>
      <c r="OAP11" s="118"/>
      <c r="OAQ11" s="118"/>
      <c r="OAR11" s="118"/>
      <c r="OAS11" s="118"/>
      <c r="OAT11" s="118"/>
      <c r="OAU11" s="118"/>
      <c r="OAV11" s="118"/>
      <c r="OAW11" s="118"/>
      <c r="OAX11" s="118"/>
      <c r="OAY11" s="118"/>
      <c r="OAZ11" s="118"/>
      <c r="OBA11" s="118"/>
      <c r="OBB11" s="118"/>
      <c r="OBC11" s="118"/>
      <c r="OBD11" s="118"/>
      <c r="OBE11" s="118"/>
      <c r="OBF11" s="118"/>
      <c r="OBG11" s="118"/>
      <c r="OBH11" s="118"/>
      <c r="OBI11" s="118"/>
      <c r="OBJ11" s="118"/>
      <c r="OBK11" s="118"/>
      <c r="OBL11" s="118"/>
      <c r="OBM11" s="118"/>
      <c r="OBN11" s="118"/>
      <c r="OBO11" s="118"/>
      <c r="OBP11" s="118"/>
      <c r="OBQ11" s="118"/>
      <c r="OBR11" s="118"/>
      <c r="OBS11" s="118"/>
      <c r="OBT11" s="118"/>
      <c r="OBU11" s="118"/>
      <c r="OBV11" s="118"/>
      <c r="OBW11" s="118"/>
      <c r="OBX11" s="118"/>
      <c r="OBY11" s="118"/>
      <c r="OBZ11" s="118"/>
      <c r="OCA11" s="118"/>
      <c r="OCB11" s="118"/>
      <c r="OCC11" s="118"/>
      <c r="OCD11" s="118"/>
      <c r="OCE11" s="118"/>
      <c r="OCF11" s="118"/>
      <c r="OCG11" s="118"/>
      <c r="OCH11" s="118"/>
      <c r="OCI11" s="118"/>
      <c r="OCJ11" s="118"/>
      <c r="OCK11" s="118"/>
      <c r="OCL11" s="118"/>
      <c r="OCM11" s="118"/>
      <c r="OCN11" s="118"/>
      <c r="OCO11" s="118"/>
      <c r="OCP11" s="118"/>
      <c r="OCQ11" s="118"/>
      <c r="OCR11" s="118"/>
      <c r="OCS11" s="118"/>
      <c r="OCT11" s="118"/>
      <c r="OCU11" s="118"/>
      <c r="OCV11" s="118"/>
      <c r="OCW11" s="118"/>
      <c r="OCX11" s="118"/>
      <c r="OCY11" s="118"/>
      <c r="OCZ11" s="118"/>
      <c r="ODA11" s="118"/>
      <c r="ODB11" s="118"/>
      <c r="ODC11" s="118"/>
      <c r="ODD11" s="118"/>
      <c r="ODE11" s="118"/>
      <c r="ODF11" s="118"/>
      <c r="ODG11" s="118"/>
      <c r="ODH11" s="118"/>
      <c r="ODI11" s="118"/>
      <c r="ODJ11" s="118"/>
      <c r="ODK11" s="118"/>
      <c r="ODL11" s="118"/>
      <c r="ODM11" s="118"/>
      <c r="ODN11" s="118"/>
      <c r="ODO11" s="118"/>
      <c r="ODP11" s="118"/>
      <c r="ODQ11" s="118"/>
      <c r="ODR11" s="118"/>
      <c r="ODS11" s="118"/>
      <c r="ODT11" s="118"/>
      <c r="ODU11" s="118"/>
      <c r="ODV11" s="118"/>
      <c r="ODW11" s="118"/>
      <c r="ODX11" s="118"/>
      <c r="ODY11" s="118"/>
      <c r="ODZ11" s="118"/>
      <c r="OEA11" s="118"/>
      <c r="OEB11" s="118"/>
      <c r="OEC11" s="118"/>
      <c r="OED11" s="118"/>
      <c r="OEE11" s="118"/>
      <c r="OEF11" s="118"/>
      <c r="OEG11" s="118"/>
      <c r="OEH11" s="118"/>
      <c r="OEI11" s="118"/>
      <c r="OEJ11" s="118"/>
      <c r="OEK11" s="118"/>
      <c r="OEL11" s="118"/>
      <c r="OEM11" s="118"/>
      <c r="OEN11" s="118"/>
      <c r="OEO11" s="118"/>
      <c r="OEP11" s="118"/>
      <c r="OEQ11" s="118"/>
      <c r="OER11" s="118"/>
      <c r="OES11" s="118"/>
      <c r="OET11" s="118"/>
      <c r="OEU11" s="118"/>
      <c r="OEV11" s="118"/>
      <c r="OEW11" s="118"/>
      <c r="OEX11" s="118"/>
      <c r="OEY11" s="118"/>
      <c r="OEZ11" s="118"/>
      <c r="OFA11" s="118"/>
      <c r="OFB11" s="118"/>
      <c r="OFC11" s="118"/>
      <c r="OFD11" s="118"/>
      <c r="OFE11" s="118"/>
      <c r="OFF11" s="118"/>
      <c r="OFG11" s="118"/>
      <c r="OFH11" s="118"/>
      <c r="OFI11" s="118"/>
      <c r="OFJ11" s="118"/>
      <c r="OFK11" s="118"/>
      <c r="OFL11" s="118"/>
      <c r="OFM11" s="118"/>
      <c r="OFN11" s="118"/>
      <c r="OFO11" s="118"/>
      <c r="OFP11" s="118"/>
      <c r="OFQ11" s="118"/>
      <c r="OFR11" s="118"/>
      <c r="OFS11" s="118"/>
      <c r="OFT11" s="118"/>
      <c r="OFU11" s="118"/>
      <c r="OFV11" s="118"/>
      <c r="OFW11" s="118"/>
      <c r="OFX11" s="118"/>
      <c r="OFY11" s="118"/>
      <c r="OFZ11" s="118"/>
      <c r="OGA11" s="118"/>
      <c r="OGB11" s="118"/>
      <c r="OGC11" s="118"/>
      <c r="OGD11" s="118"/>
      <c r="OGE11" s="118"/>
      <c r="OGF11" s="118"/>
      <c r="OGG11" s="118"/>
      <c r="OGH11" s="118"/>
      <c r="OGI11" s="118"/>
      <c r="OGJ11" s="118"/>
      <c r="OGK11" s="118"/>
      <c r="OGL11" s="118"/>
      <c r="OGM11" s="118"/>
      <c r="OGN11" s="118"/>
      <c r="OGO11" s="118"/>
      <c r="OGP11" s="118"/>
      <c r="OGQ11" s="118"/>
      <c r="OGR11" s="118"/>
      <c r="OGS11" s="118"/>
      <c r="OGT11" s="118"/>
      <c r="OGU11" s="118"/>
      <c r="OGV11" s="118"/>
      <c r="OGW11" s="118"/>
      <c r="OGX11" s="118"/>
      <c r="OGY11" s="118"/>
      <c r="OGZ11" s="118"/>
      <c r="OHA11" s="118"/>
      <c r="OHB11" s="118"/>
      <c r="OHC11" s="118"/>
      <c r="OHD11" s="118"/>
      <c r="OHE11" s="118"/>
      <c r="OHF11" s="118"/>
      <c r="OHG11" s="118"/>
      <c r="OHH11" s="118"/>
      <c r="OHI11" s="118"/>
      <c r="OHJ11" s="118"/>
      <c r="OHK11" s="118"/>
      <c r="OHL11" s="118"/>
      <c r="OHM11" s="118"/>
      <c r="OHN11" s="118"/>
      <c r="OHO11" s="118"/>
      <c r="OHP11" s="118"/>
      <c r="OHQ11" s="118"/>
      <c r="OHR11" s="118"/>
      <c r="OHS11" s="118"/>
      <c r="OHT11" s="118"/>
      <c r="OHU11" s="118"/>
      <c r="OHV11" s="118"/>
      <c r="OHW11" s="118"/>
      <c r="OHX11" s="118"/>
      <c r="OHY11" s="118"/>
      <c r="OHZ11" s="118"/>
      <c r="OIA11" s="118"/>
      <c r="OIB11" s="118"/>
      <c r="OIC11" s="118"/>
      <c r="OID11" s="118"/>
      <c r="OIE11" s="118"/>
      <c r="OIF11" s="118"/>
      <c r="OIG11" s="118"/>
      <c r="OIH11" s="118"/>
      <c r="OII11" s="118"/>
      <c r="OIJ11" s="118"/>
      <c r="OIK11" s="118"/>
      <c r="OIL11" s="118"/>
      <c r="OIM11" s="118"/>
      <c r="OIN11" s="118"/>
      <c r="OIO11" s="118"/>
      <c r="OIP11" s="118"/>
      <c r="OIQ11" s="118"/>
      <c r="OIR11" s="118"/>
      <c r="OIS11" s="118"/>
      <c r="OIT11" s="118"/>
      <c r="OIU11" s="118"/>
      <c r="OIV11" s="118"/>
      <c r="OIW11" s="118"/>
      <c r="OIX11" s="118"/>
      <c r="OIY11" s="118"/>
      <c r="OIZ11" s="118"/>
      <c r="OJA11" s="118"/>
      <c r="OJB11" s="118"/>
      <c r="OJC11" s="118"/>
      <c r="OJD11" s="118"/>
      <c r="OJE11" s="118"/>
      <c r="OJF11" s="118"/>
      <c r="OJG11" s="118"/>
      <c r="OJH11" s="118"/>
      <c r="OJI11" s="118"/>
      <c r="OJJ11" s="118"/>
      <c r="OJK11" s="118"/>
      <c r="OJL11" s="118"/>
      <c r="OJM11" s="118"/>
      <c r="OJN11" s="118"/>
      <c r="OJO11" s="118"/>
      <c r="OJP11" s="118"/>
      <c r="OJQ11" s="118"/>
      <c r="OJR11" s="118"/>
      <c r="OJS11" s="118"/>
      <c r="OJT11" s="118"/>
      <c r="OJU11" s="118"/>
      <c r="OJV11" s="118"/>
      <c r="OJW11" s="118"/>
      <c r="OJX11" s="118"/>
      <c r="OJY11" s="118"/>
      <c r="OJZ11" s="118"/>
      <c r="OKA11" s="118"/>
      <c r="OKB11" s="118"/>
      <c r="OKC11" s="118"/>
      <c r="OKD11" s="118"/>
      <c r="OKE11" s="118"/>
      <c r="OKF11" s="118"/>
      <c r="OKG11" s="118"/>
      <c r="OKH11" s="118"/>
      <c r="OKI11" s="118"/>
      <c r="OKJ11" s="118"/>
      <c r="OKK11" s="118"/>
      <c r="OKL11" s="118"/>
      <c r="OKM11" s="118"/>
      <c r="OKN11" s="118"/>
      <c r="OKO11" s="118"/>
      <c r="OKP11" s="118"/>
      <c r="OKQ11" s="118"/>
      <c r="OKR11" s="118"/>
      <c r="OKS11" s="118"/>
      <c r="OKT11" s="118"/>
      <c r="OKU11" s="118"/>
      <c r="OKV11" s="118"/>
      <c r="OKW11" s="118"/>
      <c r="OKX11" s="118"/>
      <c r="OKY11" s="118"/>
      <c r="OKZ11" s="118"/>
      <c r="OLA11" s="118"/>
      <c r="OLB11" s="118"/>
      <c r="OLC11" s="118"/>
      <c r="OLD11" s="118"/>
      <c r="OLE11" s="118"/>
      <c r="OLF11" s="118"/>
      <c r="OLG11" s="118"/>
      <c r="OLH11" s="118"/>
      <c r="OLI11" s="118"/>
      <c r="OLJ11" s="118"/>
      <c r="OLK11" s="118"/>
      <c r="OLL11" s="118"/>
      <c r="OLM11" s="118"/>
      <c r="OLN11" s="118"/>
      <c r="OLO11" s="118"/>
      <c r="OLP11" s="118"/>
      <c r="OLQ11" s="118"/>
      <c r="OLR11" s="118"/>
      <c r="OLS11" s="118"/>
      <c r="OLT11" s="118"/>
      <c r="OLU11" s="118"/>
      <c r="OLV11" s="118"/>
      <c r="OLW11" s="118"/>
      <c r="OLX11" s="118"/>
      <c r="OLY11" s="118"/>
      <c r="OLZ11" s="118"/>
      <c r="OMA11" s="118"/>
      <c r="OMB11" s="118"/>
      <c r="OMC11" s="118"/>
      <c r="OMD11" s="118"/>
      <c r="OME11" s="118"/>
      <c r="OMF11" s="118"/>
      <c r="OMG11" s="118"/>
      <c r="OMH11" s="118"/>
      <c r="OMI11" s="118"/>
      <c r="OMJ11" s="118"/>
      <c r="OMK11" s="118"/>
      <c r="OML11" s="118"/>
      <c r="OMM11" s="118"/>
      <c r="OMN11" s="118"/>
      <c r="OMO11" s="118"/>
      <c r="OMP11" s="118"/>
      <c r="OMQ11" s="118"/>
      <c r="OMR11" s="118"/>
      <c r="OMS11" s="118"/>
      <c r="OMT11" s="118"/>
      <c r="OMU11" s="118"/>
      <c r="OMV11" s="118"/>
      <c r="OMW11" s="118"/>
      <c r="OMX11" s="118"/>
      <c r="OMY11" s="118"/>
      <c r="OMZ11" s="118"/>
      <c r="ONA11" s="118"/>
      <c r="ONB11" s="118"/>
      <c r="ONC11" s="118"/>
      <c r="OND11" s="118"/>
      <c r="ONE11" s="118"/>
      <c r="ONF11" s="118"/>
      <c r="ONG11" s="118"/>
      <c r="ONH11" s="118"/>
      <c r="ONI11" s="118"/>
      <c r="ONJ11" s="118"/>
      <c r="ONK11" s="118"/>
      <c r="ONL11" s="118"/>
      <c r="ONM11" s="118"/>
      <c r="ONN11" s="118"/>
      <c r="ONO11" s="118"/>
      <c r="ONP11" s="118"/>
      <c r="ONQ11" s="118"/>
      <c r="ONR11" s="118"/>
      <c r="ONS11" s="118"/>
      <c r="ONT11" s="118"/>
      <c r="ONU11" s="118"/>
      <c r="ONV11" s="118"/>
      <c r="ONW11" s="118"/>
      <c r="ONX11" s="118"/>
      <c r="ONY11" s="118"/>
      <c r="ONZ11" s="118"/>
      <c r="OOA11" s="118"/>
      <c r="OOB11" s="118"/>
      <c r="OOC11" s="118"/>
      <c r="OOD11" s="118"/>
      <c r="OOE11" s="118"/>
      <c r="OOF11" s="118"/>
      <c r="OOG11" s="118"/>
      <c r="OOH11" s="118"/>
      <c r="OOI11" s="118"/>
      <c r="OOJ11" s="118"/>
      <c r="OOK11" s="118"/>
      <c r="OOL11" s="118"/>
      <c r="OOM11" s="118"/>
      <c r="OON11" s="118"/>
      <c r="OOO11" s="118"/>
      <c r="OOP11" s="118"/>
      <c r="OOQ11" s="118"/>
      <c r="OOR11" s="118"/>
      <c r="OOS11" s="118"/>
      <c r="OOT11" s="118"/>
      <c r="OOU11" s="118"/>
      <c r="OOV11" s="118"/>
      <c r="OOW11" s="118"/>
      <c r="OOX11" s="118"/>
      <c r="OOY11" s="118"/>
      <c r="OOZ11" s="118"/>
      <c r="OPA11" s="118"/>
      <c r="OPB11" s="118"/>
      <c r="OPC11" s="118"/>
      <c r="OPD11" s="118"/>
      <c r="OPE11" s="118"/>
      <c r="OPF11" s="118"/>
      <c r="OPG11" s="118"/>
      <c r="OPH11" s="118"/>
      <c r="OPI11" s="118"/>
      <c r="OPJ11" s="118"/>
      <c r="OPK11" s="118"/>
      <c r="OPL11" s="118"/>
      <c r="OPM11" s="118"/>
      <c r="OPN11" s="118"/>
      <c r="OPO11" s="118"/>
      <c r="OPP11" s="118"/>
      <c r="OPQ11" s="118"/>
      <c r="OPR11" s="118"/>
      <c r="OPS11" s="118"/>
      <c r="OPT11" s="118"/>
      <c r="OPU11" s="118"/>
      <c r="OPV11" s="118"/>
      <c r="OPW11" s="118"/>
      <c r="OPX11" s="118"/>
      <c r="OPY11" s="118"/>
      <c r="OPZ11" s="118"/>
      <c r="OQA11" s="118"/>
      <c r="OQB11" s="118"/>
      <c r="OQC11" s="118"/>
      <c r="OQD11" s="118"/>
      <c r="OQE11" s="118"/>
      <c r="OQF11" s="118"/>
      <c r="OQG11" s="118"/>
      <c r="OQH11" s="118"/>
      <c r="OQI11" s="118"/>
      <c r="OQJ11" s="118"/>
      <c r="OQK11" s="118"/>
      <c r="OQL11" s="118"/>
      <c r="OQM11" s="118"/>
      <c r="OQN11" s="118"/>
      <c r="OQO11" s="118"/>
      <c r="OQP11" s="118"/>
      <c r="OQQ11" s="118"/>
      <c r="OQR11" s="118"/>
      <c r="OQS11" s="118"/>
      <c r="OQT11" s="118"/>
      <c r="OQU11" s="118"/>
      <c r="OQV11" s="118"/>
      <c r="OQW11" s="118"/>
      <c r="OQX11" s="118"/>
      <c r="OQY11" s="118"/>
      <c r="OQZ11" s="118"/>
      <c r="ORA11" s="118"/>
      <c r="ORB11" s="118"/>
      <c r="ORC11" s="118"/>
      <c r="ORD11" s="118"/>
      <c r="ORE11" s="118"/>
      <c r="ORF11" s="118"/>
      <c r="ORG11" s="118"/>
      <c r="ORH11" s="118"/>
      <c r="ORI11" s="118"/>
      <c r="ORJ11" s="118"/>
      <c r="ORK11" s="118"/>
      <c r="ORL11" s="118"/>
      <c r="ORM11" s="118"/>
      <c r="ORN11" s="118"/>
      <c r="ORO11" s="118"/>
      <c r="ORP11" s="118"/>
      <c r="ORQ11" s="118"/>
      <c r="ORR11" s="118"/>
      <c r="ORS11" s="118"/>
      <c r="ORT11" s="118"/>
      <c r="ORU11" s="118"/>
      <c r="ORV11" s="118"/>
      <c r="ORW11" s="118"/>
      <c r="ORX11" s="118"/>
      <c r="ORY11" s="118"/>
      <c r="ORZ11" s="118"/>
      <c r="OSA11" s="118"/>
      <c r="OSB11" s="118"/>
      <c r="OSC11" s="118"/>
      <c r="OSD11" s="118"/>
      <c r="OSE11" s="118"/>
      <c r="OSF11" s="118"/>
      <c r="OSG11" s="118"/>
      <c r="OSH11" s="118"/>
      <c r="OSI11" s="118"/>
      <c r="OSJ11" s="118"/>
      <c r="OSK11" s="118"/>
      <c r="OSL11" s="118"/>
      <c r="OSM11" s="118"/>
      <c r="OSN11" s="118"/>
      <c r="OSO11" s="118"/>
      <c r="OSP11" s="118"/>
      <c r="OSQ11" s="118"/>
      <c r="OSR11" s="118"/>
      <c r="OSS11" s="118"/>
      <c r="OST11" s="118"/>
      <c r="OSU11" s="118"/>
      <c r="OSV11" s="118"/>
      <c r="OSW11" s="118"/>
      <c r="OSX11" s="118"/>
      <c r="OSY11" s="118"/>
      <c r="OSZ11" s="118"/>
      <c r="OTA11" s="118"/>
      <c r="OTB11" s="118"/>
      <c r="OTC11" s="118"/>
      <c r="OTD11" s="118"/>
      <c r="OTE11" s="118"/>
      <c r="OTF11" s="118"/>
      <c r="OTG11" s="118"/>
      <c r="OTH11" s="118"/>
      <c r="OTI11" s="118"/>
      <c r="OTJ11" s="118"/>
      <c r="OTK11" s="118"/>
      <c r="OTL11" s="118"/>
      <c r="OTM11" s="118"/>
      <c r="OTN11" s="118"/>
      <c r="OTO11" s="118"/>
      <c r="OTP11" s="118"/>
      <c r="OTQ11" s="118"/>
      <c r="OTR11" s="118"/>
      <c r="OTS11" s="118"/>
      <c r="OTT11" s="118"/>
      <c r="OTU11" s="118"/>
      <c r="OTV11" s="118"/>
      <c r="OTW11" s="118"/>
      <c r="OTX11" s="118"/>
      <c r="OTY11" s="118"/>
      <c r="OTZ11" s="118"/>
      <c r="OUA11" s="118"/>
      <c r="OUB11" s="118"/>
      <c r="OUC11" s="118"/>
      <c r="OUD11" s="118"/>
      <c r="OUE11" s="118"/>
      <c r="OUF11" s="118"/>
      <c r="OUG11" s="118"/>
      <c r="OUH11" s="118"/>
      <c r="OUI11" s="118"/>
      <c r="OUJ11" s="118"/>
      <c r="OUK11" s="118"/>
      <c r="OUL11" s="118"/>
      <c r="OUM11" s="118"/>
      <c r="OUN11" s="118"/>
      <c r="OUO11" s="118"/>
      <c r="OUP11" s="118"/>
      <c r="OUQ11" s="118"/>
      <c r="OUR11" s="118"/>
      <c r="OUS11" s="118"/>
      <c r="OUT11" s="118"/>
      <c r="OUU11" s="118"/>
      <c r="OUV11" s="118"/>
      <c r="OUW11" s="118"/>
      <c r="OUX11" s="118"/>
      <c r="OUY11" s="118"/>
      <c r="OUZ11" s="118"/>
      <c r="OVA11" s="118"/>
      <c r="OVB11" s="118"/>
      <c r="OVC11" s="118"/>
      <c r="OVD11" s="118"/>
      <c r="OVE11" s="118"/>
      <c r="OVF11" s="118"/>
      <c r="OVG11" s="118"/>
      <c r="OVH11" s="118"/>
      <c r="OVI11" s="118"/>
      <c r="OVJ11" s="118"/>
      <c r="OVK11" s="118"/>
      <c r="OVL11" s="118"/>
      <c r="OVM11" s="118"/>
      <c r="OVN11" s="118"/>
      <c r="OVO11" s="118"/>
      <c r="OVP11" s="118"/>
      <c r="OVQ11" s="118"/>
      <c r="OVR11" s="118"/>
      <c r="OVS11" s="118"/>
      <c r="OVT11" s="118"/>
      <c r="OVU11" s="118"/>
      <c r="OVV11" s="118"/>
      <c r="OVW11" s="118"/>
      <c r="OVX11" s="118"/>
      <c r="OVY11" s="118"/>
      <c r="OVZ11" s="118"/>
      <c r="OWA11" s="118"/>
      <c r="OWB11" s="118"/>
      <c r="OWC11" s="118"/>
      <c r="OWD11" s="118"/>
      <c r="OWE11" s="118"/>
      <c r="OWF11" s="118"/>
      <c r="OWG11" s="118"/>
      <c r="OWH11" s="118"/>
      <c r="OWI11" s="118"/>
      <c r="OWJ11" s="118"/>
      <c r="OWK11" s="118"/>
      <c r="OWL11" s="118"/>
      <c r="OWM11" s="118"/>
      <c r="OWN11" s="118"/>
      <c r="OWO11" s="118"/>
      <c r="OWP11" s="118"/>
      <c r="OWQ11" s="118"/>
      <c r="OWR11" s="118"/>
      <c r="OWS11" s="118"/>
      <c r="OWT11" s="118"/>
      <c r="OWU11" s="118"/>
      <c r="OWV11" s="118"/>
      <c r="OWW11" s="118"/>
      <c r="OWX11" s="118"/>
      <c r="OWY11" s="118"/>
      <c r="OWZ11" s="118"/>
      <c r="OXA11" s="118"/>
      <c r="OXB11" s="118"/>
      <c r="OXC11" s="118"/>
      <c r="OXD11" s="118"/>
      <c r="OXE11" s="118"/>
      <c r="OXF11" s="118"/>
      <c r="OXG11" s="118"/>
      <c r="OXH11" s="118"/>
      <c r="OXI11" s="118"/>
      <c r="OXJ11" s="118"/>
      <c r="OXK11" s="118"/>
      <c r="OXL11" s="118"/>
      <c r="OXM11" s="118"/>
      <c r="OXN11" s="118"/>
      <c r="OXO11" s="118"/>
      <c r="OXP11" s="118"/>
      <c r="OXQ11" s="118"/>
      <c r="OXR11" s="118"/>
      <c r="OXS11" s="118"/>
      <c r="OXT11" s="118"/>
      <c r="OXU11" s="118"/>
      <c r="OXV11" s="118"/>
      <c r="OXW11" s="118"/>
      <c r="OXX11" s="118"/>
      <c r="OXY11" s="118"/>
      <c r="OXZ11" s="118"/>
      <c r="OYA11" s="118"/>
      <c r="OYB11" s="118"/>
      <c r="OYC11" s="118"/>
      <c r="OYD11" s="118"/>
      <c r="OYE11" s="118"/>
      <c r="OYF11" s="118"/>
      <c r="OYG11" s="118"/>
      <c r="OYH11" s="118"/>
      <c r="OYI11" s="118"/>
      <c r="OYJ11" s="118"/>
      <c r="OYK11" s="118"/>
      <c r="OYL11" s="118"/>
      <c r="OYM11" s="118"/>
      <c r="OYN11" s="118"/>
      <c r="OYO11" s="118"/>
      <c r="OYP11" s="118"/>
      <c r="OYQ11" s="118"/>
      <c r="OYR11" s="118"/>
      <c r="OYS11" s="118"/>
      <c r="OYT11" s="118"/>
      <c r="OYU11" s="118"/>
      <c r="OYV11" s="118"/>
      <c r="OYW11" s="118"/>
      <c r="OYX11" s="118"/>
      <c r="OYY11" s="118"/>
      <c r="OYZ11" s="118"/>
      <c r="OZA11" s="118"/>
      <c r="OZB11" s="118"/>
      <c r="OZC11" s="118"/>
      <c r="OZD11" s="118"/>
      <c r="OZE11" s="118"/>
      <c r="OZF11" s="118"/>
      <c r="OZG11" s="118"/>
      <c r="OZH11" s="118"/>
      <c r="OZI11" s="118"/>
      <c r="OZJ11" s="118"/>
      <c r="OZK11" s="118"/>
      <c r="OZL11" s="118"/>
      <c r="OZM11" s="118"/>
      <c r="OZN11" s="118"/>
      <c r="OZO11" s="118"/>
      <c r="OZP11" s="118"/>
      <c r="OZQ11" s="118"/>
      <c r="OZR11" s="118"/>
      <c r="OZS11" s="118"/>
      <c r="OZT11" s="118"/>
      <c r="OZU11" s="118"/>
      <c r="OZV11" s="118"/>
      <c r="OZW11" s="118"/>
      <c r="OZX11" s="118"/>
      <c r="OZY11" s="118"/>
      <c r="OZZ11" s="118"/>
      <c r="PAA11" s="118"/>
      <c r="PAB11" s="118"/>
      <c r="PAC11" s="118"/>
      <c r="PAD11" s="118"/>
      <c r="PAE11" s="118"/>
      <c r="PAF11" s="118"/>
      <c r="PAG11" s="118"/>
      <c r="PAH11" s="118"/>
      <c r="PAI11" s="118"/>
      <c r="PAJ11" s="118"/>
      <c r="PAK11" s="118"/>
      <c r="PAL11" s="118"/>
      <c r="PAM11" s="118"/>
      <c r="PAN11" s="118"/>
      <c r="PAO11" s="118"/>
      <c r="PAP11" s="118"/>
      <c r="PAQ11" s="118"/>
      <c r="PAR11" s="118"/>
      <c r="PAS11" s="118"/>
      <c r="PAT11" s="118"/>
      <c r="PAU11" s="118"/>
      <c r="PAV11" s="118"/>
      <c r="PAW11" s="118"/>
      <c r="PAX11" s="118"/>
      <c r="PAY11" s="118"/>
      <c r="PAZ11" s="118"/>
      <c r="PBA11" s="118"/>
      <c r="PBB11" s="118"/>
      <c r="PBC11" s="118"/>
      <c r="PBD11" s="118"/>
      <c r="PBE11" s="118"/>
      <c r="PBF11" s="118"/>
      <c r="PBG11" s="118"/>
      <c r="PBH11" s="118"/>
      <c r="PBI11" s="118"/>
      <c r="PBJ11" s="118"/>
      <c r="PBK11" s="118"/>
      <c r="PBL11" s="118"/>
      <c r="PBM11" s="118"/>
      <c r="PBN11" s="118"/>
      <c r="PBO11" s="118"/>
      <c r="PBP11" s="118"/>
      <c r="PBQ11" s="118"/>
      <c r="PBR11" s="118"/>
      <c r="PBS11" s="118"/>
      <c r="PBT11" s="118"/>
      <c r="PBU11" s="118"/>
      <c r="PBV11" s="118"/>
      <c r="PBW11" s="118"/>
      <c r="PBX11" s="118"/>
      <c r="PBY11" s="118"/>
      <c r="PBZ11" s="118"/>
      <c r="PCA11" s="118"/>
      <c r="PCB11" s="118"/>
      <c r="PCC11" s="118"/>
      <c r="PCD11" s="118"/>
      <c r="PCE11" s="118"/>
      <c r="PCF11" s="118"/>
      <c r="PCG11" s="118"/>
      <c r="PCH11" s="118"/>
      <c r="PCI11" s="118"/>
      <c r="PCJ11" s="118"/>
      <c r="PCK11" s="118"/>
      <c r="PCL11" s="118"/>
      <c r="PCM11" s="118"/>
      <c r="PCN11" s="118"/>
      <c r="PCO11" s="118"/>
      <c r="PCP11" s="118"/>
      <c r="PCQ11" s="118"/>
      <c r="PCR11" s="118"/>
      <c r="PCS11" s="118"/>
      <c r="PCT11" s="118"/>
      <c r="PCU11" s="118"/>
      <c r="PCV11" s="118"/>
      <c r="PCW11" s="118"/>
      <c r="PCX11" s="118"/>
      <c r="PCY11" s="118"/>
      <c r="PCZ11" s="118"/>
      <c r="PDA11" s="118"/>
      <c r="PDB11" s="118"/>
      <c r="PDC11" s="118"/>
      <c r="PDD11" s="118"/>
      <c r="PDE11" s="118"/>
      <c r="PDF11" s="118"/>
      <c r="PDG11" s="118"/>
      <c r="PDH11" s="118"/>
      <c r="PDI11" s="118"/>
      <c r="PDJ11" s="118"/>
      <c r="PDK11" s="118"/>
      <c r="PDL11" s="118"/>
      <c r="PDM11" s="118"/>
      <c r="PDN11" s="118"/>
      <c r="PDO11" s="118"/>
      <c r="PDP11" s="118"/>
      <c r="PDQ11" s="118"/>
      <c r="PDR11" s="118"/>
      <c r="PDS11" s="118"/>
      <c r="PDT11" s="118"/>
      <c r="PDU11" s="118"/>
      <c r="PDV11" s="118"/>
      <c r="PDW11" s="118"/>
      <c r="PDX11" s="118"/>
      <c r="PDY11" s="118"/>
      <c r="PDZ11" s="118"/>
      <c r="PEA11" s="118"/>
      <c r="PEB11" s="118"/>
      <c r="PEC11" s="118"/>
      <c r="PED11" s="118"/>
      <c r="PEE11" s="118"/>
      <c r="PEF11" s="118"/>
      <c r="PEG11" s="118"/>
      <c r="PEH11" s="118"/>
      <c r="PEI11" s="118"/>
      <c r="PEJ11" s="118"/>
      <c r="PEK11" s="118"/>
      <c r="PEL11" s="118"/>
      <c r="PEM11" s="118"/>
      <c r="PEN11" s="118"/>
      <c r="PEO11" s="118"/>
      <c r="PEP11" s="118"/>
      <c r="PEQ11" s="118"/>
      <c r="PER11" s="118"/>
      <c r="PES11" s="118"/>
      <c r="PET11" s="118"/>
      <c r="PEU11" s="118"/>
      <c r="PEV11" s="118"/>
      <c r="PEW11" s="118"/>
      <c r="PEX11" s="118"/>
      <c r="PEY11" s="118"/>
      <c r="PEZ11" s="118"/>
      <c r="PFA11" s="118"/>
      <c r="PFB11" s="118"/>
      <c r="PFC11" s="118"/>
      <c r="PFD11" s="118"/>
      <c r="PFE11" s="118"/>
      <c r="PFF11" s="118"/>
      <c r="PFG11" s="118"/>
      <c r="PFH11" s="118"/>
      <c r="PFI11" s="118"/>
      <c r="PFJ11" s="118"/>
      <c r="PFK11" s="118"/>
      <c r="PFL11" s="118"/>
      <c r="PFM11" s="118"/>
      <c r="PFN11" s="118"/>
      <c r="PFO11" s="118"/>
      <c r="PFP11" s="118"/>
      <c r="PFQ11" s="118"/>
      <c r="PFR11" s="118"/>
      <c r="PFS11" s="118"/>
      <c r="PFT11" s="118"/>
      <c r="PFU11" s="118"/>
      <c r="PFV11" s="118"/>
      <c r="PFW11" s="118"/>
      <c r="PFX11" s="118"/>
      <c r="PFY11" s="118"/>
      <c r="PFZ11" s="118"/>
      <c r="PGA11" s="118"/>
      <c r="PGB11" s="118"/>
      <c r="PGC11" s="118"/>
      <c r="PGD11" s="118"/>
      <c r="PGE11" s="118"/>
      <c r="PGF11" s="118"/>
      <c r="PGG11" s="118"/>
      <c r="PGH11" s="118"/>
      <c r="PGI11" s="118"/>
      <c r="PGJ11" s="118"/>
      <c r="PGK11" s="118"/>
      <c r="PGL11" s="118"/>
      <c r="PGM11" s="118"/>
      <c r="PGN11" s="118"/>
      <c r="PGO11" s="118"/>
      <c r="PGP11" s="118"/>
      <c r="PGQ11" s="118"/>
      <c r="PGR11" s="118"/>
      <c r="PGS11" s="118"/>
      <c r="PGT11" s="118"/>
      <c r="PGU11" s="118"/>
      <c r="PGV11" s="118"/>
      <c r="PGW11" s="118"/>
      <c r="PGX11" s="118"/>
      <c r="PGY11" s="118"/>
      <c r="PGZ11" s="118"/>
      <c r="PHA11" s="118"/>
      <c r="PHB11" s="118"/>
      <c r="PHC11" s="118"/>
      <c r="PHD11" s="118"/>
      <c r="PHE11" s="118"/>
      <c r="PHF11" s="118"/>
      <c r="PHG11" s="118"/>
      <c r="PHH11" s="118"/>
      <c r="PHI11" s="118"/>
      <c r="PHJ11" s="118"/>
      <c r="PHK11" s="118"/>
      <c r="PHL11" s="118"/>
      <c r="PHM11" s="118"/>
      <c r="PHN11" s="118"/>
      <c r="PHO11" s="118"/>
      <c r="PHP11" s="118"/>
      <c r="PHQ11" s="118"/>
      <c r="PHR11" s="118"/>
      <c r="PHS11" s="118"/>
      <c r="PHT11" s="118"/>
      <c r="PHU11" s="118"/>
      <c r="PHV11" s="118"/>
      <c r="PHW11" s="118"/>
      <c r="PHX11" s="118"/>
      <c r="PHY11" s="118"/>
      <c r="PHZ11" s="118"/>
      <c r="PIA11" s="118"/>
      <c r="PIB11" s="118"/>
      <c r="PIC11" s="118"/>
      <c r="PID11" s="118"/>
      <c r="PIE11" s="118"/>
      <c r="PIF11" s="118"/>
      <c r="PIG11" s="118"/>
      <c r="PIH11" s="118"/>
      <c r="PII11" s="118"/>
      <c r="PIJ11" s="118"/>
      <c r="PIK11" s="118"/>
      <c r="PIL11" s="118"/>
      <c r="PIM11" s="118"/>
      <c r="PIN11" s="118"/>
      <c r="PIO11" s="118"/>
      <c r="PIP11" s="118"/>
      <c r="PIQ11" s="118"/>
      <c r="PIR11" s="118"/>
      <c r="PIS11" s="118"/>
      <c r="PIT11" s="118"/>
      <c r="PIU11" s="118"/>
      <c r="PIV11" s="118"/>
      <c r="PIW11" s="118"/>
      <c r="PIX11" s="118"/>
      <c r="PIY11" s="118"/>
      <c r="PIZ11" s="118"/>
      <c r="PJA11" s="118"/>
      <c r="PJB11" s="118"/>
      <c r="PJC11" s="118"/>
      <c r="PJD11" s="118"/>
      <c r="PJE11" s="118"/>
      <c r="PJF11" s="118"/>
      <c r="PJG11" s="118"/>
      <c r="PJH11" s="118"/>
      <c r="PJI11" s="118"/>
      <c r="PJJ11" s="118"/>
      <c r="PJK11" s="118"/>
      <c r="PJL11" s="118"/>
      <c r="PJM11" s="118"/>
      <c r="PJN11" s="118"/>
      <c r="PJO11" s="118"/>
      <c r="PJP11" s="118"/>
      <c r="PJQ11" s="118"/>
      <c r="PJR11" s="118"/>
      <c r="PJS11" s="118"/>
      <c r="PJT11" s="118"/>
      <c r="PJU11" s="118"/>
      <c r="PJV11" s="118"/>
      <c r="PJW11" s="118"/>
      <c r="PJX11" s="118"/>
      <c r="PJY11" s="118"/>
      <c r="PJZ11" s="118"/>
      <c r="PKA11" s="118"/>
      <c r="PKB11" s="118"/>
      <c r="PKC11" s="118"/>
      <c r="PKD11" s="118"/>
      <c r="PKE11" s="118"/>
      <c r="PKF11" s="118"/>
      <c r="PKG11" s="118"/>
      <c r="PKH11" s="118"/>
      <c r="PKI11" s="118"/>
      <c r="PKJ11" s="118"/>
      <c r="PKK11" s="118"/>
      <c r="PKL11" s="118"/>
      <c r="PKM11" s="118"/>
      <c r="PKN11" s="118"/>
      <c r="PKO11" s="118"/>
      <c r="PKP11" s="118"/>
      <c r="PKQ11" s="118"/>
      <c r="PKR11" s="118"/>
      <c r="PKS11" s="118"/>
      <c r="PKT11" s="118"/>
      <c r="PKU11" s="118"/>
      <c r="PKV11" s="118"/>
      <c r="PKW11" s="118"/>
      <c r="PKX11" s="118"/>
      <c r="PKY11" s="118"/>
      <c r="PKZ11" s="118"/>
      <c r="PLA11" s="118"/>
      <c r="PLB11" s="118"/>
      <c r="PLC11" s="118"/>
      <c r="PLD11" s="118"/>
      <c r="PLE11" s="118"/>
      <c r="PLF11" s="118"/>
      <c r="PLG11" s="118"/>
      <c r="PLH11" s="118"/>
      <c r="PLI11" s="118"/>
      <c r="PLJ11" s="118"/>
      <c r="PLK11" s="118"/>
      <c r="PLL11" s="118"/>
      <c r="PLM11" s="118"/>
      <c r="PLN11" s="118"/>
      <c r="PLO11" s="118"/>
      <c r="PLP11" s="118"/>
      <c r="PLQ11" s="118"/>
      <c r="PLR11" s="118"/>
      <c r="PLS11" s="118"/>
      <c r="PLT11" s="118"/>
      <c r="PLU11" s="118"/>
      <c r="PLV11" s="118"/>
      <c r="PLW11" s="118"/>
      <c r="PLX11" s="118"/>
      <c r="PLY11" s="118"/>
      <c r="PLZ11" s="118"/>
      <c r="PMA11" s="118"/>
      <c r="PMB11" s="118"/>
      <c r="PMC11" s="118"/>
      <c r="PMD11" s="118"/>
      <c r="PME11" s="118"/>
      <c r="PMF11" s="118"/>
      <c r="PMG11" s="118"/>
      <c r="PMH11" s="118"/>
      <c r="PMI11" s="118"/>
      <c r="PMJ11" s="118"/>
      <c r="PMK11" s="118"/>
      <c r="PML11" s="118"/>
      <c r="PMM11" s="118"/>
      <c r="PMN11" s="118"/>
      <c r="PMO11" s="118"/>
      <c r="PMP11" s="118"/>
      <c r="PMQ11" s="118"/>
      <c r="PMR11" s="118"/>
      <c r="PMS11" s="118"/>
      <c r="PMT11" s="118"/>
      <c r="PMU11" s="118"/>
      <c r="PMV11" s="118"/>
      <c r="PMW11" s="118"/>
      <c r="PMX11" s="118"/>
      <c r="PMY11" s="118"/>
      <c r="PMZ11" s="118"/>
      <c r="PNA11" s="118"/>
      <c r="PNB11" s="118"/>
      <c r="PNC11" s="118"/>
      <c r="PND11" s="118"/>
      <c r="PNE11" s="118"/>
      <c r="PNF11" s="118"/>
      <c r="PNG11" s="118"/>
      <c r="PNH11" s="118"/>
      <c r="PNI11" s="118"/>
      <c r="PNJ11" s="118"/>
      <c r="PNK11" s="118"/>
      <c r="PNL11" s="118"/>
      <c r="PNM11" s="118"/>
      <c r="PNN11" s="118"/>
      <c r="PNO11" s="118"/>
      <c r="PNP11" s="118"/>
      <c r="PNQ11" s="118"/>
      <c r="PNR11" s="118"/>
      <c r="PNS11" s="118"/>
      <c r="PNT11" s="118"/>
      <c r="PNU11" s="118"/>
      <c r="PNV11" s="118"/>
      <c r="PNW11" s="118"/>
      <c r="PNX11" s="118"/>
      <c r="PNY11" s="118"/>
      <c r="PNZ11" s="118"/>
      <c r="POA11" s="118"/>
      <c r="POB11" s="118"/>
      <c r="POC11" s="118"/>
      <c r="POD11" s="118"/>
      <c r="POE11" s="118"/>
      <c r="POF11" s="118"/>
      <c r="POG11" s="118"/>
      <c r="POH11" s="118"/>
      <c r="POI11" s="118"/>
      <c r="POJ11" s="118"/>
      <c r="POK11" s="118"/>
      <c r="POL11" s="118"/>
      <c r="POM11" s="118"/>
      <c r="PON11" s="118"/>
      <c r="POO11" s="118"/>
      <c r="POP11" s="118"/>
      <c r="POQ11" s="118"/>
      <c r="POR11" s="118"/>
      <c r="POS11" s="118"/>
      <c r="POT11" s="118"/>
      <c r="POU11" s="118"/>
      <c r="POV11" s="118"/>
      <c r="POW11" s="118"/>
      <c r="POX11" s="118"/>
      <c r="POY11" s="118"/>
      <c r="POZ11" s="118"/>
      <c r="PPA11" s="118"/>
      <c r="PPB11" s="118"/>
      <c r="PPC11" s="118"/>
      <c r="PPD11" s="118"/>
      <c r="PPE11" s="118"/>
      <c r="PPF11" s="118"/>
      <c r="PPG11" s="118"/>
      <c r="PPH11" s="118"/>
      <c r="PPI11" s="118"/>
      <c r="PPJ11" s="118"/>
      <c r="PPK11" s="118"/>
      <c r="PPL11" s="118"/>
      <c r="PPM11" s="118"/>
      <c r="PPN11" s="118"/>
      <c r="PPO11" s="118"/>
      <c r="PPP11" s="118"/>
      <c r="PPQ11" s="118"/>
      <c r="PPR11" s="118"/>
      <c r="PPS11" s="118"/>
      <c r="PPT11" s="118"/>
      <c r="PPU11" s="118"/>
      <c r="PPV11" s="118"/>
      <c r="PPW11" s="118"/>
      <c r="PPX11" s="118"/>
      <c r="PPY11" s="118"/>
      <c r="PPZ11" s="118"/>
      <c r="PQA11" s="118"/>
      <c r="PQB11" s="118"/>
      <c r="PQC11" s="118"/>
      <c r="PQD11" s="118"/>
      <c r="PQE11" s="118"/>
      <c r="PQF11" s="118"/>
      <c r="PQG11" s="118"/>
      <c r="PQH11" s="118"/>
      <c r="PQI11" s="118"/>
      <c r="PQJ11" s="118"/>
      <c r="PQK11" s="118"/>
      <c r="PQL11" s="118"/>
      <c r="PQM11" s="118"/>
      <c r="PQN11" s="118"/>
      <c r="PQO11" s="118"/>
      <c r="PQP11" s="118"/>
      <c r="PQQ11" s="118"/>
      <c r="PQR11" s="118"/>
      <c r="PQS11" s="118"/>
      <c r="PQT11" s="118"/>
      <c r="PQU11" s="118"/>
      <c r="PQV11" s="118"/>
      <c r="PQW11" s="118"/>
      <c r="PQX11" s="118"/>
      <c r="PQY11" s="118"/>
      <c r="PQZ11" s="118"/>
      <c r="PRA11" s="118"/>
      <c r="PRB11" s="118"/>
      <c r="PRC11" s="118"/>
      <c r="PRD11" s="118"/>
      <c r="PRE11" s="118"/>
      <c r="PRF11" s="118"/>
      <c r="PRG11" s="118"/>
      <c r="PRH11" s="118"/>
      <c r="PRI11" s="118"/>
      <c r="PRJ11" s="118"/>
      <c r="PRK11" s="118"/>
      <c r="PRL11" s="118"/>
      <c r="PRM11" s="118"/>
      <c r="PRN11" s="118"/>
      <c r="PRO11" s="118"/>
      <c r="PRP11" s="118"/>
      <c r="PRQ11" s="118"/>
      <c r="PRR11" s="118"/>
      <c r="PRS11" s="118"/>
      <c r="PRT11" s="118"/>
      <c r="PRU11" s="118"/>
      <c r="PRV11" s="118"/>
      <c r="PRW11" s="118"/>
      <c r="PRX11" s="118"/>
      <c r="PRY11" s="118"/>
      <c r="PRZ11" s="118"/>
      <c r="PSA11" s="118"/>
      <c r="PSB11" s="118"/>
      <c r="PSC11" s="118"/>
      <c r="PSD11" s="118"/>
      <c r="PSE11" s="118"/>
      <c r="PSF11" s="118"/>
      <c r="PSG11" s="118"/>
      <c r="PSH11" s="118"/>
      <c r="PSI11" s="118"/>
      <c r="PSJ11" s="118"/>
      <c r="PSK11" s="118"/>
      <c r="PSL11" s="118"/>
      <c r="PSM11" s="118"/>
      <c r="PSN11" s="118"/>
      <c r="PSO11" s="118"/>
      <c r="PSP11" s="118"/>
      <c r="PSQ11" s="118"/>
      <c r="PSR11" s="118"/>
      <c r="PSS11" s="118"/>
      <c r="PST11" s="118"/>
      <c r="PSU11" s="118"/>
      <c r="PSV11" s="118"/>
      <c r="PSW11" s="118"/>
      <c r="PSX11" s="118"/>
      <c r="PSY11" s="118"/>
      <c r="PSZ11" s="118"/>
      <c r="PTA11" s="118"/>
      <c r="PTB11" s="118"/>
      <c r="PTC11" s="118"/>
      <c r="PTD11" s="118"/>
      <c r="PTE11" s="118"/>
      <c r="PTF11" s="118"/>
      <c r="PTG11" s="118"/>
      <c r="PTH11" s="118"/>
      <c r="PTI11" s="118"/>
      <c r="PTJ11" s="118"/>
      <c r="PTK11" s="118"/>
      <c r="PTL11" s="118"/>
      <c r="PTM11" s="118"/>
      <c r="PTN11" s="118"/>
      <c r="PTO11" s="118"/>
      <c r="PTP11" s="118"/>
      <c r="PTQ11" s="118"/>
      <c r="PTR11" s="118"/>
      <c r="PTS11" s="118"/>
      <c r="PTT11" s="118"/>
      <c r="PTU11" s="118"/>
      <c r="PTV11" s="118"/>
      <c r="PTW11" s="118"/>
      <c r="PTX11" s="118"/>
      <c r="PTY11" s="118"/>
      <c r="PTZ11" s="118"/>
      <c r="PUA11" s="118"/>
      <c r="PUB11" s="118"/>
      <c r="PUC11" s="118"/>
      <c r="PUD11" s="118"/>
      <c r="PUE11" s="118"/>
      <c r="PUF11" s="118"/>
      <c r="PUG11" s="118"/>
      <c r="PUH11" s="118"/>
      <c r="PUI11" s="118"/>
      <c r="PUJ11" s="118"/>
      <c r="PUK11" s="118"/>
      <c r="PUL11" s="118"/>
      <c r="PUM11" s="118"/>
      <c r="PUN11" s="118"/>
      <c r="PUO11" s="118"/>
      <c r="PUP11" s="118"/>
      <c r="PUQ11" s="118"/>
      <c r="PUR11" s="118"/>
      <c r="PUS11" s="118"/>
      <c r="PUT11" s="118"/>
      <c r="PUU11" s="118"/>
      <c r="PUV11" s="118"/>
      <c r="PUW11" s="118"/>
      <c r="PUX11" s="118"/>
      <c r="PUY11" s="118"/>
      <c r="PUZ11" s="118"/>
      <c r="PVA11" s="118"/>
      <c r="PVB11" s="118"/>
      <c r="PVC11" s="118"/>
      <c r="PVD11" s="118"/>
      <c r="PVE11" s="118"/>
      <c r="PVF11" s="118"/>
      <c r="PVG11" s="118"/>
      <c r="PVH11" s="118"/>
      <c r="PVI11" s="118"/>
      <c r="PVJ11" s="118"/>
      <c r="PVK11" s="118"/>
      <c r="PVL11" s="118"/>
      <c r="PVM11" s="118"/>
      <c r="PVN11" s="118"/>
      <c r="PVO11" s="118"/>
      <c r="PVP11" s="118"/>
      <c r="PVQ11" s="118"/>
      <c r="PVR11" s="118"/>
      <c r="PVS11" s="118"/>
      <c r="PVT11" s="118"/>
      <c r="PVU11" s="118"/>
      <c r="PVV11" s="118"/>
      <c r="PVW11" s="118"/>
      <c r="PVX11" s="118"/>
      <c r="PVY11" s="118"/>
      <c r="PVZ11" s="118"/>
      <c r="PWA11" s="118"/>
      <c r="PWB11" s="118"/>
      <c r="PWC11" s="118"/>
      <c r="PWD11" s="118"/>
      <c r="PWE11" s="118"/>
      <c r="PWF11" s="118"/>
      <c r="PWG11" s="118"/>
      <c r="PWH11" s="118"/>
      <c r="PWI11" s="118"/>
      <c r="PWJ11" s="118"/>
      <c r="PWK11" s="118"/>
      <c r="PWL11" s="118"/>
      <c r="PWM11" s="118"/>
      <c r="PWN11" s="118"/>
      <c r="PWO11" s="118"/>
      <c r="PWP11" s="118"/>
      <c r="PWQ11" s="118"/>
      <c r="PWR11" s="118"/>
      <c r="PWS11" s="118"/>
      <c r="PWT11" s="118"/>
      <c r="PWU11" s="118"/>
      <c r="PWV11" s="118"/>
      <c r="PWW11" s="118"/>
      <c r="PWX11" s="118"/>
      <c r="PWY11" s="118"/>
      <c r="PWZ11" s="118"/>
      <c r="PXA11" s="118"/>
      <c r="PXB11" s="118"/>
      <c r="PXC11" s="118"/>
      <c r="PXD11" s="118"/>
      <c r="PXE11" s="118"/>
      <c r="PXF11" s="118"/>
      <c r="PXG11" s="118"/>
      <c r="PXH11" s="118"/>
      <c r="PXI11" s="118"/>
      <c r="PXJ11" s="118"/>
      <c r="PXK11" s="118"/>
      <c r="PXL11" s="118"/>
      <c r="PXM11" s="118"/>
      <c r="PXN11" s="118"/>
      <c r="PXO11" s="118"/>
      <c r="PXP11" s="118"/>
      <c r="PXQ11" s="118"/>
      <c r="PXR11" s="118"/>
      <c r="PXS11" s="118"/>
      <c r="PXT11" s="118"/>
      <c r="PXU11" s="118"/>
      <c r="PXV11" s="118"/>
      <c r="PXW11" s="118"/>
      <c r="PXX11" s="118"/>
      <c r="PXY11" s="118"/>
      <c r="PXZ11" s="118"/>
      <c r="PYA11" s="118"/>
      <c r="PYB11" s="118"/>
      <c r="PYC11" s="118"/>
      <c r="PYD11" s="118"/>
      <c r="PYE11" s="118"/>
      <c r="PYF11" s="118"/>
      <c r="PYG11" s="118"/>
      <c r="PYH11" s="118"/>
      <c r="PYI11" s="118"/>
      <c r="PYJ11" s="118"/>
      <c r="PYK11" s="118"/>
      <c r="PYL11" s="118"/>
      <c r="PYM11" s="118"/>
      <c r="PYN11" s="118"/>
      <c r="PYO11" s="118"/>
      <c r="PYP11" s="118"/>
      <c r="PYQ11" s="118"/>
      <c r="PYR11" s="118"/>
      <c r="PYS11" s="118"/>
      <c r="PYT11" s="118"/>
      <c r="PYU11" s="118"/>
      <c r="PYV11" s="118"/>
      <c r="PYW11" s="118"/>
      <c r="PYX11" s="118"/>
      <c r="PYY11" s="118"/>
      <c r="PYZ11" s="118"/>
      <c r="PZA11" s="118"/>
      <c r="PZB11" s="118"/>
      <c r="PZC11" s="118"/>
      <c r="PZD11" s="118"/>
      <c r="PZE11" s="118"/>
      <c r="PZF11" s="118"/>
      <c r="PZG11" s="118"/>
      <c r="PZH11" s="118"/>
      <c r="PZI11" s="118"/>
      <c r="PZJ11" s="118"/>
      <c r="PZK11" s="118"/>
      <c r="PZL11" s="118"/>
      <c r="PZM11" s="118"/>
      <c r="PZN11" s="118"/>
      <c r="PZO11" s="118"/>
      <c r="PZP11" s="118"/>
      <c r="PZQ11" s="118"/>
      <c r="PZR11" s="118"/>
      <c r="PZS11" s="118"/>
      <c r="PZT11" s="118"/>
      <c r="PZU11" s="118"/>
      <c r="PZV11" s="118"/>
      <c r="PZW11" s="118"/>
      <c r="PZX11" s="118"/>
      <c r="PZY11" s="118"/>
      <c r="PZZ11" s="118"/>
      <c r="QAA11" s="118"/>
      <c r="QAB11" s="118"/>
      <c r="QAC11" s="118"/>
      <c r="QAD11" s="118"/>
      <c r="QAE11" s="118"/>
      <c r="QAF11" s="118"/>
      <c r="QAG11" s="118"/>
      <c r="QAH11" s="118"/>
      <c r="QAI11" s="118"/>
      <c r="QAJ11" s="118"/>
      <c r="QAK11" s="118"/>
      <c r="QAL11" s="118"/>
      <c r="QAM11" s="118"/>
      <c r="QAN11" s="118"/>
      <c r="QAO11" s="118"/>
      <c r="QAP11" s="118"/>
      <c r="QAQ11" s="118"/>
      <c r="QAR11" s="118"/>
      <c r="QAS11" s="118"/>
      <c r="QAT11" s="118"/>
      <c r="QAU11" s="118"/>
      <c r="QAV11" s="118"/>
      <c r="QAW11" s="118"/>
      <c r="QAX11" s="118"/>
      <c r="QAY11" s="118"/>
      <c r="QAZ11" s="118"/>
      <c r="QBA11" s="118"/>
      <c r="QBB11" s="118"/>
      <c r="QBC11" s="118"/>
      <c r="QBD11" s="118"/>
      <c r="QBE11" s="118"/>
      <c r="QBF11" s="118"/>
      <c r="QBG11" s="118"/>
      <c r="QBH11" s="118"/>
      <c r="QBI11" s="118"/>
      <c r="QBJ11" s="118"/>
      <c r="QBK11" s="118"/>
      <c r="QBL11" s="118"/>
      <c r="QBM11" s="118"/>
      <c r="QBN11" s="118"/>
      <c r="QBO11" s="118"/>
      <c r="QBP11" s="118"/>
      <c r="QBQ11" s="118"/>
      <c r="QBR11" s="118"/>
      <c r="QBS11" s="118"/>
      <c r="QBT11" s="118"/>
      <c r="QBU11" s="118"/>
      <c r="QBV11" s="118"/>
      <c r="QBW11" s="118"/>
      <c r="QBX11" s="118"/>
      <c r="QBY11" s="118"/>
      <c r="QBZ11" s="118"/>
      <c r="QCA11" s="118"/>
      <c r="QCB11" s="118"/>
      <c r="QCC11" s="118"/>
      <c r="QCD11" s="118"/>
      <c r="QCE11" s="118"/>
      <c r="QCF11" s="118"/>
      <c r="QCG11" s="118"/>
      <c r="QCH11" s="118"/>
      <c r="QCI11" s="118"/>
      <c r="QCJ11" s="118"/>
      <c r="QCK11" s="118"/>
      <c r="QCL11" s="118"/>
      <c r="QCM11" s="118"/>
      <c r="QCN11" s="118"/>
      <c r="QCO11" s="118"/>
      <c r="QCP11" s="118"/>
      <c r="QCQ11" s="118"/>
      <c r="QCR11" s="118"/>
      <c r="QCS11" s="118"/>
      <c r="QCT11" s="118"/>
      <c r="QCU11" s="118"/>
      <c r="QCV11" s="118"/>
      <c r="QCW11" s="118"/>
      <c r="QCX11" s="118"/>
      <c r="QCY11" s="118"/>
      <c r="QCZ11" s="118"/>
      <c r="QDA11" s="118"/>
      <c r="QDB11" s="118"/>
      <c r="QDC11" s="118"/>
      <c r="QDD11" s="118"/>
      <c r="QDE11" s="118"/>
      <c r="QDF11" s="118"/>
      <c r="QDG11" s="118"/>
      <c r="QDH11" s="118"/>
      <c r="QDI11" s="118"/>
      <c r="QDJ11" s="118"/>
      <c r="QDK11" s="118"/>
      <c r="QDL11" s="118"/>
      <c r="QDM11" s="118"/>
      <c r="QDN11" s="118"/>
      <c r="QDO11" s="118"/>
      <c r="QDP11" s="118"/>
      <c r="QDQ11" s="118"/>
      <c r="QDR11" s="118"/>
      <c r="QDS11" s="118"/>
      <c r="QDT11" s="118"/>
      <c r="QDU11" s="118"/>
      <c r="QDV11" s="118"/>
      <c r="QDW11" s="118"/>
      <c r="QDX11" s="118"/>
      <c r="QDY11" s="118"/>
      <c r="QDZ11" s="118"/>
      <c r="QEA11" s="118"/>
      <c r="QEB11" s="118"/>
      <c r="QEC11" s="118"/>
      <c r="QED11" s="118"/>
      <c r="QEE11" s="118"/>
      <c r="QEF11" s="118"/>
      <c r="QEG11" s="118"/>
      <c r="QEH11" s="118"/>
      <c r="QEI11" s="118"/>
      <c r="QEJ11" s="118"/>
      <c r="QEK11" s="118"/>
      <c r="QEL11" s="118"/>
      <c r="QEM11" s="118"/>
      <c r="QEN11" s="118"/>
      <c r="QEO11" s="118"/>
      <c r="QEP11" s="118"/>
      <c r="QEQ11" s="118"/>
      <c r="QER11" s="118"/>
      <c r="QES11" s="118"/>
      <c r="QET11" s="118"/>
      <c r="QEU11" s="118"/>
      <c r="QEV11" s="118"/>
      <c r="QEW11" s="118"/>
      <c r="QEX11" s="118"/>
      <c r="QEY11" s="118"/>
      <c r="QEZ11" s="118"/>
      <c r="QFA11" s="118"/>
      <c r="QFB11" s="118"/>
      <c r="QFC11" s="118"/>
      <c r="QFD11" s="118"/>
      <c r="QFE11" s="118"/>
      <c r="QFF11" s="118"/>
      <c r="QFG11" s="118"/>
      <c r="QFH11" s="118"/>
      <c r="QFI11" s="118"/>
      <c r="QFJ11" s="118"/>
      <c r="QFK11" s="118"/>
      <c r="QFL11" s="118"/>
      <c r="QFM11" s="118"/>
      <c r="QFN11" s="118"/>
      <c r="QFO11" s="118"/>
      <c r="QFP11" s="118"/>
      <c r="QFQ11" s="118"/>
      <c r="QFR11" s="118"/>
      <c r="QFS11" s="118"/>
      <c r="QFT11" s="118"/>
      <c r="QFU11" s="118"/>
      <c r="QFV11" s="118"/>
      <c r="QFW11" s="118"/>
      <c r="QFX11" s="118"/>
      <c r="QFY11" s="118"/>
      <c r="QFZ11" s="118"/>
      <c r="QGA11" s="118"/>
      <c r="QGB11" s="118"/>
      <c r="QGC11" s="118"/>
      <c r="QGD11" s="118"/>
      <c r="QGE11" s="118"/>
      <c r="QGF11" s="118"/>
      <c r="QGG11" s="118"/>
      <c r="QGH11" s="118"/>
      <c r="QGI11" s="118"/>
      <c r="QGJ11" s="118"/>
      <c r="QGK11" s="118"/>
      <c r="QGL11" s="118"/>
      <c r="QGM11" s="118"/>
      <c r="QGN11" s="118"/>
      <c r="QGO11" s="118"/>
      <c r="QGP11" s="118"/>
      <c r="QGQ11" s="118"/>
      <c r="QGR11" s="118"/>
      <c r="QGS11" s="118"/>
      <c r="QGT11" s="118"/>
      <c r="QGU11" s="118"/>
      <c r="QGV11" s="118"/>
      <c r="QGW11" s="118"/>
      <c r="QGX11" s="118"/>
      <c r="QGY11" s="118"/>
      <c r="QGZ11" s="118"/>
      <c r="QHA11" s="118"/>
      <c r="QHB11" s="118"/>
      <c r="QHC11" s="118"/>
      <c r="QHD11" s="118"/>
      <c r="QHE11" s="118"/>
      <c r="QHF11" s="118"/>
      <c r="QHG11" s="118"/>
      <c r="QHH11" s="118"/>
      <c r="QHI11" s="118"/>
      <c r="QHJ11" s="118"/>
      <c r="QHK11" s="118"/>
      <c r="QHL11" s="118"/>
      <c r="QHM11" s="118"/>
      <c r="QHN11" s="118"/>
      <c r="QHO11" s="118"/>
      <c r="QHP11" s="118"/>
      <c r="QHQ11" s="118"/>
      <c r="QHR11" s="118"/>
      <c r="QHS11" s="118"/>
      <c r="QHT11" s="118"/>
      <c r="QHU11" s="118"/>
      <c r="QHV11" s="118"/>
      <c r="QHW11" s="118"/>
      <c r="QHX11" s="118"/>
      <c r="QHY11" s="118"/>
      <c r="QHZ11" s="118"/>
      <c r="QIA11" s="118"/>
      <c r="QIB11" s="118"/>
      <c r="QIC11" s="118"/>
      <c r="QID11" s="118"/>
      <c r="QIE11" s="118"/>
      <c r="QIF11" s="118"/>
      <c r="QIG11" s="118"/>
      <c r="QIH11" s="118"/>
      <c r="QII11" s="118"/>
      <c r="QIJ11" s="118"/>
      <c r="QIK11" s="118"/>
      <c r="QIL11" s="118"/>
      <c r="QIM11" s="118"/>
      <c r="QIN11" s="118"/>
      <c r="QIO11" s="118"/>
      <c r="QIP11" s="118"/>
      <c r="QIQ11" s="118"/>
      <c r="QIR11" s="118"/>
      <c r="QIS11" s="118"/>
      <c r="QIT11" s="118"/>
      <c r="QIU11" s="118"/>
      <c r="QIV11" s="118"/>
      <c r="QIW11" s="118"/>
      <c r="QIX11" s="118"/>
      <c r="QIY11" s="118"/>
      <c r="QIZ11" s="118"/>
      <c r="QJA11" s="118"/>
      <c r="QJB11" s="118"/>
      <c r="QJC11" s="118"/>
      <c r="QJD11" s="118"/>
      <c r="QJE11" s="118"/>
      <c r="QJF11" s="118"/>
      <c r="QJG11" s="118"/>
      <c r="QJH11" s="118"/>
      <c r="QJI11" s="118"/>
      <c r="QJJ11" s="118"/>
      <c r="QJK11" s="118"/>
      <c r="QJL11" s="118"/>
      <c r="QJM11" s="118"/>
      <c r="QJN11" s="118"/>
      <c r="QJO11" s="118"/>
      <c r="QJP11" s="118"/>
      <c r="QJQ11" s="118"/>
      <c r="QJR11" s="118"/>
      <c r="QJS11" s="118"/>
      <c r="QJT11" s="118"/>
      <c r="QJU11" s="118"/>
      <c r="QJV11" s="118"/>
      <c r="QJW11" s="118"/>
      <c r="QJX11" s="118"/>
      <c r="QJY11" s="118"/>
      <c r="QJZ11" s="118"/>
      <c r="QKA11" s="118"/>
      <c r="QKB11" s="118"/>
      <c r="QKC11" s="118"/>
      <c r="QKD11" s="118"/>
      <c r="QKE11" s="118"/>
      <c r="QKF11" s="118"/>
      <c r="QKG11" s="118"/>
      <c r="QKH11" s="118"/>
      <c r="QKI11" s="118"/>
      <c r="QKJ11" s="118"/>
      <c r="QKK11" s="118"/>
      <c r="QKL11" s="118"/>
      <c r="QKM11" s="118"/>
      <c r="QKN11" s="118"/>
      <c r="QKO11" s="118"/>
      <c r="QKP11" s="118"/>
      <c r="QKQ11" s="118"/>
      <c r="QKR11" s="118"/>
      <c r="QKS11" s="118"/>
      <c r="QKT11" s="118"/>
      <c r="QKU11" s="118"/>
      <c r="QKV11" s="118"/>
      <c r="QKW11" s="118"/>
      <c r="QKX11" s="118"/>
      <c r="QKY11" s="118"/>
      <c r="QKZ11" s="118"/>
      <c r="QLA11" s="118"/>
      <c r="QLB11" s="118"/>
      <c r="QLC11" s="118"/>
      <c r="QLD11" s="118"/>
      <c r="QLE11" s="118"/>
      <c r="QLF11" s="118"/>
      <c r="QLG11" s="118"/>
      <c r="QLH11" s="118"/>
      <c r="QLI11" s="118"/>
      <c r="QLJ11" s="118"/>
      <c r="QLK11" s="118"/>
      <c r="QLL11" s="118"/>
      <c r="QLM11" s="118"/>
      <c r="QLN11" s="118"/>
      <c r="QLO11" s="118"/>
      <c r="QLP11" s="118"/>
      <c r="QLQ11" s="118"/>
      <c r="QLR11" s="118"/>
      <c r="QLS11" s="118"/>
      <c r="QLT11" s="118"/>
      <c r="QLU11" s="118"/>
      <c r="QLV11" s="118"/>
      <c r="QLW11" s="118"/>
      <c r="QLX11" s="118"/>
      <c r="QLY11" s="118"/>
      <c r="QLZ11" s="118"/>
      <c r="QMA11" s="118"/>
      <c r="QMB11" s="118"/>
      <c r="QMC11" s="118"/>
      <c r="QMD11" s="118"/>
      <c r="QME11" s="118"/>
      <c r="QMF11" s="118"/>
      <c r="QMG11" s="118"/>
      <c r="QMH11" s="118"/>
      <c r="QMI11" s="118"/>
      <c r="QMJ11" s="118"/>
      <c r="QMK11" s="118"/>
      <c r="QML11" s="118"/>
      <c r="QMM11" s="118"/>
      <c r="QMN11" s="118"/>
      <c r="QMO11" s="118"/>
      <c r="QMP11" s="118"/>
      <c r="QMQ11" s="118"/>
      <c r="QMR11" s="118"/>
      <c r="QMS11" s="118"/>
      <c r="QMT11" s="118"/>
      <c r="QMU11" s="118"/>
      <c r="QMV11" s="118"/>
      <c r="QMW11" s="118"/>
      <c r="QMX11" s="118"/>
      <c r="QMY11" s="118"/>
      <c r="QMZ11" s="118"/>
      <c r="QNA11" s="118"/>
      <c r="QNB11" s="118"/>
      <c r="QNC11" s="118"/>
      <c r="QND11" s="118"/>
      <c r="QNE11" s="118"/>
      <c r="QNF11" s="118"/>
      <c r="QNG11" s="118"/>
      <c r="QNH11" s="118"/>
      <c r="QNI11" s="118"/>
      <c r="QNJ11" s="118"/>
      <c r="QNK11" s="118"/>
      <c r="QNL11" s="118"/>
      <c r="QNM11" s="118"/>
      <c r="QNN11" s="118"/>
      <c r="QNO11" s="118"/>
      <c r="QNP11" s="118"/>
      <c r="QNQ11" s="118"/>
      <c r="QNR11" s="118"/>
      <c r="QNS11" s="118"/>
      <c r="QNT11" s="118"/>
      <c r="QNU11" s="118"/>
      <c r="QNV11" s="118"/>
      <c r="QNW11" s="118"/>
      <c r="QNX11" s="118"/>
      <c r="QNY11" s="118"/>
      <c r="QNZ11" s="118"/>
      <c r="QOA11" s="118"/>
      <c r="QOB11" s="118"/>
      <c r="QOC11" s="118"/>
      <c r="QOD11" s="118"/>
      <c r="QOE11" s="118"/>
      <c r="QOF11" s="118"/>
      <c r="QOG11" s="118"/>
      <c r="QOH11" s="118"/>
      <c r="QOI11" s="118"/>
      <c r="QOJ11" s="118"/>
      <c r="QOK11" s="118"/>
      <c r="QOL11" s="118"/>
      <c r="QOM11" s="118"/>
      <c r="QON11" s="118"/>
      <c r="QOO11" s="118"/>
      <c r="QOP11" s="118"/>
      <c r="QOQ11" s="118"/>
      <c r="QOR11" s="118"/>
      <c r="QOS11" s="118"/>
      <c r="QOT11" s="118"/>
      <c r="QOU11" s="118"/>
      <c r="QOV11" s="118"/>
      <c r="QOW11" s="118"/>
      <c r="QOX11" s="118"/>
      <c r="QOY11" s="118"/>
      <c r="QOZ11" s="118"/>
      <c r="QPA11" s="118"/>
      <c r="QPB11" s="118"/>
      <c r="QPC11" s="118"/>
      <c r="QPD11" s="118"/>
      <c r="QPE11" s="118"/>
      <c r="QPF11" s="118"/>
      <c r="QPG11" s="118"/>
      <c r="QPH11" s="118"/>
      <c r="QPI11" s="118"/>
      <c r="QPJ11" s="118"/>
      <c r="QPK11" s="118"/>
      <c r="QPL11" s="118"/>
      <c r="QPM11" s="118"/>
      <c r="QPN11" s="118"/>
      <c r="QPO11" s="118"/>
      <c r="QPP11" s="118"/>
      <c r="QPQ11" s="118"/>
      <c r="QPR11" s="118"/>
      <c r="QPS11" s="118"/>
      <c r="QPT11" s="118"/>
      <c r="QPU11" s="118"/>
      <c r="QPV11" s="118"/>
      <c r="QPW11" s="118"/>
      <c r="QPX11" s="118"/>
      <c r="QPY11" s="118"/>
      <c r="QPZ11" s="118"/>
      <c r="QQA11" s="118"/>
      <c r="QQB11" s="118"/>
      <c r="QQC11" s="118"/>
      <c r="QQD11" s="118"/>
      <c r="QQE11" s="118"/>
      <c r="QQF11" s="118"/>
      <c r="QQG11" s="118"/>
      <c r="QQH11" s="118"/>
      <c r="QQI11" s="118"/>
      <c r="QQJ11" s="118"/>
      <c r="QQK11" s="118"/>
      <c r="QQL11" s="118"/>
      <c r="QQM11" s="118"/>
      <c r="QQN11" s="118"/>
      <c r="QQO11" s="118"/>
      <c r="QQP11" s="118"/>
      <c r="QQQ11" s="118"/>
      <c r="QQR11" s="118"/>
      <c r="QQS11" s="118"/>
      <c r="QQT11" s="118"/>
      <c r="QQU11" s="118"/>
      <c r="QQV11" s="118"/>
      <c r="QQW11" s="118"/>
      <c r="QQX11" s="118"/>
      <c r="QQY11" s="118"/>
      <c r="QQZ11" s="118"/>
      <c r="QRA11" s="118"/>
      <c r="QRB11" s="118"/>
      <c r="QRC11" s="118"/>
      <c r="QRD11" s="118"/>
      <c r="QRE11" s="118"/>
      <c r="QRF11" s="118"/>
      <c r="QRG11" s="118"/>
      <c r="QRH11" s="118"/>
      <c r="QRI11" s="118"/>
      <c r="QRJ11" s="118"/>
      <c r="QRK11" s="118"/>
      <c r="QRL11" s="118"/>
      <c r="QRM11" s="118"/>
      <c r="QRN11" s="118"/>
      <c r="QRO11" s="118"/>
      <c r="QRP11" s="118"/>
      <c r="QRQ11" s="118"/>
      <c r="QRR11" s="118"/>
      <c r="QRS11" s="118"/>
      <c r="QRT11" s="118"/>
      <c r="QRU11" s="118"/>
      <c r="QRV11" s="118"/>
      <c r="QRW11" s="118"/>
      <c r="QRX11" s="118"/>
      <c r="QRY11" s="118"/>
      <c r="QRZ11" s="118"/>
      <c r="QSA11" s="118"/>
      <c r="QSB11" s="118"/>
      <c r="QSC11" s="118"/>
      <c r="QSD11" s="118"/>
      <c r="QSE11" s="118"/>
      <c r="QSF11" s="118"/>
      <c r="QSG11" s="118"/>
      <c r="QSH11" s="118"/>
      <c r="QSI11" s="118"/>
      <c r="QSJ11" s="118"/>
      <c r="QSK11" s="118"/>
      <c r="QSL11" s="118"/>
      <c r="QSM11" s="118"/>
      <c r="QSN11" s="118"/>
      <c r="QSO11" s="118"/>
      <c r="QSP11" s="118"/>
      <c r="QSQ11" s="118"/>
      <c r="QSR11" s="118"/>
      <c r="QSS11" s="118"/>
      <c r="QST11" s="118"/>
      <c r="QSU11" s="118"/>
      <c r="QSV11" s="118"/>
      <c r="QSW11" s="118"/>
      <c r="QSX11" s="118"/>
      <c r="QSY11" s="118"/>
      <c r="QSZ11" s="118"/>
      <c r="QTA11" s="118"/>
      <c r="QTB11" s="118"/>
      <c r="QTC11" s="118"/>
      <c r="QTD11" s="118"/>
      <c r="QTE11" s="118"/>
      <c r="QTF11" s="118"/>
      <c r="QTG11" s="118"/>
      <c r="QTH11" s="118"/>
      <c r="QTI11" s="118"/>
      <c r="QTJ11" s="118"/>
      <c r="QTK11" s="118"/>
      <c r="QTL11" s="118"/>
      <c r="QTM11" s="118"/>
      <c r="QTN11" s="118"/>
      <c r="QTO11" s="118"/>
      <c r="QTP11" s="118"/>
      <c r="QTQ11" s="118"/>
      <c r="QTR11" s="118"/>
      <c r="QTS11" s="118"/>
      <c r="QTT11" s="118"/>
      <c r="QTU11" s="118"/>
      <c r="QTV11" s="118"/>
      <c r="QTW11" s="118"/>
      <c r="QTX11" s="118"/>
      <c r="QTY11" s="118"/>
      <c r="QTZ11" s="118"/>
      <c r="QUA11" s="118"/>
      <c r="QUB11" s="118"/>
      <c r="QUC11" s="118"/>
      <c r="QUD11" s="118"/>
      <c r="QUE11" s="118"/>
      <c r="QUF11" s="118"/>
      <c r="QUG11" s="118"/>
      <c r="QUH11" s="118"/>
      <c r="QUI11" s="118"/>
      <c r="QUJ11" s="118"/>
      <c r="QUK11" s="118"/>
      <c r="QUL11" s="118"/>
      <c r="QUM11" s="118"/>
      <c r="QUN11" s="118"/>
      <c r="QUO11" s="118"/>
      <c r="QUP11" s="118"/>
      <c r="QUQ11" s="118"/>
      <c r="QUR11" s="118"/>
      <c r="QUS11" s="118"/>
      <c r="QUT11" s="118"/>
      <c r="QUU11" s="118"/>
      <c r="QUV11" s="118"/>
      <c r="QUW11" s="118"/>
      <c r="QUX11" s="118"/>
      <c r="QUY11" s="118"/>
      <c r="QUZ11" s="118"/>
      <c r="QVA11" s="118"/>
      <c r="QVB11" s="118"/>
      <c r="QVC11" s="118"/>
      <c r="QVD11" s="118"/>
      <c r="QVE11" s="118"/>
      <c r="QVF11" s="118"/>
      <c r="QVG11" s="118"/>
      <c r="QVH11" s="118"/>
      <c r="QVI11" s="118"/>
      <c r="QVJ11" s="118"/>
      <c r="QVK11" s="118"/>
      <c r="QVL11" s="118"/>
      <c r="QVM11" s="118"/>
      <c r="QVN11" s="118"/>
      <c r="QVO11" s="118"/>
      <c r="QVP11" s="118"/>
      <c r="QVQ11" s="118"/>
      <c r="QVR11" s="118"/>
      <c r="QVS11" s="118"/>
      <c r="QVT11" s="118"/>
      <c r="QVU11" s="118"/>
      <c r="QVV11" s="118"/>
      <c r="QVW11" s="118"/>
      <c r="QVX11" s="118"/>
      <c r="QVY11" s="118"/>
      <c r="QVZ11" s="118"/>
      <c r="QWA11" s="118"/>
      <c r="QWB11" s="118"/>
      <c r="QWC11" s="118"/>
      <c r="QWD11" s="118"/>
      <c r="QWE11" s="118"/>
      <c r="QWF11" s="118"/>
      <c r="QWG11" s="118"/>
      <c r="QWH11" s="118"/>
      <c r="QWI11" s="118"/>
      <c r="QWJ11" s="118"/>
      <c r="QWK11" s="118"/>
      <c r="QWL11" s="118"/>
      <c r="QWM11" s="118"/>
      <c r="QWN11" s="118"/>
      <c r="QWO11" s="118"/>
      <c r="QWP11" s="118"/>
      <c r="QWQ11" s="118"/>
      <c r="QWR11" s="118"/>
      <c r="QWS11" s="118"/>
      <c r="QWT11" s="118"/>
      <c r="QWU11" s="118"/>
      <c r="QWV11" s="118"/>
      <c r="QWW11" s="118"/>
      <c r="QWX11" s="118"/>
      <c r="QWY11" s="118"/>
      <c r="QWZ11" s="118"/>
      <c r="QXA11" s="118"/>
      <c r="QXB11" s="118"/>
      <c r="QXC11" s="118"/>
      <c r="QXD11" s="118"/>
      <c r="QXE11" s="118"/>
      <c r="QXF11" s="118"/>
      <c r="QXG11" s="118"/>
      <c r="QXH11" s="118"/>
      <c r="QXI11" s="118"/>
      <c r="QXJ11" s="118"/>
      <c r="QXK11" s="118"/>
      <c r="QXL11" s="118"/>
      <c r="QXM11" s="118"/>
      <c r="QXN11" s="118"/>
      <c r="QXO11" s="118"/>
      <c r="QXP11" s="118"/>
      <c r="QXQ11" s="118"/>
      <c r="QXR11" s="118"/>
      <c r="QXS11" s="118"/>
      <c r="QXT11" s="118"/>
      <c r="QXU11" s="118"/>
      <c r="QXV11" s="118"/>
      <c r="QXW11" s="118"/>
      <c r="QXX11" s="118"/>
      <c r="QXY11" s="118"/>
      <c r="QXZ11" s="118"/>
      <c r="QYA11" s="118"/>
      <c r="QYB11" s="118"/>
      <c r="QYC11" s="118"/>
      <c r="QYD11" s="118"/>
      <c r="QYE11" s="118"/>
      <c r="QYF11" s="118"/>
      <c r="QYG11" s="118"/>
      <c r="QYH11" s="118"/>
      <c r="QYI11" s="118"/>
      <c r="QYJ11" s="118"/>
      <c r="QYK11" s="118"/>
      <c r="QYL11" s="118"/>
      <c r="QYM11" s="118"/>
      <c r="QYN11" s="118"/>
      <c r="QYO11" s="118"/>
      <c r="QYP11" s="118"/>
      <c r="QYQ11" s="118"/>
      <c r="QYR11" s="118"/>
      <c r="QYS11" s="118"/>
      <c r="QYT11" s="118"/>
      <c r="QYU11" s="118"/>
      <c r="QYV11" s="118"/>
      <c r="QYW11" s="118"/>
      <c r="QYX11" s="118"/>
      <c r="QYY11" s="118"/>
      <c r="QYZ11" s="118"/>
      <c r="QZA11" s="118"/>
      <c r="QZB11" s="118"/>
      <c r="QZC11" s="118"/>
      <c r="QZD11" s="118"/>
      <c r="QZE11" s="118"/>
      <c r="QZF11" s="118"/>
      <c r="QZG11" s="118"/>
      <c r="QZH11" s="118"/>
      <c r="QZI11" s="118"/>
      <c r="QZJ11" s="118"/>
      <c r="QZK11" s="118"/>
      <c r="QZL11" s="118"/>
      <c r="QZM11" s="118"/>
      <c r="QZN11" s="118"/>
      <c r="QZO11" s="118"/>
      <c r="QZP11" s="118"/>
      <c r="QZQ11" s="118"/>
      <c r="QZR11" s="118"/>
      <c r="QZS11" s="118"/>
      <c r="QZT11" s="118"/>
      <c r="QZU11" s="118"/>
      <c r="QZV11" s="118"/>
      <c r="QZW11" s="118"/>
      <c r="QZX11" s="118"/>
      <c r="QZY11" s="118"/>
      <c r="QZZ11" s="118"/>
      <c r="RAA11" s="118"/>
      <c r="RAB11" s="118"/>
      <c r="RAC11" s="118"/>
      <c r="RAD11" s="118"/>
      <c r="RAE11" s="118"/>
      <c r="RAF11" s="118"/>
      <c r="RAG11" s="118"/>
      <c r="RAH11" s="118"/>
      <c r="RAI11" s="118"/>
      <c r="RAJ11" s="118"/>
      <c r="RAK11" s="118"/>
      <c r="RAL11" s="118"/>
      <c r="RAM11" s="118"/>
      <c r="RAN11" s="118"/>
      <c r="RAO11" s="118"/>
      <c r="RAP11" s="118"/>
      <c r="RAQ11" s="118"/>
      <c r="RAR11" s="118"/>
      <c r="RAS11" s="118"/>
      <c r="RAT11" s="118"/>
      <c r="RAU11" s="118"/>
      <c r="RAV11" s="118"/>
      <c r="RAW11" s="118"/>
      <c r="RAX11" s="118"/>
      <c r="RAY11" s="118"/>
      <c r="RAZ11" s="118"/>
      <c r="RBA11" s="118"/>
      <c r="RBB11" s="118"/>
      <c r="RBC11" s="118"/>
      <c r="RBD11" s="118"/>
      <c r="RBE11" s="118"/>
      <c r="RBF11" s="118"/>
      <c r="RBG11" s="118"/>
      <c r="RBH11" s="118"/>
      <c r="RBI11" s="118"/>
      <c r="RBJ11" s="118"/>
      <c r="RBK11" s="118"/>
      <c r="RBL11" s="118"/>
      <c r="RBM11" s="118"/>
      <c r="RBN11" s="118"/>
      <c r="RBO11" s="118"/>
      <c r="RBP11" s="118"/>
      <c r="RBQ11" s="118"/>
      <c r="RBR11" s="118"/>
      <c r="RBS11" s="118"/>
      <c r="RBT11" s="118"/>
      <c r="RBU11" s="118"/>
      <c r="RBV11" s="118"/>
      <c r="RBW11" s="118"/>
      <c r="RBX11" s="118"/>
      <c r="RBY11" s="118"/>
      <c r="RBZ11" s="118"/>
      <c r="RCA11" s="118"/>
      <c r="RCB11" s="118"/>
      <c r="RCC11" s="118"/>
      <c r="RCD11" s="118"/>
      <c r="RCE11" s="118"/>
      <c r="RCF11" s="118"/>
      <c r="RCG11" s="118"/>
      <c r="RCH11" s="118"/>
      <c r="RCI11" s="118"/>
      <c r="RCJ11" s="118"/>
      <c r="RCK11" s="118"/>
      <c r="RCL11" s="118"/>
      <c r="RCM11" s="118"/>
      <c r="RCN11" s="118"/>
      <c r="RCO11" s="118"/>
      <c r="RCP11" s="118"/>
      <c r="RCQ11" s="118"/>
      <c r="RCR11" s="118"/>
      <c r="RCS11" s="118"/>
      <c r="RCT11" s="118"/>
      <c r="RCU11" s="118"/>
      <c r="RCV11" s="118"/>
      <c r="RCW11" s="118"/>
      <c r="RCX11" s="118"/>
      <c r="RCY11" s="118"/>
      <c r="RCZ11" s="118"/>
      <c r="RDA11" s="118"/>
      <c r="RDB11" s="118"/>
      <c r="RDC11" s="118"/>
      <c r="RDD11" s="118"/>
      <c r="RDE11" s="118"/>
      <c r="RDF11" s="118"/>
      <c r="RDG11" s="118"/>
      <c r="RDH11" s="118"/>
      <c r="RDI11" s="118"/>
      <c r="RDJ11" s="118"/>
      <c r="RDK11" s="118"/>
      <c r="RDL11" s="118"/>
      <c r="RDM11" s="118"/>
      <c r="RDN11" s="118"/>
      <c r="RDO11" s="118"/>
      <c r="RDP11" s="118"/>
      <c r="RDQ11" s="118"/>
      <c r="RDR11" s="118"/>
      <c r="RDS11" s="118"/>
      <c r="RDT11" s="118"/>
      <c r="RDU11" s="118"/>
      <c r="RDV11" s="118"/>
      <c r="RDW11" s="118"/>
      <c r="RDX11" s="118"/>
      <c r="RDY11" s="118"/>
      <c r="RDZ11" s="118"/>
      <c r="REA11" s="118"/>
      <c r="REB11" s="118"/>
      <c r="REC11" s="118"/>
      <c r="RED11" s="118"/>
      <c r="REE11" s="118"/>
      <c r="REF11" s="118"/>
      <c r="REG11" s="118"/>
      <c r="REH11" s="118"/>
      <c r="REI11" s="118"/>
      <c r="REJ11" s="118"/>
      <c r="REK11" s="118"/>
      <c r="REL11" s="118"/>
      <c r="REM11" s="118"/>
      <c r="REN11" s="118"/>
      <c r="REO11" s="118"/>
      <c r="REP11" s="118"/>
      <c r="REQ11" s="118"/>
      <c r="RER11" s="118"/>
      <c r="RES11" s="118"/>
      <c r="RET11" s="118"/>
      <c r="REU11" s="118"/>
      <c r="REV11" s="118"/>
      <c r="REW11" s="118"/>
      <c r="REX11" s="118"/>
      <c r="REY11" s="118"/>
      <c r="REZ11" s="118"/>
      <c r="RFA11" s="118"/>
      <c r="RFB11" s="118"/>
      <c r="RFC11" s="118"/>
      <c r="RFD11" s="118"/>
      <c r="RFE11" s="118"/>
      <c r="RFF11" s="118"/>
      <c r="RFG11" s="118"/>
      <c r="RFH11" s="118"/>
      <c r="RFI11" s="118"/>
      <c r="RFJ11" s="118"/>
      <c r="RFK11" s="118"/>
      <c r="RFL11" s="118"/>
      <c r="RFM11" s="118"/>
      <c r="RFN11" s="118"/>
      <c r="RFO11" s="118"/>
      <c r="RFP11" s="118"/>
      <c r="RFQ11" s="118"/>
      <c r="RFR11" s="118"/>
      <c r="RFS11" s="118"/>
      <c r="RFT11" s="118"/>
      <c r="RFU11" s="118"/>
      <c r="RFV11" s="118"/>
      <c r="RFW11" s="118"/>
      <c r="RFX11" s="118"/>
      <c r="RFY11" s="118"/>
      <c r="RFZ11" s="118"/>
      <c r="RGA11" s="118"/>
      <c r="RGB11" s="118"/>
      <c r="RGC11" s="118"/>
      <c r="RGD11" s="118"/>
      <c r="RGE11" s="118"/>
      <c r="RGF11" s="118"/>
      <c r="RGG11" s="118"/>
      <c r="RGH11" s="118"/>
      <c r="RGI11" s="118"/>
      <c r="RGJ11" s="118"/>
      <c r="RGK11" s="118"/>
      <c r="RGL11" s="118"/>
      <c r="RGM11" s="118"/>
      <c r="RGN11" s="118"/>
      <c r="RGO11" s="118"/>
      <c r="RGP11" s="118"/>
      <c r="RGQ11" s="118"/>
      <c r="RGR11" s="118"/>
      <c r="RGS11" s="118"/>
      <c r="RGT11" s="118"/>
      <c r="RGU11" s="118"/>
      <c r="RGV11" s="118"/>
      <c r="RGW11" s="118"/>
      <c r="RGX11" s="118"/>
      <c r="RGY11" s="118"/>
      <c r="RGZ11" s="118"/>
      <c r="RHA11" s="118"/>
      <c r="RHB11" s="118"/>
      <c r="RHC11" s="118"/>
      <c r="RHD11" s="118"/>
      <c r="RHE11" s="118"/>
      <c r="RHF11" s="118"/>
      <c r="RHG11" s="118"/>
      <c r="RHH11" s="118"/>
      <c r="RHI11" s="118"/>
      <c r="RHJ11" s="118"/>
      <c r="RHK11" s="118"/>
      <c r="RHL11" s="118"/>
      <c r="RHM11" s="118"/>
      <c r="RHN11" s="118"/>
      <c r="RHO11" s="118"/>
      <c r="RHP11" s="118"/>
      <c r="RHQ11" s="118"/>
      <c r="RHR11" s="118"/>
      <c r="RHS11" s="118"/>
      <c r="RHT11" s="118"/>
      <c r="RHU11" s="118"/>
      <c r="RHV11" s="118"/>
      <c r="RHW11" s="118"/>
      <c r="RHX11" s="118"/>
      <c r="RHY11" s="118"/>
      <c r="RHZ11" s="118"/>
      <c r="RIA11" s="118"/>
      <c r="RIB11" s="118"/>
      <c r="RIC11" s="118"/>
      <c r="RID11" s="118"/>
      <c r="RIE11" s="118"/>
      <c r="RIF11" s="118"/>
      <c r="RIG11" s="118"/>
      <c r="RIH11" s="118"/>
      <c r="RII11" s="118"/>
      <c r="RIJ11" s="118"/>
      <c r="RIK11" s="118"/>
      <c r="RIL11" s="118"/>
      <c r="RIM11" s="118"/>
      <c r="RIN11" s="118"/>
      <c r="RIO11" s="118"/>
      <c r="RIP11" s="118"/>
      <c r="RIQ11" s="118"/>
      <c r="RIR11" s="118"/>
      <c r="RIS11" s="118"/>
      <c r="RIT11" s="118"/>
      <c r="RIU11" s="118"/>
      <c r="RIV11" s="118"/>
      <c r="RIW11" s="118"/>
      <c r="RIX11" s="118"/>
      <c r="RIY11" s="118"/>
      <c r="RIZ11" s="118"/>
      <c r="RJA11" s="118"/>
      <c r="RJB11" s="118"/>
      <c r="RJC11" s="118"/>
      <c r="RJD11" s="118"/>
      <c r="RJE11" s="118"/>
      <c r="RJF11" s="118"/>
      <c r="RJG11" s="118"/>
      <c r="RJH11" s="118"/>
      <c r="RJI11" s="118"/>
      <c r="RJJ11" s="118"/>
      <c r="RJK11" s="118"/>
      <c r="RJL11" s="118"/>
      <c r="RJM11" s="118"/>
      <c r="RJN11" s="118"/>
      <c r="RJO11" s="118"/>
      <c r="RJP11" s="118"/>
      <c r="RJQ11" s="118"/>
      <c r="RJR11" s="118"/>
      <c r="RJS11" s="118"/>
      <c r="RJT11" s="118"/>
      <c r="RJU11" s="118"/>
      <c r="RJV11" s="118"/>
      <c r="RJW11" s="118"/>
      <c r="RJX11" s="118"/>
      <c r="RJY11" s="118"/>
      <c r="RJZ11" s="118"/>
      <c r="RKA11" s="118"/>
      <c r="RKB11" s="118"/>
      <c r="RKC11" s="118"/>
      <c r="RKD11" s="118"/>
      <c r="RKE11" s="118"/>
      <c r="RKF11" s="118"/>
      <c r="RKG11" s="118"/>
      <c r="RKH11" s="118"/>
      <c r="RKI11" s="118"/>
      <c r="RKJ11" s="118"/>
      <c r="RKK11" s="118"/>
      <c r="RKL11" s="118"/>
      <c r="RKM11" s="118"/>
      <c r="RKN11" s="118"/>
      <c r="RKO11" s="118"/>
      <c r="RKP11" s="118"/>
      <c r="RKQ11" s="118"/>
      <c r="RKR11" s="118"/>
      <c r="RKS11" s="118"/>
      <c r="RKT11" s="118"/>
      <c r="RKU11" s="118"/>
      <c r="RKV11" s="118"/>
      <c r="RKW11" s="118"/>
      <c r="RKX11" s="118"/>
      <c r="RKY11" s="118"/>
      <c r="RKZ11" s="118"/>
      <c r="RLA11" s="118"/>
      <c r="RLB11" s="118"/>
      <c r="RLC11" s="118"/>
      <c r="RLD11" s="118"/>
      <c r="RLE11" s="118"/>
      <c r="RLF11" s="118"/>
      <c r="RLG11" s="118"/>
      <c r="RLH11" s="118"/>
      <c r="RLI11" s="118"/>
      <c r="RLJ11" s="118"/>
      <c r="RLK11" s="118"/>
      <c r="RLL11" s="118"/>
      <c r="RLM11" s="118"/>
      <c r="RLN11" s="118"/>
      <c r="RLO11" s="118"/>
      <c r="RLP11" s="118"/>
      <c r="RLQ11" s="118"/>
      <c r="RLR11" s="118"/>
      <c r="RLS11" s="118"/>
      <c r="RLT11" s="118"/>
      <c r="RLU11" s="118"/>
      <c r="RLV11" s="118"/>
      <c r="RLW11" s="118"/>
      <c r="RLX11" s="118"/>
      <c r="RLY11" s="118"/>
      <c r="RLZ11" s="118"/>
      <c r="RMA11" s="118"/>
      <c r="RMB11" s="118"/>
      <c r="RMC11" s="118"/>
      <c r="RMD11" s="118"/>
      <c r="RME11" s="118"/>
      <c r="RMF11" s="118"/>
      <c r="RMG11" s="118"/>
      <c r="RMH11" s="118"/>
      <c r="RMI11" s="118"/>
      <c r="RMJ11" s="118"/>
      <c r="RMK11" s="118"/>
      <c r="RML11" s="118"/>
      <c r="RMM11" s="118"/>
      <c r="RMN11" s="118"/>
      <c r="RMO11" s="118"/>
      <c r="RMP11" s="118"/>
      <c r="RMQ11" s="118"/>
      <c r="RMR11" s="118"/>
      <c r="RMS11" s="118"/>
      <c r="RMT11" s="118"/>
      <c r="RMU11" s="118"/>
      <c r="RMV11" s="118"/>
      <c r="RMW11" s="118"/>
      <c r="RMX11" s="118"/>
      <c r="RMY11" s="118"/>
      <c r="RMZ11" s="118"/>
      <c r="RNA11" s="118"/>
      <c r="RNB11" s="118"/>
      <c r="RNC11" s="118"/>
      <c r="RND11" s="118"/>
      <c r="RNE11" s="118"/>
      <c r="RNF11" s="118"/>
      <c r="RNG11" s="118"/>
      <c r="RNH11" s="118"/>
      <c r="RNI11" s="118"/>
      <c r="RNJ11" s="118"/>
      <c r="RNK11" s="118"/>
      <c r="RNL11" s="118"/>
      <c r="RNM11" s="118"/>
      <c r="RNN11" s="118"/>
      <c r="RNO11" s="118"/>
      <c r="RNP11" s="118"/>
      <c r="RNQ11" s="118"/>
      <c r="RNR11" s="118"/>
      <c r="RNS11" s="118"/>
      <c r="RNT11" s="118"/>
      <c r="RNU11" s="118"/>
      <c r="RNV11" s="118"/>
      <c r="RNW11" s="118"/>
      <c r="RNX11" s="118"/>
      <c r="RNY11" s="118"/>
      <c r="RNZ11" s="118"/>
      <c r="ROA11" s="118"/>
      <c r="ROB11" s="118"/>
      <c r="ROC11" s="118"/>
      <c r="ROD11" s="118"/>
      <c r="ROE11" s="118"/>
      <c r="ROF11" s="118"/>
      <c r="ROG11" s="118"/>
      <c r="ROH11" s="118"/>
      <c r="ROI11" s="118"/>
      <c r="ROJ11" s="118"/>
      <c r="ROK11" s="118"/>
      <c r="ROL11" s="118"/>
      <c r="ROM11" s="118"/>
      <c r="RON11" s="118"/>
      <c r="ROO11" s="118"/>
      <c r="ROP11" s="118"/>
      <c r="ROQ11" s="118"/>
      <c r="ROR11" s="118"/>
      <c r="ROS11" s="118"/>
      <c r="ROT11" s="118"/>
      <c r="ROU11" s="118"/>
      <c r="ROV11" s="118"/>
      <c r="ROW11" s="118"/>
      <c r="ROX11" s="118"/>
      <c r="ROY11" s="118"/>
      <c r="ROZ11" s="118"/>
      <c r="RPA11" s="118"/>
      <c r="RPB11" s="118"/>
      <c r="RPC11" s="118"/>
      <c r="RPD11" s="118"/>
      <c r="RPE11" s="118"/>
      <c r="RPF11" s="118"/>
      <c r="RPG11" s="118"/>
      <c r="RPH11" s="118"/>
      <c r="RPI11" s="118"/>
      <c r="RPJ11" s="118"/>
      <c r="RPK11" s="118"/>
      <c r="RPL11" s="118"/>
      <c r="RPM11" s="118"/>
      <c r="RPN11" s="118"/>
      <c r="RPO11" s="118"/>
      <c r="RPP11" s="118"/>
      <c r="RPQ11" s="118"/>
      <c r="RPR11" s="118"/>
      <c r="RPS11" s="118"/>
      <c r="RPT11" s="118"/>
      <c r="RPU11" s="118"/>
      <c r="RPV11" s="118"/>
      <c r="RPW11" s="118"/>
      <c r="RPX11" s="118"/>
      <c r="RPY11" s="118"/>
      <c r="RPZ11" s="118"/>
      <c r="RQA11" s="118"/>
      <c r="RQB11" s="118"/>
      <c r="RQC11" s="118"/>
      <c r="RQD11" s="118"/>
      <c r="RQE11" s="118"/>
      <c r="RQF11" s="118"/>
      <c r="RQG11" s="118"/>
      <c r="RQH11" s="118"/>
      <c r="RQI11" s="118"/>
      <c r="RQJ11" s="118"/>
      <c r="RQK11" s="118"/>
      <c r="RQL11" s="118"/>
      <c r="RQM11" s="118"/>
      <c r="RQN11" s="118"/>
      <c r="RQO11" s="118"/>
      <c r="RQP11" s="118"/>
      <c r="RQQ11" s="118"/>
      <c r="RQR11" s="118"/>
      <c r="RQS11" s="118"/>
      <c r="RQT11" s="118"/>
      <c r="RQU11" s="118"/>
      <c r="RQV11" s="118"/>
      <c r="RQW11" s="118"/>
      <c r="RQX11" s="118"/>
      <c r="RQY11" s="118"/>
      <c r="RQZ11" s="118"/>
      <c r="RRA11" s="118"/>
      <c r="RRB11" s="118"/>
      <c r="RRC11" s="118"/>
      <c r="RRD11" s="118"/>
      <c r="RRE11" s="118"/>
      <c r="RRF11" s="118"/>
      <c r="RRG11" s="118"/>
      <c r="RRH11" s="118"/>
      <c r="RRI11" s="118"/>
      <c r="RRJ11" s="118"/>
      <c r="RRK11" s="118"/>
      <c r="RRL11" s="118"/>
      <c r="RRM11" s="118"/>
      <c r="RRN11" s="118"/>
      <c r="RRO11" s="118"/>
      <c r="RRP11" s="118"/>
      <c r="RRQ11" s="118"/>
      <c r="RRR11" s="118"/>
      <c r="RRS11" s="118"/>
      <c r="RRT11" s="118"/>
      <c r="RRU11" s="118"/>
      <c r="RRV11" s="118"/>
      <c r="RRW11" s="118"/>
      <c r="RRX11" s="118"/>
      <c r="RRY11" s="118"/>
      <c r="RRZ11" s="118"/>
      <c r="RSA11" s="118"/>
      <c r="RSB11" s="118"/>
      <c r="RSC11" s="118"/>
      <c r="RSD11" s="118"/>
      <c r="RSE11" s="118"/>
      <c r="RSF11" s="118"/>
      <c r="RSG11" s="118"/>
      <c r="RSH11" s="118"/>
      <c r="RSI11" s="118"/>
      <c r="RSJ11" s="118"/>
      <c r="RSK11" s="118"/>
      <c r="RSL11" s="118"/>
      <c r="RSM11" s="118"/>
      <c r="RSN11" s="118"/>
      <c r="RSO11" s="118"/>
      <c r="RSP11" s="118"/>
      <c r="RSQ11" s="118"/>
      <c r="RSR11" s="118"/>
      <c r="RSS11" s="118"/>
      <c r="RST11" s="118"/>
      <c r="RSU11" s="118"/>
      <c r="RSV11" s="118"/>
      <c r="RSW11" s="118"/>
      <c r="RSX11" s="118"/>
      <c r="RSY11" s="118"/>
      <c r="RSZ11" s="118"/>
      <c r="RTA11" s="118"/>
      <c r="RTB11" s="118"/>
      <c r="RTC11" s="118"/>
      <c r="RTD11" s="118"/>
      <c r="RTE11" s="118"/>
      <c r="RTF11" s="118"/>
      <c r="RTG11" s="118"/>
      <c r="RTH11" s="118"/>
      <c r="RTI11" s="118"/>
      <c r="RTJ11" s="118"/>
      <c r="RTK11" s="118"/>
      <c r="RTL11" s="118"/>
      <c r="RTM11" s="118"/>
      <c r="RTN11" s="118"/>
      <c r="RTO11" s="118"/>
      <c r="RTP11" s="118"/>
      <c r="RTQ11" s="118"/>
      <c r="RTR11" s="118"/>
      <c r="RTS11" s="118"/>
      <c r="RTT11" s="118"/>
      <c r="RTU11" s="118"/>
      <c r="RTV11" s="118"/>
      <c r="RTW11" s="118"/>
      <c r="RTX11" s="118"/>
      <c r="RTY11" s="118"/>
      <c r="RTZ11" s="118"/>
      <c r="RUA11" s="118"/>
      <c r="RUB11" s="118"/>
      <c r="RUC11" s="118"/>
      <c r="RUD11" s="118"/>
      <c r="RUE11" s="118"/>
      <c r="RUF11" s="118"/>
      <c r="RUG11" s="118"/>
      <c r="RUH11" s="118"/>
      <c r="RUI11" s="118"/>
      <c r="RUJ11" s="118"/>
      <c r="RUK11" s="118"/>
      <c r="RUL11" s="118"/>
      <c r="RUM11" s="118"/>
      <c r="RUN11" s="118"/>
      <c r="RUO11" s="118"/>
      <c r="RUP11" s="118"/>
      <c r="RUQ11" s="118"/>
      <c r="RUR11" s="118"/>
      <c r="RUS11" s="118"/>
      <c r="RUT11" s="118"/>
      <c r="RUU11" s="118"/>
      <c r="RUV11" s="118"/>
      <c r="RUW11" s="118"/>
      <c r="RUX11" s="118"/>
      <c r="RUY11" s="118"/>
      <c r="RUZ11" s="118"/>
      <c r="RVA11" s="118"/>
      <c r="RVB11" s="118"/>
      <c r="RVC11" s="118"/>
      <c r="RVD11" s="118"/>
      <c r="RVE11" s="118"/>
      <c r="RVF11" s="118"/>
      <c r="RVG11" s="118"/>
      <c r="RVH11" s="118"/>
      <c r="RVI11" s="118"/>
      <c r="RVJ11" s="118"/>
      <c r="RVK11" s="118"/>
      <c r="RVL11" s="118"/>
      <c r="RVM11" s="118"/>
      <c r="RVN11" s="118"/>
      <c r="RVO11" s="118"/>
      <c r="RVP11" s="118"/>
      <c r="RVQ11" s="118"/>
      <c r="RVR11" s="118"/>
      <c r="RVS11" s="118"/>
      <c r="RVT11" s="118"/>
      <c r="RVU11" s="118"/>
      <c r="RVV11" s="118"/>
      <c r="RVW11" s="118"/>
      <c r="RVX11" s="118"/>
      <c r="RVY11" s="118"/>
      <c r="RVZ11" s="118"/>
      <c r="RWA11" s="118"/>
      <c r="RWB11" s="118"/>
      <c r="RWC11" s="118"/>
      <c r="RWD11" s="118"/>
      <c r="RWE11" s="118"/>
      <c r="RWF11" s="118"/>
      <c r="RWG11" s="118"/>
      <c r="RWH11" s="118"/>
      <c r="RWI11" s="118"/>
      <c r="RWJ11" s="118"/>
      <c r="RWK11" s="118"/>
      <c r="RWL11" s="118"/>
      <c r="RWM11" s="118"/>
      <c r="RWN11" s="118"/>
      <c r="RWO11" s="118"/>
      <c r="RWP11" s="118"/>
      <c r="RWQ11" s="118"/>
      <c r="RWR11" s="118"/>
      <c r="RWS11" s="118"/>
      <c r="RWT11" s="118"/>
      <c r="RWU11" s="118"/>
      <c r="RWV11" s="118"/>
      <c r="RWW11" s="118"/>
      <c r="RWX11" s="118"/>
      <c r="RWY11" s="118"/>
      <c r="RWZ11" s="118"/>
      <c r="RXA11" s="118"/>
      <c r="RXB11" s="118"/>
      <c r="RXC11" s="118"/>
      <c r="RXD11" s="118"/>
      <c r="RXE11" s="118"/>
      <c r="RXF11" s="118"/>
      <c r="RXG11" s="118"/>
      <c r="RXH11" s="118"/>
      <c r="RXI11" s="118"/>
      <c r="RXJ11" s="118"/>
      <c r="RXK11" s="118"/>
      <c r="RXL11" s="118"/>
      <c r="RXM11" s="118"/>
      <c r="RXN11" s="118"/>
      <c r="RXO11" s="118"/>
      <c r="RXP11" s="118"/>
      <c r="RXQ11" s="118"/>
      <c r="RXR11" s="118"/>
      <c r="RXS11" s="118"/>
      <c r="RXT11" s="118"/>
      <c r="RXU11" s="118"/>
      <c r="RXV11" s="118"/>
      <c r="RXW11" s="118"/>
      <c r="RXX11" s="118"/>
      <c r="RXY11" s="118"/>
      <c r="RXZ11" s="118"/>
      <c r="RYA11" s="118"/>
      <c r="RYB11" s="118"/>
      <c r="RYC11" s="118"/>
      <c r="RYD11" s="118"/>
      <c r="RYE11" s="118"/>
      <c r="RYF11" s="118"/>
      <c r="RYG11" s="118"/>
      <c r="RYH11" s="118"/>
      <c r="RYI11" s="118"/>
      <c r="RYJ11" s="118"/>
      <c r="RYK11" s="118"/>
      <c r="RYL11" s="118"/>
      <c r="RYM11" s="118"/>
      <c r="RYN11" s="118"/>
      <c r="RYO11" s="118"/>
      <c r="RYP11" s="118"/>
      <c r="RYQ11" s="118"/>
      <c r="RYR11" s="118"/>
      <c r="RYS11" s="118"/>
      <c r="RYT11" s="118"/>
      <c r="RYU11" s="118"/>
      <c r="RYV11" s="118"/>
      <c r="RYW11" s="118"/>
      <c r="RYX11" s="118"/>
      <c r="RYY11" s="118"/>
      <c r="RYZ11" s="118"/>
      <c r="RZA11" s="118"/>
      <c r="RZB11" s="118"/>
      <c r="RZC11" s="118"/>
      <c r="RZD11" s="118"/>
      <c r="RZE11" s="118"/>
      <c r="RZF11" s="118"/>
      <c r="RZG11" s="118"/>
      <c r="RZH11" s="118"/>
      <c r="RZI11" s="118"/>
      <c r="RZJ11" s="118"/>
      <c r="RZK11" s="118"/>
      <c r="RZL11" s="118"/>
      <c r="RZM11" s="118"/>
      <c r="RZN11" s="118"/>
      <c r="RZO11" s="118"/>
      <c r="RZP11" s="118"/>
      <c r="RZQ11" s="118"/>
      <c r="RZR11" s="118"/>
      <c r="RZS11" s="118"/>
      <c r="RZT11" s="118"/>
      <c r="RZU11" s="118"/>
      <c r="RZV11" s="118"/>
      <c r="RZW11" s="118"/>
      <c r="RZX11" s="118"/>
      <c r="RZY11" s="118"/>
      <c r="RZZ11" s="118"/>
      <c r="SAA11" s="118"/>
      <c r="SAB11" s="118"/>
      <c r="SAC11" s="118"/>
      <c r="SAD11" s="118"/>
      <c r="SAE11" s="118"/>
      <c r="SAF11" s="118"/>
      <c r="SAG11" s="118"/>
      <c r="SAH11" s="118"/>
      <c r="SAI11" s="118"/>
      <c r="SAJ11" s="118"/>
      <c r="SAK11" s="118"/>
      <c r="SAL11" s="118"/>
      <c r="SAM11" s="118"/>
      <c r="SAN11" s="118"/>
      <c r="SAO11" s="118"/>
      <c r="SAP11" s="118"/>
      <c r="SAQ11" s="118"/>
      <c r="SAR11" s="118"/>
      <c r="SAS11" s="118"/>
      <c r="SAT11" s="118"/>
      <c r="SAU11" s="118"/>
      <c r="SAV11" s="118"/>
      <c r="SAW11" s="118"/>
      <c r="SAX11" s="118"/>
      <c r="SAY11" s="118"/>
      <c r="SAZ11" s="118"/>
      <c r="SBA11" s="118"/>
      <c r="SBB11" s="118"/>
      <c r="SBC11" s="118"/>
      <c r="SBD11" s="118"/>
      <c r="SBE11" s="118"/>
      <c r="SBF11" s="118"/>
      <c r="SBG11" s="118"/>
      <c r="SBH11" s="118"/>
      <c r="SBI11" s="118"/>
      <c r="SBJ11" s="118"/>
      <c r="SBK11" s="118"/>
      <c r="SBL11" s="118"/>
      <c r="SBM11" s="118"/>
      <c r="SBN11" s="118"/>
      <c r="SBO11" s="118"/>
      <c r="SBP11" s="118"/>
      <c r="SBQ11" s="118"/>
      <c r="SBR11" s="118"/>
      <c r="SBS11" s="118"/>
      <c r="SBT11" s="118"/>
      <c r="SBU11" s="118"/>
      <c r="SBV11" s="118"/>
      <c r="SBW11" s="118"/>
      <c r="SBX11" s="118"/>
      <c r="SBY11" s="118"/>
      <c r="SBZ11" s="118"/>
      <c r="SCA11" s="118"/>
      <c r="SCB11" s="118"/>
      <c r="SCC11" s="118"/>
      <c r="SCD11" s="118"/>
      <c r="SCE11" s="118"/>
      <c r="SCF11" s="118"/>
      <c r="SCG11" s="118"/>
      <c r="SCH11" s="118"/>
      <c r="SCI11" s="118"/>
      <c r="SCJ11" s="118"/>
      <c r="SCK11" s="118"/>
      <c r="SCL11" s="118"/>
      <c r="SCM11" s="118"/>
      <c r="SCN11" s="118"/>
      <c r="SCO11" s="118"/>
      <c r="SCP11" s="118"/>
      <c r="SCQ11" s="118"/>
      <c r="SCR11" s="118"/>
      <c r="SCS11" s="118"/>
      <c r="SCT11" s="118"/>
      <c r="SCU11" s="118"/>
      <c r="SCV11" s="118"/>
      <c r="SCW11" s="118"/>
      <c r="SCX11" s="118"/>
      <c r="SCY11" s="118"/>
      <c r="SCZ11" s="118"/>
      <c r="SDA11" s="118"/>
      <c r="SDB11" s="118"/>
      <c r="SDC11" s="118"/>
      <c r="SDD11" s="118"/>
      <c r="SDE11" s="118"/>
      <c r="SDF11" s="118"/>
      <c r="SDG11" s="118"/>
      <c r="SDH11" s="118"/>
      <c r="SDI11" s="118"/>
      <c r="SDJ11" s="118"/>
      <c r="SDK11" s="118"/>
      <c r="SDL11" s="118"/>
      <c r="SDM11" s="118"/>
      <c r="SDN11" s="118"/>
      <c r="SDO11" s="118"/>
      <c r="SDP11" s="118"/>
      <c r="SDQ11" s="118"/>
      <c r="SDR11" s="118"/>
      <c r="SDS11" s="118"/>
      <c r="SDT11" s="118"/>
      <c r="SDU11" s="118"/>
      <c r="SDV11" s="118"/>
      <c r="SDW11" s="118"/>
      <c r="SDX11" s="118"/>
      <c r="SDY11" s="118"/>
      <c r="SDZ11" s="118"/>
      <c r="SEA11" s="118"/>
      <c r="SEB11" s="118"/>
      <c r="SEC11" s="118"/>
      <c r="SED11" s="118"/>
      <c r="SEE11" s="118"/>
      <c r="SEF11" s="118"/>
      <c r="SEG11" s="118"/>
      <c r="SEH11" s="118"/>
      <c r="SEI11" s="118"/>
      <c r="SEJ11" s="118"/>
      <c r="SEK11" s="118"/>
      <c r="SEL11" s="118"/>
      <c r="SEM11" s="118"/>
      <c r="SEN11" s="118"/>
      <c r="SEO11" s="118"/>
      <c r="SEP11" s="118"/>
      <c r="SEQ11" s="118"/>
      <c r="SER11" s="118"/>
      <c r="SES11" s="118"/>
      <c r="SET11" s="118"/>
      <c r="SEU11" s="118"/>
      <c r="SEV11" s="118"/>
      <c r="SEW11" s="118"/>
      <c r="SEX11" s="118"/>
      <c r="SEY11" s="118"/>
      <c r="SEZ11" s="118"/>
      <c r="SFA11" s="118"/>
      <c r="SFB11" s="118"/>
      <c r="SFC11" s="118"/>
      <c r="SFD11" s="118"/>
      <c r="SFE11" s="118"/>
      <c r="SFF11" s="118"/>
      <c r="SFG11" s="118"/>
      <c r="SFH11" s="118"/>
      <c r="SFI11" s="118"/>
      <c r="SFJ11" s="118"/>
      <c r="SFK11" s="118"/>
      <c r="SFL11" s="118"/>
      <c r="SFM11" s="118"/>
      <c r="SFN11" s="118"/>
      <c r="SFO11" s="118"/>
      <c r="SFP11" s="118"/>
      <c r="SFQ11" s="118"/>
      <c r="SFR11" s="118"/>
      <c r="SFS11" s="118"/>
      <c r="SFT11" s="118"/>
      <c r="SFU11" s="118"/>
      <c r="SFV11" s="118"/>
      <c r="SFW11" s="118"/>
      <c r="SFX11" s="118"/>
      <c r="SFY11" s="118"/>
      <c r="SFZ11" s="118"/>
      <c r="SGA11" s="118"/>
      <c r="SGB11" s="118"/>
      <c r="SGC11" s="118"/>
      <c r="SGD11" s="118"/>
      <c r="SGE11" s="118"/>
      <c r="SGF11" s="118"/>
      <c r="SGG11" s="118"/>
      <c r="SGH11" s="118"/>
      <c r="SGI11" s="118"/>
      <c r="SGJ11" s="118"/>
      <c r="SGK11" s="118"/>
      <c r="SGL11" s="118"/>
      <c r="SGM11" s="118"/>
      <c r="SGN11" s="118"/>
      <c r="SGO11" s="118"/>
      <c r="SGP11" s="118"/>
      <c r="SGQ11" s="118"/>
      <c r="SGR11" s="118"/>
      <c r="SGS11" s="118"/>
      <c r="SGT11" s="118"/>
      <c r="SGU11" s="118"/>
      <c r="SGV11" s="118"/>
      <c r="SGW11" s="118"/>
      <c r="SGX11" s="118"/>
      <c r="SGY11" s="118"/>
      <c r="SGZ11" s="118"/>
      <c r="SHA11" s="118"/>
      <c r="SHB11" s="118"/>
      <c r="SHC11" s="118"/>
      <c r="SHD11" s="118"/>
      <c r="SHE11" s="118"/>
      <c r="SHF11" s="118"/>
      <c r="SHG11" s="118"/>
      <c r="SHH11" s="118"/>
      <c r="SHI11" s="118"/>
      <c r="SHJ11" s="118"/>
      <c r="SHK11" s="118"/>
      <c r="SHL11" s="118"/>
      <c r="SHM11" s="118"/>
      <c r="SHN11" s="118"/>
      <c r="SHO11" s="118"/>
      <c r="SHP11" s="118"/>
      <c r="SHQ11" s="118"/>
      <c r="SHR11" s="118"/>
      <c r="SHS11" s="118"/>
      <c r="SHT11" s="118"/>
      <c r="SHU11" s="118"/>
      <c r="SHV11" s="118"/>
      <c r="SHW11" s="118"/>
      <c r="SHX11" s="118"/>
      <c r="SHY11" s="118"/>
      <c r="SHZ11" s="118"/>
      <c r="SIA11" s="118"/>
      <c r="SIB11" s="118"/>
      <c r="SIC11" s="118"/>
      <c r="SID11" s="118"/>
      <c r="SIE11" s="118"/>
      <c r="SIF11" s="118"/>
      <c r="SIG11" s="118"/>
      <c r="SIH11" s="118"/>
      <c r="SII11" s="118"/>
      <c r="SIJ11" s="118"/>
      <c r="SIK11" s="118"/>
      <c r="SIL11" s="118"/>
      <c r="SIM11" s="118"/>
      <c r="SIN11" s="118"/>
      <c r="SIO11" s="118"/>
      <c r="SIP11" s="118"/>
      <c r="SIQ11" s="118"/>
      <c r="SIR11" s="118"/>
      <c r="SIS11" s="118"/>
      <c r="SIT11" s="118"/>
      <c r="SIU11" s="118"/>
      <c r="SIV11" s="118"/>
      <c r="SIW11" s="118"/>
      <c r="SIX11" s="118"/>
      <c r="SIY11" s="118"/>
      <c r="SIZ11" s="118"/>
      <c r="SJA11" s="118"/>
      <c r="SJB11" s="118"/>
      <c r="SJC11" s="118"/>
      <c r="SJD11" s="118"/>
      <c r="SJE11" s="118"/>
      <c r="SJF11" s="118"/>
      <c r="SJG11" s="118"/>
      <c r="SJH11" s="118"/>
      <c r="SJI11" s="118"/>
      <c r="SJJ11" s="118"/>
      <c r="SJK11" s="118"/>
      <c r="SJL11" s="118"/>
      <c r="SJM11" s="118"/>
      <c r="SJN11" s="118"/>
      <c r="SJO11" s="118"/>
      <c r="SJP11" s="118"/>
      <c r="SJQ11" s="118"/>
      <c r="SJR11" s="118"/>
      <c r="SJS11" s="118"/>
      <c r="SJT11" s="118"/>
      <c r="SJU11" s="118"/>
      <c r="SJV11" s="118"/>
      <c r="SJW11" s="118"/>
      <c r="SJX11" s="118"/>
      <c r="SJY11" s="118"/>
      <c r="SJZ11" s="118"/>
      <c r="SKA11" s="118"/>
      <c r="SKB11" s="118"/>
      <c r="SKC11" s="118"/>
      <c r="SKD11" s="118"/>
      <c r="SKE11" s="118"/>
      <c r="SKF11" s="118"/>
      <c r="SKG11" s="118"/>
      <c r="SKH11" s="118"/>
      <c r="SKI11" s="118"/>
      <c r="SKJ11" s="118"/>
      <c r="SKK11" s="118"/>
      <c r="SKL11" s="118"/>
      <c r="SKM11" s="118"/>
      <c r="SKN11" s="118"/>
      <c r="SKO11" s="118"/>
      <c r="SKP11" s="118"/>
      <c r="SKQ11" s="118"/>
      <c r="SKR11" s="118"/>
      <c r="SKS11" s="118"/>
      <c r="SKT11" s="118"/>
      <c r="SKU11" s="118"/>
      <c r="SKV11" s="118"/>
      <c r="SKW11" s="118"/>
      <c r="SKX11" s="118"/>
      <c r="SKY11" s="118"/>
      <c r="SKZ11" s="118"/>
      <c r="SLA11" s="118"/>
      <c r="SLB11" s="118"/>
      <c r="SLC11" s="118"/>
      <c r="SLD11" s="118"/>
      <c r="SLE11" s="118"/>
      <c r="SLF11" s="118"/>
      <c r="SLG11" s="118"/>
      <c r="SLH11" s="118"/>
      <c r="SLI11" s="118"/>
      <c r="SLJ11" s="118"/>
      <c r="SLK11" s="118"/>
      <c r="SLL11" s="118"/>
      <c r="SLM11" s="118"/>
      <c r="SLN11" s="118"/>
      <c r="SLO11" s="118"/>
      <c r="SLP11" s="118"/>
      <c r="SLQ11" s="118"/>
      <c r="SLR11" s="118"/>
      <c r="SLS11" s="118"/>
      <c r="SLT11" s="118"/>
      <c r="SLU11" s="118"/>
      <c r="SLV11" s="118"/>
      <c r="SLW11" s="118"/>
      <c r="SLX11" s="118"/>
      <c r="SLY11" s="118"/>
      <c r="SLZ11" s="118"/>
      <c r="SMA11" s="118"/>
      <c r="SMB11" s="118"/>
      <c r="SMC11" s="118"/>
      <c r="SMD11" s="118"/>
      <c r="SME11" s="118"/>
      <c r="SMF11" s="118"/>
      <c r="SMG11" s="118"/>
      <c r="SMH11" s="118"/>
      <c r="SMI11" s="118"/>
      <c r="SMJ11" s="118"/>
      <c r="SMK11" s="118"/>
      <c r="SML11" s="118"/>
      <c r="SMM11" s="118"/>
      <c r="SMN11" s="118"/>
      <c r="SMO11" s="118"/>
      <c r="SMP11" s="118"/>
      <c r="SMQ11" s="118"/>
      <c r="SMR11" s="118"/>
      <c r="SMS11" s="118"/>
      <c r="SMT11" s="118"/>
      <c r="SMU11" s="118"/>
      <c r="SMV11" s="118"/>
      <c r="SMW11" s="118"/>
      <c r="SMX11" s="118"/>
      <c r="SMY11" s="118"/>
      <c r="SMZ11" s="118"/>
      <c r="SNA11" s="118"/>
      <c r="SNB11" s="118"/>
      <c r="SNC11" s="118"/>
      <c r="SND11" s="118"/>
      <c r="SNE11" s="118"/>
      <c r="SNF11" s="118"/>
      <c r="SNG11" s="118"/>
      <c r="SNH11" s="118"/>
      <c r="SNI11" s="118"/>
      <c r="SNJ11" s="118"/>
      <c r="SNK11" s="118"/>
      <c r="SNL11" s="118"/>
      <c r="SNM11" s="118"/>
      <c r="SNN11" s="118"/>
      <c r="SNO11" s="118"/>
      <c r="SNP11" s="118"/>
      <c r="SNQ11" s="118"/>
      <c r="SNR11" s="118"/>
      <c r="SNS11" s="118"/>
      <c r="SNT11" s="118"/>
      <c r="SNU11" s="118"/>
      <c r="SNV11" s="118"/>
      <c r="SNW11" s="118"/>
      <c r="SNX11" s="118"/>
      <c r="SNY11" s="118"/>
      <c r="SNZ11" s="118"/>
      <c r="SOA11" s="118"/>
      <c r="SOB11" s="118"/>
      <c r="SOC11" s="118"/>
      <c r="SOD11" s="118"/>
      <c r="SOE11" s="118"/>
      <c r="SOF11" s="118"/>
      <c r="SOG11" s="118"/>
      <c r="SOH11" s="118"/>
      <c r="SOI11" s="118"/>
      <c r="SOJ11" s="118"/>
      <c r="SOK11" s="118"/>
      <c r="SOL11" s="118"/>
      <c r="SOM11" s="118"/>
      <c r="SON11" s="118"/>
      <c r="SOO11" s="118"/>
      <c r="SOP11" s="118"/>
      <c r="SOQ11" s="118"/>
      <c r="SOR11" s="118"/>
      <c r="SOS11" s="118"/>
      <c r="SOT11" s="118"/>
      <c r="SOU11" s="118"/>
      <c r="SOV11" s="118"/>
      <c r="SOW11" s="118"/>
      <c r="SOX11" s="118"/>
      <c r="SOY11" s="118"/>
      <c r="SOZ11" s="118"/>
      <c r="SPA11" s="118"/>
      <c r="SPB11" s="118"/>
      <c r="SPC11" s="118"/>
      <c r="SPD11" s="118"/>
      <c r="SPE11" s="118"/>
      <c r="SPF11" s="118"/>
      <c r="SPG11" s="118"/>
      <c r="SPH11" s="118"/>
      <c r="SPI11" s="118"/>
      <c r="SPJ11" s="118"/>
      <c r="SPK11" s="118"/>
      <c r="SPL11" s="118"/>
      <c r="SPM11" s="118"/>
      <c r="SPN11" s="118"/>
      <c r="SPO11" s="118"/>
      <c r="SPP11" s="118"/>
      <c r="SPQ11" s="118"/>
      <c r="SPR11" s="118"/>
      <c r="SPS11" s="118"/>
      <c r="SPT11" s="118"/>
      <c r="SPU11" s="118"/>
      <c r="SPV11" s="118"/>
      <c r="SPW11" s="118"/>
      <c r="SPX11" s="118"/>
      <c r="SPY11" s="118"/>
      <c r="SPZ11" s="118"/>
      <c r="SQA11" s="118"/>
      <c r="SQB11" s="118"/>
      <c r="SQC11" s="118"/>
      <c r="SQD11" s="118"/>
      <c r="SQE11" s="118"/>
      <c r="SQF11" s="118"/>
      <c r="SQG11" s="118"/>
      <c r="SQH11" s="118"/>
      <c r="SQI11" s="118"/>
      <c r="SQJ11" s="118"/>
      <c r="SQK11" s="118"/>
      <c r="SQL11" s="118"/>
      <c r="SQM11" s="118"/>
      <c r="SQN11" s="118"/>
      <c r="SQO11" s="118"/>
      <c r="SQP11" s="118"/>
      <c r="SQQ11" s="118"/>
      <c r="SQR11" s="118"/>
      <c r="SQS11" s="118"/>
      <c r="SQT11" s="118"/>
      <c r="SQU11" s="118"/>
      <c r="SQV11" s="118"/>
      <c r="SQW11" s="118"/>
      <c r="SQX11" s="118"/>
      <c r="SQY11" s="118"/>
      <c r="SQZ11" s="118"/>
      <c r="SRA11" s="118"/>
      <c r="SRB11" s="118"/>
      <c r="SRC11" s="118"/>
      <c r="SRD11" s="118"/>
      <c r="SRE11" s="118"/>
      <c r="SRF11" s="118"/>
      <c r="SRG11" s="118"/>
      <c r="SRH11" s="118"/>
      <c r="SRI11" s="118"/>
      <c r="SRJ11" s="118"/>
      <c r="SRK11" s="118"/>
      <c r="SRL11" s="118"/>
      <c r="SRM11" s="118"/>
      <c r="SRN11" s="118"/>
      <c r="SRO11" s="118"/>
      <c r="SRP11" s="118"/>
      <c r="SRQ11" s="118"/>
      <c r="SRR11" s="118"/>
      <c r="SRS11" s="118"/>
      <c r="SRT11" s="118"/>
      <c r="SRU11" s="118"/>
      <c r="SRV11" s="118"/>
      <c r="SRW11" s="118"/>
      <c r="SRX11" s="118"/>
      <c r="SRY11" s="118"/>
      <c r="SRZ11" s="118"/>
      <c r="SSA11" s="118"/>
      <c r="SSB11" s="118"/>
      <c r="SSC11" s="118"/>
      <c r="SSD11" s="118"/>
      <c r="SSE11" s="118"/>
      <c r="SSF11" s="118"/>
      <c r="SSG11" s="118"/>
      <c r="SSH11" s="118"/>
      <c r="SSI11" s="118"/>
      <c r="SSJ11" s="118"/>
      <c r="SSK11" s="118"/>
      <c r="SSL11" s="118"/>
      <c r="SSM11" s="118"/>
      <c r="SSN11" s="118"/>
      <c r="SSO11" s="118"/>
      <c r="SSP11" s="118"/>
      <c r="SSQ11" s="118"/>
      <c r="SSR11" s="118"/>
      <c r="SSS11" s="118"/>
      <c r="SST11" s="118"/>
      <c r="SSU11" s="118"/>
      <c r="SSV11" s="118"/>
      <c r="SSW11" s="118"/>
      <c r="SSX11" s="118"/>
      <c r="SSY11" s="118"/>
      <c r="SSZ11" s="118"/>
      <c r="STA11" s="118"/>
      <c r="STB11" s="118"/>
      <c r="STC11" s="118"/>
      <c r="STD11" s="118"/>
      <c r="STE11" s="118"/>
      <c r="STF11" s="118"/>
      <c r="STG11" s="118"/>
      <c r="STH11" s="118"/>
      <c r="STI11" s="118"/>
      <c r="STJ11" s="118"/>
      <c r="STK11" s="118"/>
      <c r="STL11" s="118"/>
      <c r="STM11" s="118"/>
      <c r="STN11" s="118"/>
      <c r="STO11" s="118"/>
      <c r="STP11" s="118"/>
      <c r="STQ11" s="118"/>
      <c r="STR11" s="118"/>
      <c r="STS11" s="118"/>
      <c r="STT11" s="118"/>
      <c r="STU11" s="118"/>
      <c r="STV11" s="118"/>
      <c r="STW11" s="118"/>
      <c r="STX11" s="118"/>
      <c r="STY11" s="118"/>
      <c r="STZ11" s="118"/>
      <c r="SUA11" s="118"/>
      <c r="SUB11" s="118"/>
      <c r="SUC11" s="118"/>
      <c r="SUD11" s="118"/>
      <c r="SUE11" s="118"/>
      <c r="SUF11" s="118"/>
      <c r="SUG11" s="118"/>
      <c r="SUH11" s="118"/>
      <c r="SUI11" s="118"/>
      <c r="SUJ11" s="118"/>
      <c r="SUK11" s="118"/>
      <c r="SUL11" s="118"/>
      <c r="SUM11" s="118"/>
      <c r="SUN11" s="118"/>
      <c r="SUO11" s="118"/>
      <c r="SUP11" s="118"/>
      <c r="SUQ11" s="118"/>
      <c r="SUR11" s="118"/>
      <c r="SUS11" s="118"/>
      <c r="SUT11" s="118"/>
      <c r="SUU11" s="118"/>
      <c r="SUV11" s="118"/>
      <c r="SUW11" s="118"/>
      <c r="SUX11" s="118"/>
      <c r="SUY11" s="118"/>
      <c r="SUZ11" s="118"/>
      <c r="SVA11" s="118"/>
      <c r="SVB11" s="118"/>
      <c r="SVC11" s="118"/>
      <c r="SVD11" s="118"/>
      <c r="SVE11" s="118"/>
      <c r="SVF11" s="118"/>
      <c r="SVG11" s="118"/>
      <c r="SVH11" s="118"/>
      <c r="SVI11" s="118"/>
      <c r="SVJ11" s="118"/>
      <c r="SVK11" s="118"/>
      <c r="SVL11" s="118"/>
      <c r="SVM11" s="118"/>
      <c r="SVN11" s="118"/>
      <c r="SVO11" s="118"/>
      <c r="SVP11" s="118"/>
      <c r="SVQ11" s="118"/>
      <c r="SVR11" s="118"/>
      <c r="SVS11" s="118"/>
      <c r="SVT11" s="118"/>
      <c r="SVU11" s="118"/>
      <c r="SVV11" s="118"/>
      <c r="SVW11" s="118"/>
      <c r="SVX11" s="118"/>
      <c r="SVY11" s="118"/>
      <c r="SVZ11" s="118"/>
      <c r="SWA11" s="118"/>
      <c r="SWB11" s="118"/>
      <c r="SWC11" s="118"/>
      <c r="SWD11" s="118"/>
      <c r="SWE11" s="118"/>
      <c r="SWF11" s="118"/>
      <c r="SWG11" s="118"/>
      <c r="SWH11" s="118"/>
      <c r="SWI11" s="118"/>
      <c r="SWJ11" s="118"/>
      <c r="SWK11" s="118"/>
      <c r="SWL11" s="118"/>
      <c r="SWM11" s="118"/>
      <c r="SWN11" s="118"/>
      <c r="SWO11" s="118"/>
      <c r="SWP11" s="118"/>
      <c r="SWQ11" s="118"/>
      <c r="SWR11" s="118"/>
      <c r="SWS11" s="118"/>
      <c r="SWT11" s="118"/>
      <c r="SWU11" s="118"/>
      <c r="SWV11" s="118"/>
      <c r="SWW11" s="118"/>
      <c r="SWX11" s="118"/>
      <c r="SWY11" s="118"/>
      <c r="SWZ11" s="118"/>
      <c r="SXA11" s="118"/>
      <c r="SXB11" s="118"/>
      <c r="SXC11" s="118"/>
      <c r="SXD11" s="118"/>
      <c r="SXE11" s="118"/>
      <c r="SXF11" s="118"/>
      <c r="SXG11" s="118"/>
      <c r="SXH11" s="118"/>
      <c r="SXI11" s="118"/>
      <c r="SXJ11" s="118"/>
      <c r="SXK11" s="118"/>
      <c r="SXL11" s="118"/>
      <c r="SXM11" s="118"/>
      <c r="SXN11" s="118"/>
      <c r="SXO11" s="118"/>
      <c r="SXP11" s="118"/>
      <c r="SXQ11" s="118"/>
      <c r="SXR11" s="118"/>
      <c r="SXS11" s="118"/>
      <c r="SXT11" s="118"/>
      <c r="SXU11" s="118"/>
      <c r="SXV11" s="118"/>
      <c r="SXW11" s="118"/>
      <c r="SXX11" s="118"/>
      <c r="SXY11" s="118"/>
      <c r="SXZ11" s="118"/>
      <c r="SYA11" s="118"/>
      <c r="SYB11" s="118"/>
      <c r="SYC11" s="118"/>
      <c r="SYD11" s="118"/>
      <c r="SYE11" s="118"/>
      <c r="SYF11" s="118"/>
      <c r="SYG11" s="118"/>
      <c r="SYH11" s="118"/>
      <c r="SYI11" s="118"/>
      <c r="SYJ11" s="118"/>
      <c r="SYK11" s="118"/>
      <c r="SYL11" s="118"/>
      <c r="SYM11" s="118"/>
      <c r="SYN11" s="118"/>
      <c r="SYO11" s="118"/>
      <c r="SYP11" s="118"/>
      <c r="SYQ11" s="118"/>
      <c r="SYR11" s="118"/>
      <c r="SYS11" s="118"/>
      <c r="SYT11" s="118"/>
      <c r="SYU11" s="118"/>
      <c r="SYV11" s="118"/>
      <c r="SYW11" s="118"/>
      <c r="SYX11" s="118"/>
      <c r="SYY11" s="118"/>
      <c r="SYZ11" s="118"/>
      <c r="SZA11" s="118"/>
      <c r="SZB11" s="118"/>
      <c r="SZC11" s="118"/>
      <c r="SZD11" s="118"/>
      <c r="SZE11" s="118"/>
      <c r="SZF11" s="118"/>
      <c r="SZG11" s="118"/>
      <c r="SZH11" s="118"/>
      <c r="SZI11" s="118"/>
      <c r="SZJ11" s="118"/>
      <c r="SZK11" s="118"/>
      <c r="SZL11" s="118"/>
      <c r="SZM11" s="118"/>
      <c r="SZN11" s="118"/>
      <c r="SZO11" s="118"/>
      <c r="SZP11" s="118"/>
      <c r="SZQ11" s="118"/>
      <c r="SZR11" s="118"/>
      <c r="SZS11" s="118"/>
      <c r="SZT11" s="118"/>
      <c r="SZU11" s="118"/>
      <c r="SZV11" s="118"/>
      <c r="SZW11" s="118"/>
      <c r="SZX11" s="118"/>
      <c r="SZY11" s="118"/>
      <c r="SZZ11" s="118"/>
      <c r="TAA11" s="118"/>
      <c r="TAB11" s="118"/>
      <c r="TAC11" s="118"/>
      <c r="TAD11" s="118"/>
      <c r="TAE11" s="118"/>
      <c r="TAF11" s="118"/>
      <c r="TAG11" s="118"/>
      <c r="TAH11" s="118"/>
      <c r="TAI11" s="118"/>
      <c r="TAJ11" s="118"/>
      <c r="TAK11" s="118"/>
      <c r="TAL11" s="118"/>
      <c r="TAM11" s="118"/>
      <c r="TAN11" s="118"/>
      <c r="TAO11" s="118"/>
      <c r="TAP11" s="118"/>
      <c r="TAQ11" s="118"/>
      <c r="TAR11" s="118"/>
      <c r="TAS11" s="118"/>
      <c r="TAT11" s="118"/>
      <c r="TAU11" s="118"/>
      <c r="TAV11" s="118"/>
      <c r="TAW11" s="118"/>
      <c r="TAX11" s="118"/>
      <c r="TAY11" s="118"/>
      <c r="TAZ11" s="118"/>
      <c r="TBA11" s="118"/>
      <c r="TBB11" s="118"/>
      <c r="TBC11" s="118"/>
      <c r="TBD11" s="118"/>
      <c r="TBE11" s="118"/>
      <c r="TBF11" s="118"/>
      <c r="TBG11" s="118"/>
      <c r="TBH11" s="118"/>
      <c r="TBI11" s="118"/>
      <c r="TBJ11" s="118"/>
      <c r="TBK11" s="118"/>
      <c r="TBL11" s="118"/>
      <c r="TBM11" s="118"/>
      <c r="TBN11" s="118"/>
      <c r="TBO11" s="118"/>
      <c r="TBP11" s="118"/>
      <c r="TBQ11" s="118"/>
      <c r="TBR11" s="118"/>
      <c r="TBS11" s="118"/>
      <c r="TBT11" s="118"/>
      <c r="TBU11" s="118"/>
      <c r="TBV11" s="118"/>
      <c r="TBW11" s="118"/>
      <c r="TBX11" s="118"/>
      <c r="TBY11" s="118"/>
      <c r="TBZ11" s="118"/>
      <c r="TCA11" s="118"/>
      <c r="TCB11" s="118"/>
      <c r="TCC11" s="118"/>
      <c r="TCD11" s="118"/>
      <c r="TCE11" s="118"/>
      <c r="TCF11" s="118"/>
      <c r="TCG11" s="118"/>
      <c r="TCH11" s="118"/>
      <c r="TCI11" s="118"/>
      <c r="TCJ11" s="118"/>
      <c r="TCK11" s="118"/>
      <c r="TCL11" s="118"/>
      <c r="TCM11" s="118"/>
      <c r="TCN11" s="118"/>
      <c r="TCO11" s="118"/>
      <c r="TCP11" s="118"/>
      <c r="TCQ11" s="118"/>
      <c r="TCR11" s="118"/>
      <c r="TCS11" s="118"/>
      <c r="TCT11" s="118"/>
      <c r="TCU11" s="118"/>
      <c r="TCV11" s="118"/>
      <c r="TCW11" s="118"/>
      <c r="TCX11" s="118"/>
      <c r="TCY11" s="118"/>
      <c r="TCZ11" s="118"/>
      <c r="TDA11" s="118"/>
      <c r="TDB11" s="118"/>
      <c r="TDC11" s="118"/>
      <c r="TDD11" s="118"/>
      <c r="TDE11" s="118"/>
      <c r="TDF11" s="118"/>
      <c r="TDG11" s="118"/>
      <c r="TDH11" s="118"/>
      <c r="TDI11" s="118"/>
      <c r="TDJ11" s="118"/>
      <c r="TDK11" s="118"/>
      <c r="TDL11" s="118"/>
      <c r="TDM11" s="118"/>
      <c r="TDN11" s="118"/>
      <c r="TDO11" s="118"/>
      <c r="TDP11" s="118"/>
      <c r="TDQ11" s="118"/>
      <c r="TDR11" s="118"/>
      <c r="TDS11" s="118"/>
      <c r="TDT11" s="118"/>
      <c r="TDU11" s="118"/>
      <c r="TDV11" s="118"/>
      <c r="TDW11" s="118"/>
      <c r="TDX11" s="118"/>
      <c r="TDY11" s="118"/>
      <c r="TDZ11" s="118"/>
      <c r="TEA11" s="118"/>
      <c r="TEB11" s="118"/>
      <c r="TEC11" s="118"/>
      <c r="TED11" s="118"/>
      <c r="TEE11" s="118"/>
      <c r="TEF11" s="118"/>
      <c r="TEG11" s="118"/>
      <c r="TEH11" s="118"/>
      <c r="TEI11" s="118"/>
      <c r="TEJ11" s="118"/>
      <c r="TEK11" s="118"/>
      <c r="TEL11" s="118"/>
      <c r="TEM11" s="118"/>
      <c r="TEN11" s="118"/>
      <c r="TEO11" s="118"/>
      <c r="TEP11" s="118"/>
      <c r="TEQ11" s="118"/>
      <c r="TER11" s="118"/>
      <c r="TES11" s="118"/>
      <c r="TET11" s="118"/>
      <c r="TEU11" s="118"/>
      <c r="TEV11" s="118"/>
      <c r="TEW11" s="118"/>
      <c r="TEX11" s="118"/>
      <c r="TEY11" s="118"/>
      <c r="TEZ11" s="118"/>
      <c r="TFA11" s="118"/>
      <c r="TFB11" s="118"/>
      <c r="TFC11" s="118"/>
      <c r="TFD11" s="118"/>
      <c r="TFE11" s="118"/>
      <c r="TFF11" s="118"/>
      <c r="TFG11" s="118"/>
      <c r="TFH11" s="118"/>
      <c r="TFI11" s="118"/>
      <c r="TFJ11" s="118"/>
      <c r="TFK11" s="118"/>
      <c r="TFL11" s="118"/>
      <c r="TFM11" s="118"/>
      <c r="TFN11" s="118"/>
      <c r="TFO11" s="118"/>
      <c r="TFP11" s="118"/>
      <c r="TFQ11" s="118"/>
      <c r="TFR11" s="118"/>
      <c r="TFS11" s="118"/>
      <c r="TFT11" s="118"/>
      <c r="TFU11" s="118"/>
      <c r="TFV11" s="118"/>
      <c r="TFW11" s="118"/>
      <c r="TFX11" s="118"/>
      <c r="TFY11" s="118"/>
      <c r="TFZ11" s="118"/>
      <c r="TGA11" s="118"/>
      <c r="TGB11" s="118"/>
      <c r="TGC11" s="118"/>
      <c r="TGD11" s="118"/>
      <c r="TGE11" s="118"/>
      <c r="TGF11" s="118"/>
      <c r="TGG11" s="118"/>
      <c r="TGH11" s="118"/>
      <c r="TGI11" s="118"/>
      <c r="TGJ11" s="118"/>
      <c r="TGK11" s="118"/>
      <c r="TGL11" s="118"/>
      <c r="TGM11" s="118"/>
      <c r="TGN11" s="118"/>
      <c r="TGO11" s="118"/>
      <c r="TGP11" s="118"/>
      <c r="TGQ11" s="118"/>
      <c r="TGR11" s="118"/>
      <c r="TGS11" s="118"/>
      <c r="TGT11" s="118"/>
      <c r="TGU11" s="118"/>
      <c r="TGV11" s="118"/>
      <c r="TGW11" s="118"/>
      <c r="TGX11" s="118"/>
      <c r="TGY11" s="118"/>
      <c r="TGZ11" s="118"/>
      <c r="THA11" s="118"/>
      <c r="THB11" s="118"/>
      <c r="THC11" s="118"/>
      <c r="THD11" s="118"/>
      <c r="THE11" s="118"/>
      <c r="THF11" s="118"/>
      <c r="THG11" s="118"/>
      <c r="THH11" s="118"/>
      <c r="THI11" s="118"/>
      <c r="THJ11" s="118"/>
      <c r="THK11" s="118"/>
      <c r="THL11" s="118"/>
      <c r="THM11" s="118"/>
      <c r="THN11" s="118"/>
      <c r="THO11" s="118"/>
      <c r="THP11" s="118"/>
      <c r="THQ11" s="118"/>
      <c r="THR11" s="118"/>
      <c r="THS11" s="118"/>
      <c r="THT11" s="118"/>
      <c r="THU11" s="118"/>
      <c r="THV11" s="118"/>
      <c r="THW11" s="118"/>
      <c r="THX11" s="118"/>
      <c r="THY11" s="118"/>
      <c r="THZ11" s="118"/>
      <c r="TIA11" s="118"/>
      <c r="TIB11" s="118"/>
      <c r="TIC11" s="118"/>
      <c r="TID11" s="118"/>
      <c r="TIE11" s="118"/>
      <c r="TIF11" s="118"/>
      <c r="TIG11" s="118"/>
      <c r="TIH11" s="118"/>
      <c r="TII11" s="118"/>
      <c r="TIJ11" s="118"/>
      <c r="TIK11" s="118"/>
      <c r="TIL11" s="118"/>
      <c r="TIM11" s="118"/>
      <c r="TIN11" s="118"/>
      <c r="TIO11" s="118"/>
      <c r="TIP11" s="118"/>
      <c r="TIQ11" s="118"/>
      <c r="TIR11" s="118"/>
      <c r="TIS11" s="118"/>
      <c r="TIT11" s="118"/>
      <c r="TIU11" s="118"/>
      <c r="TIV11" s="118"/>
      <c r="TIW11" s="118"/>
      <c r="TIX11" s="118"/>
      <c r="TIY11" s="118"/>
      <c r="TIZ11" s="118"/>
      <c r="TJA11" s="118"/>
      <c r="TJB11" s="118"/>
      <c r="TJC11" s="118"/>
      <c r="TJD11" s="118"/>
      <c r="TJE11" s="118"/>
      <c r="TJF11" s="118"/>
      <c r="TJG11" s="118"/>
      <c r="TJH11" s="118"/>
      <c r="TJI11" s="118"/>
      <c r="TJJ11" s="118"/>
      <c r="TJK11" s="118"/>
      <c r="TJL11" s="118"/>
      <c r="TJM11" s="118"/>
      <c r="TJN11" s="118"/>
      <c r="TJO11" s="118"/>
      <c r="TJP11" s="118"/>
      <c r="TJQ11" s="118"/>
      <c r="TJR11" s="118"/>
      <c r="TJS11" s="118"/>
      <c r="TJT11" s="118"/>
      <c r="TJU11" s="118"/>
      <c r="TJV11" s="118"/>
      <c r="TJW11" s="118"/>
      <c r="TJX11" s="118"/>
      <c r="TJY11" s="118"/>
      <c r="TJZ11" s="118"/>
      <c r="TKA11" s="118"/>
      <c r="TKB11" s="118"/>
      <c r="TKC11" s="118"/>
      <c r="TKD11" s="118"/>
      <c r="TKE11" s="118"/>
      <c r="TKF11" s="118"/>
      <c r="TKG11" s="118"/>
      <c r="TKH11" s="118"/>
      <c r="TKI11" s="118"/>
      <c r="TKJ11" s="118"/>
      <c r="TKK11" s="118"/>
      <c r="TKL11" s="118"/>
      <c r="TKM11" s="118"/>
      <c r="TKN11" s="118"/>
      <c r="TKO11" s="118"/>
      <c r="TKP11" s="118"/>
      <c r="TKQ11" s="118"/>
      <c r="TKR11" s="118"/>
      <c r="TKS11" s="118"/>
      <c r="TKT11" s="118"/>
      <c r="TKU11" s="118"/>
      <c r="TKV11" s="118"/>
      <c r="TKW11" s="118"/>
      <c r="TKX11" s="118"/>
      <c r="TKY11" s="118"/>
      <c r="TKZ11" s="118"/>
      <c r="TLA11" s="118"/>
      <c r="TLB11" s="118"/>
      <c r="TLC11" s="118"/>
      <c r="TLD11" s="118"/>
      <c r="TLE11" s="118"/>
      <c r="TLF11" s="118"/>
      <c r="TLG11" s="118"/>
      <c r="TLH11" s="118"/>
      <c r="TLI11" s="118"/>
      <c r="TLJ11" s="118"/>
      <c r="TLK11" s="118"/>
      <c r="TLL11" s="118"/>
      <c r="TLM11" s="118"/>
      <c r="TLN11" s="118"/>
      <c r="TLO11" s="118"/>
      <c r="TLP11" s="118"/>
      <c r="TLQ11" s="118"/>
      <c r="TLR11" s="118"/>
      <c r="TLS11" s="118"/>
      <c r="TLT11" s="118"/>
      <c r="TLU11" s="118"/>
      <c r="TLV11" s="118"/>
      <c r="TLW11" s="118"/>
      <c r="TLX11" s="118"/>
      <c r="TLY11" s="118"/>
      <c r="TLZ11" s="118"/>
      <c r="TMA11" s="118"/>
      <c r="TMB11" s="118"/>
      <c r="TMC11" s="118"/>
      <c r="TMD11" s="118"/>
      <c r="TME11" s="118"/>
      <c r="TMF11" s="118"/>
      <c r="TMG11" s="118"/>
      <c r="TMH11" s="118"/>
      <c r="TMI11" s="118"/>
      <c r="TMJ11" s="118"/>
      <c r="TMK11" s="118"/>
      <c r="TML11" s="118"/>
      <c r="TMM11" s="118"/>
      <c r="TMN11" s="118"/>
      <c r="TMO11" s="118"/>
      <c r="TMP11" s="118"/>
      <c r="TMQ11" s="118"/>
      <c r="TMR11" s="118"/>
      <c r="TMS11" s="118"/>
      <c r="TMT11" s="118"/>
      <c r="TMU11" s="118"/>
      <c r="TMV11" s="118"/>
      <c r="TMW11" s="118"/>
      <c r="TMX11" s="118"/>
      <c r="TMY11" s="118"/>
      <c r="TMZ11" s="118"/>
      <c r="TNA11" s="118"/>
      <c r="TNB11" s="118"/>
      <c r="TNC11" s="118"/>
      <c r="TND11" s="118"/>
      <c r="TNE11" s="118"/>
      <c r="TNF11" s="118"/>
      <c r="TNG11" s="118"/>
      <c r="TNH11" s="118"/>
      <c r="TNI11" s="118"/>
      <c r="TNJ11" s="118"/>
      <c r="TNK11" s="118"/>
      <c r="TNL11" s="118"/>
      <c r="TNM11" s="118"/>
      <c r="TNN11" s="118"/>
      <c r="TNO11" s="118"/>
      <c r="TNP11" s="118"/>
      <c r="TNQ11" s="118"/>
      <c r="TNR11" s="118"/>
      <c r="TNS11" s="118"/>
      <c r="TNT11" s="118"/>
      <c r="TNU11" s="118"/>
      <c r="TNV11" s="118"/>
      <c r="TNW11" s="118"/>
      <c r="TNX11" s="118"/>
      <c r="TNY11" s="118"/>
      <c r="TNZ11" s="118"/>
      <c r="TOA11" s="118"/>
      <c r="TOB11" s="118"/>
      <c r="TOC11" s="118"/>
      <c r="TOD11" s="118"/>
      <c r="TOE11" s="118"/>
      <c r="TOF11" s="118"/>
      <c r="TOG11" s="118"/>
      <c r="TOH11" s="118"/>
      <c r="TOI11" s="118"/>
      <c r="TOJ11" s="118"/>
      <c r="TOK11" s="118"/>
      <c r="TOL11" s="118"/>
      <c r="TOM11" s="118"/>
      <c r="TON11" s="118"/>
      <c r="TOO11" s="118"/>
      <c r="TOP11" s="118"/>
      <c r="TOQ11" s="118"/>
      <c r="TOR11" s="118"/>
      <c r="TOS11" s="118"/>
      <c r="TOT11" s="118"/>
      <c r="TOU11" s="118"/>
      <c r="TOV11" s="118"/>
      <c r="TOW11" s="118"/>
      <c r="TOX11" s="118"/>
      <c r="TOY11" s="118"/>
      <c r="TOZ11" s="118"/>
      <c r="TPA11" s="118"/>
      <c r="TPB11" s="118"/>
      <c r="TPC11" s="118"/>
      <c r="TPD11" s="118"/>
      <c r="TPE11" s="118"/>
      <c r="TPF11" s="118"/>
      <c r="TPG11" s="118"/>
      <c r="TPH11" s="118"/>
      <c r="TPI11" s="118"/>
      <c r="TPJ11" s="118"/>
      <c r="TPK11" s="118"/>
      <c r="TPL11" s="118"/>
      <c r="TPM11" s="118"/>
      <c r="TPN11" s="118"/>
      <c r="TPO11" s="118"/>
      <c r="TPP11" s="118"/>
      <c r="TPQ11" s="118"/>
      <c r="TPR11" s="118"/>
      <c r="TPS11" s="118"/>
      <c r="TPT11" s="118"/>
      <c r="TPU11" s="118"/>
      <c r="TPV11" s="118"/>
      <c r="TPW11" s="118"/>
      <c r="TPX11" s="118"/>
      <c r="TPY11" s="118"/>
      <c r="TPZ11" s="118"/>
      <c r="TQA11" s="118"/>
      <c r="TQB11" s="118"/>
      <c r="TQC11" s="118"/>
      <c r="TQD11" s="118"/>
      <c r="TQE11" s="118"/>
      <c r="TQF11" s="118"/>
      <c r="TQG11" s="118"/>
      <c r="TQH11" s="118"/>
      <c r="TQI11" s="118"/>
      <c r="TQJ11" s="118"/>
      <c r="TQK11" s="118"/>
      <c r="TQL11" s="118"/>
      <c r="TQM11" s="118"/>
      <c r="TQN11" s="118"/>
      <c r="TQO11" s="118"/>
      <c r="TQP11" s="118"/>
      <c r="TQQ11" s="118"/>
      <c r="TQR11" s="118"/>
      <c r="TQS11" s="118"/>
      <c r="TQT11" s="118"/>
      <c r="TQU11" s="118"/>
      <c r="TQV11" s="118"/>
      <c r="TQW11" s="118"/>
      <c r="TQX11" s="118"/>
      <c r="TQY11" s="118"/>
      <c r="TQZ11" s="118"/>
      <c r="TRA11" s="118"/>
      <c r="TRB11" s="118"/>
      <c r="TRC11" s="118"/>
      <c r="TRD11" s="118"/>
      <c r="TRE11" s="118"/>
      <c r="TRF11" s="118"/>
      <c r="TRG11" s="118"/>
      <c r="TRH11" s="118"/>
      <c r="TRI11" s="118"/>
      <c r="TRJ11" s="118"/>
      <c r="TRK11" s="118"/>
      <c r="TRL11" s="118"/>
      <c r="TRM11" s="118"/>
      <c r="TRN11" s="118"/>
      <c r="TRO11" s="118"/>
      <c r="TRP11" s="118"/>
      <c r="TRQ11" s="118"/>
      <c r="TRR11" s="118"/>
      <c r="TRS11" s="118"/>
      <c r="TRT11" s="118"/>
      <c r="TRU11" s="118"/>
      <c r="TRV11" s="118"/>
      <c r="TRW11" s="118"/>
      <c r="TRX11" s="118"/>
      <c r="TRY11" s="118"/>
      <c r="TRZ11" s="118"/>
      <c r="TSA11" s="118"/>
      <c r="TSB11" s="118"/>
      <c r="TSC11" s="118"/>
      <c r="TSD11" s="118"/>
      <c r="TSE11" s="118"/>
      <c r="TSF11" s="118"/>
      <c r="TSG11" s="118"/>
      <c r="TSH11" s="118"/>
      <c r="TSI11" s="118"/>
      <c r="TSJ11" s="118"/>
      <c r="TSK11" s="118"/>
      <c r="TSL11" s="118"/>
      <c r="TSM11" s="118"/>
      <c r="TSN11" s="118"/>
      <c r="TSO11" s="118"/>
      <c r="TSP11" s="118"/>
      <c r="TSQ11" s="118"/>
      <c r="TSR11" s="118"/>
      <c r="TSS11" s="118"/>
      <c r="TST11" s="118"/>
      <c r="TSU11" s="118"/>
      <c r="TSV11" s="118"/>
      <c r="TSW11" s="118"/>
      <c r="TSX11" s="118"/>
      <c r="TSY11" s="118"/>
      <c r="TSZ11" s="118"/>
      <c r="TTA11" s="118"/>
      <c r="TTB11" s="118"/>
      <c r="TTC11" s="118"/>
      <c r="TTD11" s="118"/>
      <c r="TTE11" s="118"/>
      <c r="TTF11" s="118"/>
      <c r="TTG11" s="118"/>
      <c r="TTH11" s="118"/>
      <c r="TTI11" s="118"/>
      <c r="TTJ11" s="118"/>
      <c r="TTK11" s="118"/>
      <c r="TTL11" s="118"/>
      <c r="TTM11" s="118"/>
      <c r="TTN11" s="118"/>
      <c r="TTO11" s="118"/>
      <c r="TTP11" s="118"/>
      <c r="TTQ11" s="118"/>
      <c r="TTR11" s="118"/>
      <c r="TTS11" s="118"/>
      <c r="TTT11" s="118"/>
      <c r="TTU11" s="118"/>
      <c r="TTV11" s="118"/>
      <c r="TTW11" s="118"/>
      <c r="TTX11" s="118"/>
      <c r="TTY11" s="118"/>
      <c r="TTZ11" s="118"/>
      <c r="TUA11" s="118"/>
      <c r="TUB11" s="118"/>
      <c r="TUC11" s="118"/>
      <c r="TUD11" s="118"/>
      <c r="TUE11" s="118"/>
      <c r="TUF11" s="118"/>
      <c r="TUG11" s="118"/>
      <c r="TUH11" s="118"/>
      <c r="TUI11" s="118"/>
      <c r="TUJ11" s="118"/>
      <c r="TUK11" s="118"/>
      <c r="TUL11" s="118"/>
      <c r="TUM11" s="118"/>
      <c r="TUN11" s="118"/>
      <c r="TUO11" s="118"/>
      <c r="TUP11" s="118"/>
      <c r="TUQ11" s="118"/>
      <c r="TUR11" s="118"/>
      <c r="TUS11" s="118"/>
      <c r="TUT11" s="118"/>
      <c r="TUU11" s="118"/>
      <c r="TUV11" s="118"/>
      <c r="TUW11" s="118"/>
      <c r="TUX11" s="118"/>
      <c r="TUY11" s="118"/>
      <c r="TUZ11" s="118"/>
      <c r="TVA11" s="118"/>
      <c r="TVB11" s="118"/>
      <c r="TVC11" s="118"/>
      <c r="TVD11" s="118"/>
      <c r="TVE11" s="118"/>
      <c r="TVF11" s="118"/>
      <c r="TVG11" s="118"/>
      <c r="TVH11" s="118"/>
      <c r="TVI11" s="118"/>
      <c r="TVJ11" s="118"/>
      <c r="TVK11" s="118"/>
      <c r="TVL11" s="118"/>
      <c r="TVM11" s="118"/>
      <c r="TVN11" s="118"/>
      <c r="TVO11" s="118"/>
      <c r="TVP11" s="118"/>
      <c r="TVQ11" s="118"/>
      <c r="TVR11" s="118"/>
      <c r="TVS11" s="118"/>
      <c r="TVT11" s="118"/>
      <c r="TVU11" s="118"/>
      <c r="TVV11" s="118"/>
      <c r="TVW11" s="118"/>
      <c r="TVX11" s="118"/>
      <c r="TVY11" s="118"/>
      <c r="TVZ11" s="118"/>
      <c r="TWA11" s="118"/>
      <c r="TWB11" s="118"/>
      <c r="TWC11" s="118"/>
      <c r="TWD11" s="118"/>
      <c r="TWE11" s="118"/>
      <c r="TWF11" s="118"/>
      <c r="TWG11" s="118"/>
      <c r="TWH11" s="118"/>
      <c r="TWI11" s="118"/>
      <c r="TWJ11" s="118"/>
      <c r="TWK11" s="118"/>
      <c r="TWL11" s="118"/>
      <c r="TWM11" s="118"/>
      <c r="TWN11" s="118"/>
      <c r="TWO11" s="118"/>
      <c r="TWP11" s="118"/>
      <c r="TWQ11" s="118"/>
      <c r="TWR11" s="118"/>
      <c r="TWS11" s="118"/>
      <c r="TWT11" s="118"/>
      <c r="TWU11" s="118"/>
      <c r="TWV11" s="118"/>
      <c r="TWW11" s="118"/>
      <c r="TWX11" s="118"/>
      <c r="TWY11" s="118"/>
      <c r="TWZ11" s="118"/>
      <c r="TXA11" s="118"/>
      <c r="TXB11" s="118"/>
      <c r="TXC11" s="118"/>
      <c r="TXD11" s="118"/>
      <c r="TXE11" s="118"/>
      <c r="TXF11" s="118"/>
      <c r="TXG11" s="118"/>
      <c r="TXH11" s="118"/>
      <c r="TXI11" s="118"/>
      <c r="TXJ11" s="118"/>
      <c r="TXK11" s="118"/>
      <c r="TXL11" s="118"/>
      <c r="TXM11" s="118"/>
      <c r="TXN11" s="118"/>
      <c r="TXO11" s="118"/>
      <c r="TXP11" s="118"/>
      <c r="TXQ11" s="118"/>
      <c r="TXR11" s="118"/>
      <c r="TXS11" s="118"/>
      <c r="TXT11" s="118"/>
      <c r="TXU11" s="118"/>
      <c r="TXV11" s="118"/>
      <c r="TXW11" s="118"/>
      <c r="TXX11" s="118"/>
      <c r="TXY11" s="118"/>
      <c r="TXZ11" s="118"/>
      <c r="TYA11" s="118"/>
      <c r="TYB11" s="118"/>
      <c r="TYC11" s="118"/>
      <c r="TYD11" s="118"/>
      <c r="TYE11" s="118"/>
      <c r="TYF11" s="118"/>
      <c r="TYG11" s="118"/>
      <c r="TYH11" s="118"/>
      <c r="TYI11" s="118"/>
      <c r="TYJ11" s="118"/>
      <c r="TYK11" s="118"/>
      <c r="TYL11" s="118"/>
      <c r="TYM11" s="118"/>
      <c r="TYN11" s="118"/>
      <c r="TYO11" s="118"/>
      <c r="TYP11" s="118"/>
      <c r="TYQ11" s="118"/>
      <c r="TYR11" s="118"/>
      <c r="TYS11" s="118"/>
      <c r="TYT11" s="118"/>
      <c r="TYU11" s="118"/>
      <c r="TYV11" s="118"/>
      <c r="TYW11" s="118"/>
      <c r="TYX11" s="118"/>
      <c r="TYY11" s="118"/>
      <c r="TYZ11" s="118"/>
      <c r="TZA11" s="118"/>
      <c r="TZB11" s="118"/>
      <c r="TZC11" s="118"/>
      <c r="TZD11" s="118"/>
      <c r="TZE11" s="118"/>
      <c r="TZF11" s="118"/>
      <c r="TZG11" s="118"/>
      <c r="TZH11" s="118"/>
      <c r="TZI11" s="118"/>
      <c r="TZJ11" s="118"/>
      <c r="TZK11" s="118"/>
      <c r="TZL11" s="118"/>
      <c r="TZM11" s="118"/>
      <c r="TZN11" s="118"/>
      <c r="TZO11" s="118"/>
      <c r="TZP11" s="118"/>
      <c r="TZQ11" s="118"/>
      <c r="TZR11" s="118"/>
      <c r="TZS11" s="118"/>
      <c r="TZT11" s="118"/>
      <c r="TZU11" s="118"/>
      <c r="TZV11" s="118"/>
      <c r="TZW11" s="118"/>
      <c r="TZX11" s="118"/>
      <c r="TZY11" s="118"/>
      <c r="TZZ11" s="118"/>
      <c r="UAA11" s="118"/>
      <c r="UAB11" s="118"/>
      <c r="UAC11" s="118"/>
      <c r="UAD11" s="118"/>
      <c r="UAE11" s="118"/>
      <c r="UAF11" s="118"/>
      <c r="UAG11" s="118"/>
      <c r="UAH11" s="118"/>
      <c r="UAI11" s="118"/>
      <c r="UAJ11" s="118"/>
      <c r="UAK11" s="118"/>
      <c r="UAL11" s="118"/>
      <c r="UAM11" s="118"/>
      <c r="UAN11" s="118"/>
      <c r="UAO11" s="118"/>
      <c r="UAP11" s="118"/>
      <c r="UAQ11" s="118"/>
      <c r="UAR11" s="118"/>
      <c r="UAS11" s="118"/>
      <c r="UAT11" s="118"/>
      <c r="UAU11" s="118"/>
      <c r="UAV11" s="118"/>
      <c r="UAW11" s="118"/>
      <c r="UAX11" s="118"/>
      <c r="UAY11" s="118"/>
      <c r="UAZ11" s="118"/>
      <c r="UBA11" s="118"/>
      <c r="UBB11" s="118"/>
      <c r="UBC11" s="118"/>
      <c r="UBD11" s="118"/>
      <c r="UBE11" s="118"/>
      <c r="UBF11" s="118"/>
      <c r="UBG11" s="118"/>
      <c r="UBH11" s="118"/>
      <c r="UBI11" s="118"/>
      <c r="UBJ11" s="118"/>
      <c r="UBK11" s="118"/>
      <c r="UBL11" s="118"/>
      <c r="UBM11" s="118"/>
      <c r="UBN11" s="118"/>
      <c r="UBO11" s="118"/>
      <c r="UBP11" s="118"/>
      <c r="UBQ11" s="118"/>
      <c r="UBR11" s="118"/>
      <c r="UBS11" s="118"/>
      <c r="UBT11" s="118"/>
      <c r="UBU11" s="118"/>
      <c r="UBV11" s="118"/>
      <c r="UBW11" s="118"/>
      <c r="UBX11" s="118"/>
      <c r="UBY11" s="118"/>
      <c r="UBZ11" s="118"/>
      <c r="UCA11" s="118"/>
      <c r="UCB11" s="118"/>
      <c r="UCC11" s="118"/>
      <c r="UCD11" s="118"/>
      <c r="UCE11" s="118"/>
      <c r="UCF11" s="118"/>
      <c r="UCG11" s="118"/>
      <c r="UCH11" s="118"/>
      <c r="UCI11" s="118"/>
      <c r="UCJ11" s="118"/>
      <c r="UCK11" s="118"/>
      <c r="UCL11" s="118"/>
      <c r="UCM11" s="118"/>
      <c r="UCN11" s="118"/>
      <c r="UCO11" s="118"/>
      <c r="UCP11" s="118"/>
      <c r="UCQ11" s="118"/>
      <c r="UCR11" s="118"/>
      <c r="UCS11" s="118"/>
      <c r="UCT11" s="118"/>
      <c r="UCU11" s="118"/>
      <c r="UCV11" s="118"/>
      <c r="UCW11" s="118"/>
      <c r="UCX11" s="118"/>
      <c r="UCY11" s="118"/>
      <c r="UCZ11" s="118"/>
      <c r="UDA11" s="118"/>
      <c r="UDB11" s="118"/>
      <c r="UDC11" s="118"/>
      <c r="UDD11" s="118"/>
      <c r="UDE11" s="118"/>
      <c r="UDF11" s="118"/>
      <c r="UDG11" s="118"/>
      <c r="UDH11" s="118"/>
      <c r="UDI11" s="118"/>
      <c r="UDJ11" s="118"/>
      <c r="UDK11" s="118"/>
      <c r="UDL11" s="118"/>
      <c r="UDM11" s="118"/>
      <c r="UDN11" s="118"/>
      <c r="UDO11" s="118"/>
      <c r="UDP11" s="118"/>
      <c r="UDQ11" s="118"/>
      <c r="UDR11" s="118"/>
      <c r="UDS11" s="118"/>
      <c r="UDT11" s="118"/>
      <c r="UDU11" s="118"/>
      <c r="UDV11" s="118"/>
      <c r="UDW11" s="118"/>
      <c r="UDX11" s="118"/>
      <c r="UDY11" s="118"/>
      <c r="UDZ11" s="118"/>
      <c r="UEA11" s="118"/>
      <c r="UEB11" s="118"/>
      <c r="UEC11" s="118"/>
      <c r="UED11" s="118"/>
      <c r="UEE11" s="118"/>
      <c r="UEF11" s="118"/>
      <c r="UEG11" s="118"/>
      <c r="UEH11" s="118"/>
      <c r="UEI11" s="118"/>
      <c r="UEJ11" s="118"/>
      <c r="UEK11" s="118"/>
      <c r="UEL11" s="118"/>
      <c r="UEM11" s="118"/>
      <c r="UEN11" s="118"/>
      <c r="UEO11" s="118"/>
      <c r="UEP11" s="118"/>
      <c r="UEQ11" s="118"/>
      <c r="UER11" s="118"/>
      <c r="UES11" s="118"/>
      <c r="UET11" s="118"/>
      <c r="UEU11" s="118"/>
      <c r="UEV11" s="118"/>
      <c r="UEW11" s="118"/>
      <c r="UEX11" s="118"/>
      <c r="UEY11" s="118"/>
      <c r="UEZ11" s="118"/>
      <c r="UFA11" s="118"/>
      <c r="UFB11" s="118"/>
      <c r="UFC11" s="118"/>
      <c r="UFD11" s="118"/>
      <c r="UFE11" s="118"/>
      <c r="UFF11" s="118"/>
      <c r="UFG11" s="118"/>
      <c r="UFH11" s="118"/>
      <c r="UFI11" s="118"/>
      <c r="UFJ11" s="118"/>
      <c r="UFK11" s="118"/>
      <c r="UFL11" s="118"/>
      <c r="UFM11" s="118"/>
      <c r="UFN11" s="118"/>
      <c r="UFO11" s="118"/>
      <c r="UFP11" s="118"/>
      <c r="UFQ11" s="118"/>
      <c r="UFR11" s="118"/>
      <c r="UFS11" s="118"/>
      <c r="UFT11" s="118"/>
      <c r="UFU11" s="118"/>
      <c r="UFV11" s="118"/>
      <c r="UFW11" s="118"/>
      <c r="UFX11" s="118"/>
      <c r="UFY11" s="118"/>
      <c r="UFZ11" s="118"/>
      <c r="UGA11" s="118"/>
      <c r="UGB11" s="118"/>
      <c r="UGC11" s="118"/>
      <c r="UGD11" s="118"/>
      <c r="UGE11" s="118"/>
      <c r="UGF11" s="118"/>
      <c r="UGG11" s="118"/>
      <c r="UGH11" s="118"/>
      <c r="UGI11" s="118"/>
      <c r="UGJ11" s="118"/>
      <c r="UGK11" s="118"/>
      <c r="UGL11" s="118"/>
      <c r="UGM11" s="118"/>
      <c r="UGN11" s="118"/>
      <c r="UGO11" s="118"/>
      <c r="UGP11" s="118"/>
      <c r="UGQ11" s="118"/>
      <c r="UGR11" s="118"/>
      <c r="UGS11" s="118"/>
      <c r="UGT11" s="118"/>
      <c r="UGU11" s="118"/>
      <c r="UGV11" s="118"/>
      <c r="UGW11" s="118"/>
      <c r="UGX11" s="118"/>
      <c r="UGY11" s="118"/>
      <c r="UGZ11" s="118"/>
      <c r="UHA11" s="118"/>
      <c r="UHB11" s="118"/>
      <c r="UHC11" s="118"/>
      <c r="UHD11" s="118"/>
      <c r="UHE11" s="118"/>
      <c r="UHF11" s="118"/>
      <c r="UHG11" s="118"/>
      <c r="UHH11" s="118"/>
      <c r="UHI11" s="118"/>
      <c r="UHJ11" s="118"/>
      <c r="UHK11" s="118"/>
      <c r="UHL11" s="118"/>
      <c r="UHM11" s="118"/>
      <c r="UHN11" s="118"/>
      <c r="UHO11" s="118"/>
      <c r="UHP11" s="118"/>
      <c r="UHQ11" s="118"/>
      <c r="UHR11" s="118"/>
      <c r="UHS11" s="118"/>
      <c r="UHT11" s="118"/>
      <c r="UHU11" s="118"/>
      <c r="UHV11" s="118"/>
      <c r="UHW11" s="118"/>
      <c r="UHX11" s="118"/>
      <c r="UHY11" s="118"/>
      <c r="UHZ11" s="118"/>
      <c r="UIA11" s="118"/>
      <c r="UIB11" s="118"/>
      <c r="UIC11" s="118"/>
      <c r="UID11" s="118"/>
      <c r="UIE11" s="118"/>
      <c r="UIF11" s="118"/>
      <c r="UIG11" s="118"/>
      <c r="UIH11" s="118"/>
      <c r="UII11" s="118"/>
      <c r="UIJ11" s="118"/>
      <c r="UIK11" s="118"/>
      <c r="UIL11" s="118"/>
      <c r="UIM11" s="118"/>
      <c r="UIN11" s="118"/>
      <c r="UIO11" s="118"/>
      <c r="UIP11" s="118"/>
      <c r="UIQ11" s="118"/>
      <c r="UIR11" s="118"/>
      <c r="UIS11" s="118"/>
      <c r="UIT11" s="118"/>
      <c r="UIU11" s="118"/>
      <c r="UIV11" s="118"/>
      <c r="UIW11" s="118"/>
      <c r="UIX11" s="118"/>
      <c r="UIY11" s="118"/>
      <c r="UIZ11" s="118"/>
      <c r="UJA11" s="118"/>
      <c r="UJB11" s="118"/>
      <c r="UJC11" s="118"/>
      <c r="UJD11" s="118"/>
      <c r="UJE11" s="118"/>
      <c r="UJF11" s="118"/>
      <c r="UJG11" s="118"/>
      <c r="UJH11" s="118"/>
      <c r="UJI11" s="118"/>
      <c r="UJJ11" s="118"/>
      <c r="UJK11" s="118"/>
      <c r="UJL11" s="118"/>
      <c r="UJM11" s="118"/>
      <c r="UJN11" s="118"/>
      <c r="UJO11" s="118"/>
      <c r="UJP11" s="118"/>
      <c r="UJQ11" s="118"/>
      <c r="UJR11" s="118"/>
      <c r="UJS11" s="118"/>
      <c r="UJT11" s="118"/>
      <c r="UJU11" s="118"/>
      <c r="UJV11" s="118"/>
      <c r="UJW11" s="118"/>
      <c r="UJX11" s="118"/>
      <c r="UJY11" s="118"/>
      <c r="UJZ11" s="118"/>
      <c r="UKA11" s="118"/>
      <c r="UKB11" s="118"/>
      <c r="UKC11" s="118"/>
      <c r="UKD11" s="118"/>
      <c r="UKE11" s="118"/>
      <c r="UKF11" s="118"/>
      <c r="UKG11" s="118"/>
      <c r="UKH11" s="118"/>
      <c r="UKI11" s="118"/>
      <c r="UKJ11" s="118"/>
      <c r="UKK11" s="118"/>
      <c r="UKL11" s="118"/>
      <c r="UKM11" s="118"/>
      <c r="UKN11" s="118"/>
      <c r="UKO11" s="118"/>
      <c r="UKP11" s="118"/>
      <c r="UKQ11" s="118"/>
      <c r="UKR11" s="118"/>
      <c r="UKS11" s="118"/>
      <c r="UKT11" s="118"/>
      <c r="UKU11" s="118"/>
      <c r="UKV11" s="118"/>
      <c r="UKW11" s="118"/>
      <c r="UKX11" s="118"/>
      <c r="UKY11" s="118"/>
      <c r="UKZ11" s="118"/>
      <c r="ULA11" s="118"/>
      <c r="ULB11" s="118"/>
      <c r="ULC11" s="118"/>
      <c r="ULD11" s="118"/>
      <c r="ULE11" s="118"/>
      <c r="ULF11" s="118"/>
      <c r="ULG11" s="118"/>
      <c r="ULH11" s="118"/>
      <c r="ULI11" s="118"/>
      <c r="ULJ11" s="118"/>
      <c r="ULK11" s="118"/>
      <c r="ULL11" s="118"/>
      <c r="ULM11" s="118"/>
      <c r="ULN11" s="118"/>
      <c r="ULO11" s="118"/>
      <c r="ULP11" s="118"/>
      <c r="ULQ11" s="118"/>
      <c r="ULR11" s="118"/>
      <c r="ULS11" s="118"/>
      <c r="ULT11" s="118"/>
      <c r="ULU11" s="118"/>
      <c r="ULV11" s="118"/>
      <c r="ULW11" s="118"/>
      <c r="ULX11" s="118"/>
      <c r="ULY11" s="118"/>
      <c r="ULZ11" s="118"/>
      <c r="UMA11" s="118"/>
      <c r="UMB11" s="118"/>
      <c r="UMC11" s="118"/>
      <c r="UMD11" s="118"/>
      <c r="UME11" s="118"/>
      <c r="UMF11" s="118"/>
      <c r="UMG11" s="118"/>
      <c r="UMH11" s="118"/>
      <c r="UMI11" s="118"/>
      <c r="UMJ11" s="118"/>
      <c r="UMK11" s="118"/>
      <c r="UML11" s="118"/>
      <c r="UMM11" s="118"/>
      <c r="UMN11" s="118"/>
      <c r="UMO11" s="118"/>
      <c r="UMP11" s="118"/>
      <c r="UMQ11" s="118"/>
      <c r="UMR11" s="118"/>
      <c r="UMS11" s="118"/>
      <c r="UMT11" s="118"/>
      <c r="UMU11" s="118"/>
      <c r="UMV11" s="118"/>
      <c r="UMW11" s="118"/>
      <c r="UMX11" s="118"/>
      <c r="UMY11" s="118"/>
      <c r="UMZ11" s="118"/>
      <c r="UNA11" s="118"/>
      <c r="UNB11" s="118"/>
      <c r="UNC11" s="118"/>
      <c r="UND11" s="118"/>
      <c r="UNE11" s="118"/>
      <c r="UNF11" s="118"/>
      <c r="UNG11" s="118"/>
      <c r="UNH11" s="118"/>
      <c r="UNI11" s="118"/>
      <c r="UNJ11" s="118"/>
      <c r="UNK11" s="118"/>
      <c r="UNL11" s="118"/>
      <c r="UNM11" s="118"/>
      <c r="UNN11" s="118"/>
      <c r="UNO11" s="118"/>
      <c r="UNP11" s="118"/>
      <c r="UNQ11" s="118"/>
      <c r="UNR11" s="118"/>
      <c r="UNS11" s="118"/>
      <c r="UNT11" s="118"/>
      <c r="UNU11" s="118"/>
      <c r="UNV11" s="118"/>
      <c r="UNW11" s="118"/>
      <c r="UNX11" s="118"/>
      <c r="UNY11" s="118"/>
      <c r="UNZ11" s="118"/>
      <c r="UOA11" s="118"/>
      <c r="UOB11" s="118"/>
      <c r="UOC11" s="118"/>
      <c r="UOD11" s="118"/>
      <c r="UOE11" s="118"/>
      <c r="UOF11" s="118"/>
      <c r="UOG11" s="118"/>
      <c r="UOH11" s="118"/>
      <c r="UOI11" s="118"/>
      <c r="UOJ11" s="118"/>
      <c r="UOK11" s="118"/>
      <c r="UOL11" s="118"/>
      <c r="UOM11" s="118"/>
      <c r="UON11" s="118"/>
      <c r="UOO11" s="118"/>
      <c r="UOP11" s="118"/>
      <c r="UOQ11" s="118"/>
      <c r="UOR11" s="118"/>
      <c r="UOS11" s="118"/>
      <c r="UOT11" s="118"/>
      <c r="UOU11" s="118"/>
      <c r="UOV11" s="118"/>
      <c r="UOW11" s="118"/>
      <c r="UOX11" s="118"/>
      <c r="UOY11" s="118"/>
      <c r="UOZ11" s="118"/>
      <c r="UPA11" s="118"/>
      <c r="UPB11" s="118"/>
      <c r="UPC11" s="118"/>
      <c r="UPD11" s="118"/>
      <c r="UPE11" s="118"/>
      <c r="UPF11" s="118"/>
      <c r="UPG11" s="118"/>
      <c r="UPH11" s="118"/>
      <c r="UPI11" s="118"/>
      <c r="UPJ11" s="118"/>
      <c r="UPK11" s="118"/>
      <c r="UPL11" s="118"/>
      <c r="UPM11" s="118"/>
      <c r="UPN11" s="118"/>
      <c r="UPO11" s="118"/>
      <c r="UPP11" s="118"/>
      <c r="UPQ11" s="118"/>
      <c r="UPR11" s="118"/>
      <c r="UPS11" s="118"/>
      <c r="UPT11" s="118"/>
    </row>
    <row r="12" spans="1:14632" s="66" customFormat="1" ht="15" customHeight="1" x14ac:dyDescent="0.3">
      <c r="A12" s="65"/>
      <c r="B12" s="106"/>
      <c r="C12" s="106"/>
      <c r="D12" s="254"/>
      <c r="E12" s="254"/>
      <c r="F12" s="254"/>
      <c r="G12" s="254"/>
      <c r="H12" s="254"/>
      <c r="I12" s="254"/>
      <c r="J12" s="254"/>
      <c r="K12" s="254"/>
      <c r="L12" s="254"/>
      <c r="M12" s="254"/>
      <c r="N12" s="254"/>
      <c r="O12" s="254"/>
      <c r="P12" s="254"/>
      <c r="Q12" s="254"/>
      <c r="R12" s="254"/>
      <c r="S12" s="254"/>
      <c r="T12" s="254"/>
      <c r="U12" s="254"/>
      <c r="V12" s="254"/>
      <c r="W12" s="254"/>
      <c r="X12" s="254"/>
      <c r="Y12" s="254"/>
      <c r="Z12" s="254"/>
      <c r="AA12" s="254"/>
      <c r="AB12" s="254"/>
      <c r="AC12" s="254"/>
      <c r="AD12" s="254"/>
      <c r="AE12" s="119"/>
      <c r="AF12" s="119"/>
      <c r="AG12" s="119"/>
      <c r="AH12" s="181"/>
      <c r="AI12" s="181"/>
      <c r="AJ12" s="119"/>
      <c r="AK12" s="119"/>
      <c r="AL12" s="119"/>
      <c r="AM12" s="254"/>
      <c r="AN12" s="254"/>
      <c r="AO12" s="254"/>
      <c r="AP12" s="254"/>
      <c r="AQ12" s="254"/>
      <c r="AR12" s="254"/>
      <c r="AS12" s="254"/>
      <c r="AT12" s="254"/>
      <c r="AU12" s="254"/>
      <c r="AV12" s="254"/>
      <c r="AW12" s="254"/>
      <c r="AX12" s="254"/>
      <c r="AY12" s="254"/>
      <c r="AZ12" s="254"/>
      <c r="BA12" s="254"/>
      <c r="BB12" s="254"/>
      <c r="BC12" s="254"/>
      <c r="BD12" s="254"/>
      <c r="BE12" s="254"/>
      <c r="BF12" s="254"/>
      <c r="BG12" s="254"/>
      <c r="BH12" s="254"/>
      <c r="BI12" s="254"/>
      <c r="BJ12" s="254"/>
      <c r="BK12" s="254"/>
      <c r="BL12" s="254"/>
      <c r="BM12" s="254"/>
      <c r="BN12" s="106"/>
      <c r="BO12" s="106"/>
      <c r="BP12" s="118"/>
      <c r="BQ12" s="118"/>
      <c r="BR12" s="118"/>
      <c r="BS12" s="118"/>
      <c r="BT12" s="118"/>
      <c r="BU12" s="118"/>
      <c r="BV12" s="118"/>
      <c r="BW12" s="118"/>
      <c r="BX12" s="118"/>
      <c r="BY12" s="118"/>
      <c r="BZ12" s="118"/>
      <c r="CA12" s="118"/>
      <c r="CB12" s="118"/>
      <c r="CC12" s="118"/>
      <c r="CD12" s="118"/>
      <c r="CE12" s="118"/>
      <c r="CF12" s="118"/>
      <c r="CG12" s="118"/>
      <c r="CH12" s="118"/>
      <c r="CI12" s="118"/>
      <c r="CJ12" s="118"/>
      <c r="CK12" s="118"/>
      <c r="CL12" s="118"/>
      <c r="CM12" s="118"/>
      <c r="CN12" s="118"/>
      <c r="CO12" s="118"/>
      <c r="CP12" s="118"/>
      <c r="CQ12" s="118"/>
      <c r="CR12" s="118"/>
      <c r="CS12" s="118"/>
      <c r="CT12" s="118"/>
      <c r="CU12" s="118"/>
      <c r="CV12" s="118"/>
      <c r="CW12" s="118"/>
      <c r="CX12" s="118"/>
      <c r="CY12" s="118"/>
      <c r="CZ12" s="118"/>
      <c r="DA12" s="118"/>
      <c r="DB12" s="118"/>
      <c r="DC12" s="118"/>
      <c r="DD12" s="118"/>
      <c r="DE12" s="118"/>
      <c r="DF12" s="118"/>
      <c r="DG12" s="118"/>
      <c r="DH12" s="118"/>
      <c r="DI12" s="118"/>
      <c r="DJ12" s="118"/>
      <c r="DK12" s="118"/>
      <c r="DL12" s="118"/>
      <c r="DM12" s="118"/>
      <c r="DN12" s="118"/>
      <c r="DO12" s="118"/>
      <c r="DP12" s="118"/>
      <c r="DQ12" s="118"/>
      <c r="DR12" s="118"/>
      <c r="DS12" s="118"/>
      <c r="DT12" s="118"/>
      <c r="DU12" s="118"/>
      <c r="DV12" s="118"/>
      <c r="DW12" s="118"/>
      <c r="DX12" s="118"/>
      <c r="DY12" s="118"/>
      <c r="DZ12" s="118"/>
      <c r="EA12" s="118"/>
      <c r="EB12" s="118"/>
      <c r="EC12" s="118"/>
      <c r="ED12" s="118"/>
      <c r="EE12" s="118"/>
      <c r="EF12" s="118"/>
      <c r="EG12" s="118"/>
      <c r="EH12" s="118"/>
      <c r="EI12" s="118"/>
      <c r="EJ12" s="118"/>
      <c r="EK12" s="118"/>
      <c r="EL12" s="118"/>
      <c r="EM12" s="118"/>
      <c r="EN12" s="118"/>
      <c r="EO12" s="118"/>
      <c r="EP12" s="118"/>
      <c r="EQ12" s="118"/>
      <c r="ER12" s="118"/>
      <c r="ES12" s="118"/>
      <c r="ET12" s="118"/>
      <c r="EU12" s="118"/>
      <c r="EV12" s="118"/>
      <c r="EW12" s="118"/>
      <c r="EX12" s="118"/>
      <c r="EY12" s="118"/>
      <c r="EZ12" s="118"/>
      <c r="FA12" s="118"/>
      <c r="FB12" s="118"/>
      <c r="FC12" s="118"/>
      <c r="FD12" s="118"/>
      <c r="FE12" s="118"/>
      <c r="FF12" s="118"/>
      <c r="FG12" s="118"/>
      <c r="FH12" s="118"/>
      <c r="FI12" s="118"/>
      <c r="FJ12" s="118"/>
      <c r="FK12" s="118"/>
      <c r="FL12" s="118"/>
      <c r="FM12" s="118"/>
      <c r="FN12" s="118"/>
      <c r="FO12" s="118"/>
      <c r="FP12" s="118"/>
      <c r="FQ12" s="118"/>
      <c r="FR12" s="118"/>
      <c r="FS12" s="118"/>
      <c r="FT12" s="118"/>
      <c r="FU12" s="118"/>
      <c r="FV12" s="118"/>
      <c r="FW12" s="118"/>
      <c r="FX12" s="118"/>
      <c r="FY12" s="118"/>
      <c r="FZ12" s="118"/>
      <c r="GA12" s="118"/>
      <c r="GB12" s="118"/>
      <c r="GC12" s="118"/>
      <c r="GD12" s="118"/>
      <c r="GE12" s="118"/>
      <c r="GF12" s="118"/>
      <c r="GG12" s="118"/>
      <c r="GH12" s="118"/>
      <c r="GI12" s="118"/>
      <c r="GJ12" s="118"/>
      <c r="GK12" s="118"/>
      <c r="GL12" s="118"/>
      <c r="GM12" s="118"/>
      <c r="GN12" s="118"/>
      <c r="GO12" s="118"/>
      <c r="GP12" s="118"/>
      <c r="GQ12" s="118"/>
      <c r="GR12" s="118"/>
      <c r="GS12" s="118"/>
      <c r="GT12" s="118"/>
      <c r="GU12" s="118"/>
      <c r="GV12" s="118"/>
      <c r="GW12" s="118"/>
      <c r="GX12" s="118"/>
      <c r="GY12" s="118"/>
      <c r="GZ12" s="118"/>
      <c r="HA12" s="118"/>
      <c r="HB12" s="118"/>
      <c r="HC12" s="118"/>
      <c r="HD12" s="118"/>
      <c r="HE12" s="118"/>
      <c r="HF12" s="118"/>
      <c r="HG12" s="118"/>
      <c r="HH12" s="118"/>
      <c r="HI12" s="118"/>
      <c r="HJ12" s="118"/>
      <c r="HK12" s="118"/>
      <c r="HL12" s="118"/>
      <c r="HM12" s="118"/>
      <c r="HN12" s="118"/>
      <c r="HO12" s="118"/>
      <c r="HP12" s="118"/>
      <c r="HQ12" s="118"/>
      <c r="HR12" s="118"/>
      <c r="HS12" s="118"/>
      <c r="HT12" s="118"/>
      <c r="HU12" s="118"/>
      <c r="HV12" s="118"/>
      <c r="HW12" s="118"/>
      <c r="HX12" s="118"/>
      <c r="HY12" s="118"/>
      <c r="HZ12" s="118"/>
      <c r="IA12" s="118"/>
      <c r="IB12" s="118"/>
      <c r="IC12" s="118"/>
      <c r="ID12" s="118"/>
      <c r="IE12" s="118"/>
      <c r="IF12" s="118"/>
      <c r="IG12" s="118"/>
      <c r="IH12" s="118"/>
      <c r="II12" s="118"/>
      <c r="IJ12" s="118"/>
      <c r="IK12" s="118"/>
      <c r="IL12" s="118"/>
      <c r="IM12" s="118"/>
      <c r="IN12" s="118"/>
      <c r="IO12" s="118"/>
      <c r="IP12" s="118"/>
      <c r="IQ12" s="118"/>
      <c r="IR12" s="118"/>
      <c r="IS12" s="118"/>
      <c r="IT12" s="118"/>
      <c r="IU12" s="118"/>
      <c r="IV12" s="118"/>
      <c r="IW12" s="118"/>
      <c r="IX12" s="118"/>
      <c r="IY12" s="118"/>
      <c r="IZ12" s="118"/>
      <c r="JA12" s="118"/>
      <c r="JB12" s="118"/>
      <c r="JC12" s="118"/>
      <c r="JD12" s="118"/>
      <c r="JE12" s="118"/>
      <c r="JF12" s="118"/>
      <c r="JG12" s="118"/>
      <c r="JH12" s="118"/>
      <c r="JI12" s="118"/>
      <c r="JJ12" s="118"/>
      <c r="JK12" s="118"/>
      <c r="JL12" s="118"/>
      <c r="JM12" s="118"/>
      <c r="JN12" s="118"/>
      <c r="JO12" s="118"/>
      <c r="JP12" s="118"/>
      <c r="JQ12" s="118"/>
      <c r="JR12" s="118"/>
      <c r="JS12" s="118"/>
      <c r="JT12" s="118"/>
      <c r="JU12" s="118"/>
      <c r="JV12" s="118"/>
      <c r="JW12" s="118"/>
      <c r="JX12" s="118"/>
      <c r="JY12" s="118"/>
      <c r="JZ12" s="118"/>
      <c r="KA12" s="118"/>
      <c r="KB12" s="118"/>
      <c r="KC12" s="118"/>
      <c r="KD12" s="118"/>
      <c r="KE12" s="118"/>
      <c r="KF12" s="118"/>
      <c r="KG12" s="118"/>
      <c r="KH12" s="118"/>
      <c r="KI12" s="118"/>
      <c r="KJ12" s="118"/>
      <c r="KK12" s="118"/>
      <c r="KL12" s="118"/>
      <c r="KM12" s="118"/>
      <c r="KN12" s="118"/>
      <c r="KO12" s="118"/>
      <c r="KP12" s="118"/>
      <c r="KQ12" s="118"/>
      <c r="KR12" s="118"/>
      <c r="KS12" s="118"/>
      <c r="KT12" s="118"/>
      <c r="KU12" s="118"/>
      <c r="KV12" s="118"/>
      <c r="KW12" s="118"/>
      <c r="KX12" s="118"/>
      <c r="KY12" s="118"/>
      <c r="KZ12" s="118"/>
      <c r="LA12" s="118"/>
      <c r="LB12" s="118"/>
      <c r="LC12" s="118"/>
      <c r="LD12" s="118"/>
      <c r="LE12" s="118"/>
      <c r="LF12" s="118"/>
      <c r="LG12" s="118"/>
      <c r="LH12" s="118"/>
      <c r="LI12" s="118"/>
      <c r="LJ12" s="118"/>
      <c r="LK12" s="118"/>
      <c r="LL12" s="118"/>
      <c r="LM12" s="118"/>
      <c r="LN12" s="118"/>
      <c r="LO12" s="118"/>
      <c r="LP12" s="118"/>
      <c r="LQ12" s="118"/>
      <c r="LR12" s="118"/>
      <c r="LS12" s="118"/>
      <c r="LT12" s="118"/>
      <c r="LU12" s="118"/>
      <c r="LV12" s="118"/>
      <c r="LW12" s="118"/>
      <c r="LX12" s="118"/>
      <c r="LY12" s="118"/>
      <c r="LZ12" s="118"/>
      <c r="MA12" s="118"/>
      <c r="MB12" s="118"/>
      <c r="MC12" s="118"/>
      <c r="MD12" s="118"/>
      <c r="ME12" s="118"/>
      <c r="MF12" s="118"/>
      <c r="MG12" s="118"/>
      <c r="MH12" s="118"/>
      <c r="MI12" s="118"/>
      <c r="MJ12" s="118"/>
      <c r="MK12" s="118"/>
      <c r="ML12" s="118"/>
      <c r="MM12" s="118"/>
      <c r="MN12" s="118"/>
      <c r="MO12" s="118"/>
      <c r="MP12" s="118"/>
      <c r="MQ12" s="118"/>
      <c r="MR12" s="118"/>
      <c r="MS12" s="118"/>
      <c r="MT12" s="118"/>
      <c r="MU12" s="118"/>
      <c r="MV12" s="118"/>
      <c r="MW12" s="118"/>
      <c r="MX12" s="118"/>
      <c r="MY12" s="118"/>
      <c r="MZ12" s="118"/>
      <c r="NA12" s="118"/>
      <c r="NB12" s="118"/>
      <c r="NC12" s="118"/>
      <c r="ND12" s="118"/>
      <c r="NE12" s="118"/>
      <c r="NF12" s="118"/>
      <c r="NG12" s="118"/>
      <c r="NH12" s="118"/>
      <c r="NI12" s="118"/>
      <c r="NJ12" s="118"/>
      <c r="NK12" s="118"/>
      <c r="NL12" s="118"/>
      <c r="NM12" s="118"/>
      <c r="NN12" s="118"/>
      <c r="NO12" s="118"/>
      <c r="NP12" s="118"/>
      <c r="NQ12" s="118"/>
      <c r="NR12" s="118"/>
      <c r="NS12" s="118"/>
      <c r="NT12" s="118"/>
      <c r="NU12" s="118"/>
      <c r="NV12" s="118"/>
      <c r="NW12" s="118"/>
      <c r="NX12" s="118"/>
      <c r="NY12" s="118"/>
      <c r="NZ12" s="118"/>
      <c r="OA12" s="118"/>
      <c r="OB12" s="118"/>
      <c r="OC12" s="118"/>
      <c r="OD12" s="118"/>
      <c r="OE12" s="118"/>
      <c r="OF12" s="118"/>
      <c r="OG12" s="118"/>
      <c r="OH12" s="118"/>
      <c r="OI12" s="118"/>
      <c r="OJ12" s="118"/>
      <c r="OK12" s="118"/>
      <c r="OL12" s="118"/>
      <c r="OM12" s="118"/>
      <c r="ON12" s="118"/>
      <c r="OO12" s="118"/>
      <c r="OP12" s="118"/>
      <c r="OQ12" s="118"/>
      <c r="OR12" s="118"/>
      <c r="OS12" s="118"/>
      <c r="OT12" s="118"/>
      <c r="OU12" s="118"/>
      <c r="OV12" s="118"/>
      <c r="OW12" s="118"/>
      <c r="OX12" s="118"/>
      <c r="OY12" s="118"/>
      <c r="OZ12" s="118"/>
      <c r="PA12" s="118"/>
      <c r="PB12" s="118"/>
      <c r="PC12" s="118"/>
      <c r="PD12" s="118"/>
      <c r="PE12" s="118"/>
      <c r="PF12" s="118"/>
      <c r="PG12" s="118"/>
      <c r="PH12" s="118"/>
      <c r="PI12" s="118"/>
      <c r="PJ12" s="118"/>
      <c r="PK12" s="118"/>
      <c r="PL12" s="118"/>
      <c r="PM12" s="118"/>
      <c r="PN12" s="118"/>
      <c r="PO12" s="118"/>
      <c r="PP12" s="118"/>
      <c r="PQ12" s="118"/>
      <c r="PR12" s="118"/>
      <c r="PS12" s="118"/>
      <c r="PT12" s="118"/>
      <c r="PU12" s="118"/>
      <c r="PV12" s="118"/>
      <c r="PW12" s="118"/>
      <c r="PX12" s="118"/>
      <c r="PY12" s="118"/>
      <c r="PZ12" s="118"/>
      <c r="QA12" s="118"/>
      <c r="QB12" s="118"/>
      <c r="QC12" s="118"/>
      <c r="QD12" s="118"/>
      <c r="QE12" s="118"/>
      <c r="QF12" s="118"/>
      <c r="QG12" s="118"/>
      <c r="QH12" s="118"/>
      <c r="QI12" s="118"/>
      <c r="QJ12" s="118"/>
      <c r="QK12" s="118"/>
      <c r="QL12" s="118"/>
      <c r="QM12" s="118"/>
      <c r="QN12" s="118"/>
      <c r="QO12" s="118"/>
      <c r="QP12" s="118"/>
      <c r="QQ12" s="118"/>
      <c r="QR12" s="118"/>
      <c r="QS12" s="118"/>
      <c r="QT12" s="118"/>
      <c r="QU12" s="118"/>
      <c r="QV12" s="118"/>
      <c r="QW12" s="118"/>
      <c r="QX12" s="118"/>
      <c r="QY12" s="118"/>
      <c r="QZ12" s="118"/>
      <c r="RA12" s="118"/>
      <c r="RB12" s="118"/>
      <c r="RC12" s="118"/>
      <c r="RD12" s="118"/>
      <c r="RE12" s="118"/>
      <c r="RF12" s="118"/>
      <c r="RG12" s="118"/>
      <c r="RH12" s="118"/>
      <c r="RI12" s="118"/>
      <c r="RJ12" s="118"/>
      <c r="RK12" s="118"/>
      <c r="RL12" s="118"/>
      <c r="RM12" s="118"/>
      <c r="RN12" s="118"/>
      <c r="RO12" s="118"/>
      <c r="RP12" s="118"/>
      <c r="RQ12" s="118"/>
      <c r="RR12" s="118"/>
      <c r="RS12" s="118"/>
      <c r="RT12" s="118"/>
      <c r="RU12" s="118"/>
      <c r="RV12" s="118"/>
      <c r="RW12" s="118"/>
      <c r="RX12" s="118"/>
      <c r="RY12" s="118"/>
      <c r="RZ12" s="118"/>
      <c r="SA12" s="118"/>
      <c r="SB12" s="118"/>
      <c r="SC12" s="118"/>
      <c r="SD12" s="118"/>
      <c r="SE12" s="118"/>
      <c r="SF12" s="118"/>
      <c r="SG12" s="118"/>
      <c r="SH12" s="118"/>
      <c r="SI12" s="118"/>
      <c r="SJ12" s="118"/>
      <c r="SK12" s="118"/>
      <c r="SL12" s="118"/>
      <c r="SM12" s="118"/>
      <c r="SN12" s="118"/>
      <c r="SO12" s="118"/>
      <c r="SP12" s="118"/>
      <c r="SQ12" s="118"/>
      <c r="SR12" s="118"/>
      <c r="SS12" s="118"/>
      <c r="ST12" s="118"/>
      <c r="SU12" s="118"/>
      <c r="SV12" s="118"/>
      <c r="SW12" s="118"/>
      <c r="SX12" s="118"/>
      <c r="SY12" s="118"/>
      <c r="SZ12" s="118"/>
      <c r="TA12" s="118"/>
      <c r="TB12" s="118"/>
      <c r="TC12" s="118"/>
      <c r="TD12" s="118"/>
      <c r="TE12" s="118"/>
      <c r="TF12" s="118"/>
      <c r="TG12" s="118"/>
      <c r="TH12" s="118"/>
      <c r="TI12" s="118"/>
      <c r="TJ12" s="118"/>
      <c r="TK12" s="118"/>
      <c r="TL12" s="118"/>
      <c r="TM12" s="118"/>
      <c r="TN12" s="118"/>
      <c r="TO12" s="118"/>
      <c r="TP12" s="118"/>
      <c r="TQ12" s="118"/>
      <c r="TR12" s="118"/>
      <c r="TS12" s="118"/>
      <c r="TT12" s="118"/>
      <c r="TU12" s="118"/>
      <c r="TV12" s="118"/>
      <c r="TW12" s="118"/>
      <c r="TX12" s="118"/>
      <c r="TY12" s="118"/>
      <c r="TZ12" s="118"/>
      <c r="UA12" s="118"/>
      <c r="UB12" s="118"/>
      <c r="UC12" s="118"/>
      <c r="UD12" s="118"/>
      <c r="UE12" s="118"/>
      <c r="UF12" s="118"/>
      <c r="UG12" s="118"/>
      <c r="UH12" s="118"/>
      <c r="UI12" s="118"/>
      <c r="UJ12" s="118"/>
      <c r="UK12" s="118"/>
      <c r="UL12" s="118"/>
      <c r="UM12" s="118"/>
      <c r="UN12" s="118"/>
      <c r="UO12" s="118"/>
      <c r="UP12" s="118"/>
      <c r="UQ12" s="118"/>
      <c r="UR12" s="118"/>
      <c r="US12" s="118"/>
      <c r="UT12" s="118"/>
      <c r="UU12" s="118"/>
      <c r="UV12" s="118"/>
      <c r="UW12" s="118"/>
      <c r="UX12" s="118"/>
      <c r="UY12" s="118"/>
      <c r="UZ12" s="118"/>
      <c r="VA12" s="118"/>
      <c r="VB12" s="118"/>
      <c r="VC12" s="118"/>
      <c r="VD12" s="118"/>
      <c r="VE12" s="118"/>
      <c r="VF12" s="118"/>
      <c r="VG12" s="118"/>
      <c r="VH12" s="118"/>
      <c r="VI12" s="118"/>
      <c r="VJ12" s="118"/>
      <c r="VK12" s="118"/>
      <c r="VL12" s="118"/>
      <c r="VM12" s="118"/>
      <c r="VN12" s="118"/>
      <c r="VO12" s="118"/>
      <c r="VP12" s="118"/>
      <c r="VQ12" s="118"/>
      <c r="VR12" s="118"/>
      <c r="VS12" s="118"/>
      <c r="VT12" s="118"/>
      <c r="VU12" s="118"/>
      <c r="VV12" s="118"/>
      <c r="VW12" s="118"/>
      <c r="VX12" s="118"/>
      <c r="VY12" s="118"/>
      <c r="VZ12" s="118"/>
      <c r="WA12" s="118"/>
      <c r="WB12" s="118"/>
      <c r="WC12" s="118"/>
      <c r="WD12" s="118"/>
      <c r="WE12" s="118"/>
      <c r="WF12" s="118"/>
      <c r="WG12" s="118"/>
      <c r="WH12" s="118"/>
      <c r="WI12" s="118"/>
      <c r="WJ12" s="118"/>
      <c r="WK12" s="118"/>
      <c r="WL12" s="118"/>
      <c r="WM12" s="118"/>
      <c r="WN12" s="118"/>
      <c r="WO12" s="118"/>
      <c r="WP12" s="118"/>
      <c r="WQ12" s="118"/>
      <c r="WR12" s="118"/>
      <c r="WS12" s="118"/>
      <c r="WT12" s="118"/>
      <c r="WU12" s="118"/>
      <c r="WV12" s="118"/>
      <c r="WW12" s="118"/>
      <c r="WX12" s="118"/>
      <c r="WY12" s="118"/>
      <c r="WZ12" s="118"/>
      <c r="XA12" s="118"/>
      <c r="XB12" s="118"/>
      <c r="XC12" s="118"/>
      <c r="XD12" s="118"/>
      <c r="XE12" s="118"/>
      <c r="XF12" s="118"/>
      <c r="XG12" s="118"/>
      <c r="XH12" s="118"/>
      <c r="XI12" s="118"/>
      <c r="XJ12" s="118"/>
      <c r="XK12" s="118"/>
      <c r="XL12" s="118"/>
      <c r="XM12" s="118"/>
      <c r="XN12" s="118"/>
      <c r="XO12" s="118"/>
      <c r="XP12" s="118"/>
      <c r="XQ12" s="118"/>
      <c r="XR12" s="118"/>
      <c r="XS12" s="118"/>
      <c r="XT12" s="118"/>
      <c r="XU12" s="118"/>
      <c r="XV12" s="118"/>
      <c r="XW12" s="118"/>
      <c r="XX12" s="118"/>
      <c r="XY12" s="118"/>
      <c r="XZ12" s="118"/>
      <c r="YA12" s="118"/>
      <c r="YB12" s="118"/>
      <c r="YC12" s="118"/>
      <c r="YD12" s="118"/>
      <c r="YE12" s="118"/>
      <c r="YF12" s="118"/>
      <c r="YG12" s="118"/>
      <c r="YH12" s="118"/>
      <c r="YI12" s="118"/>
      <c r="YJ12" s="118"/>
      <c r="YK12" s="118"/>
      <c r="YL12" s="118"/>
      <c r="YM12" s="118"/>
      <c r="YN12" s="118"/>
      <c r="YO12" s="118"/>
      <c r="YP12" s="118"/>
      <c r="YQ12" s="118"/>
      <c r="YR12" s="118"/>
      <c r="YS12" s="118"/>
      <c r="YT12" s="118"/>
      <c r="YU12" s="118"/>
      <c r="YV12" s="118"/>
      <c r="YW12" s="118"/>
      <c r="YX12" s="118"/>
      <c r="YY12" s="118"/>
      <c r="YZ12" s="118"/>
      <c r="ZA12" s="118"/>
      <c r="ZB12" s="118"/>
      <c r="ZC12" s="118"/>
      <c r="ZD12" s="118"/>
      <c r="ZE12" s="118"/>
      <c r="ZF12" s="118"/>
      <c r="ZG12" s="118"/>
      <c r="ZH12" s="118"/>
      <c r="ZI12" s="118"/>
      <c r="ZJ12" s="118"/>
      <c r="ZK12" s="118"/>
      <c r="ZL12" s="118"/>
      <c r="ZM12" s="118"/>
      <c r="ZN12" s="118"/>
      <c r="ZO12" s="118"/>
      <c r="ZP12" s="118"/>
      <c r="ZQ12" s="118"/>
      <c r="ZR12" s="118"/>
      <c r="ZS12" s="118"/>
      <c r="ZT12" s="118"/>
      <c r="ZU12" s="118"/>
      <c r="ZV12" s="118"/>
      <c r="ZW12" s="118"/>
      <c r="ZX12" s="118"/>
      <c r="ZY12" s="118"/>
      <c r="ZZ12" s="118"/>
      <c r="AAA12" s="118"/>
      <c r="AAB12" s="118"/>
      <c r="AAC12" s="118"/>
      <c r="AAD12" s="118"/>
      <c r="AAE12" s="118"/>
      <c r="AAF12" s="118"/>
      <c r="AAG12" s="118"/>
      <c r="AAH12" s="118"/>
      <c r="AAI12" s="118"/>
      <c r="AAJ12" s="118"/>
      <c r="AAK12" s="118"/>
      <c r="AAL12" s="118"/>
      <c r="AAM12" s="118"/>
      <c r="AAN12" s="118"/>
      <c r="AAO12" s="118"/>
      <c r="AAP12" s="118"/>
      <c r="AAQ12" s="118"/>
      <c r="AAR12" s="118"/>
      <c r="AAS12" s="118"/>
      <c r="AAT12" s="118"/>
      <c r="AAU12" s="118"/>
      <c r="AAV12" s="118"/>
      <c r="AAW12" s="118"/>
      <c r="AAX12" s="118"/>
      <c r="AAY12" s="118"/>
      <c r="AAZ12" s="118"/>
      <c r="ABA12" s="118"/>
      <c r="ABB12" s="118"/>
      <c r="ABC12" s="118"/>
      <c r="ABD12" s="118"/>
      <c r="ABE12" s="118"/>
      <c r="ABF12" s="118"/>
      <c r="ABG12" s="118"/>
      <c r="ABH12" s="118"/>
      <c r="ABI12" s="118"/>
      <c r="ABJ12" s="118"/>
      <c r="ABK12" s="118"/>
      <c r="ABL12" s="118"/>
      <c r="ABM12" s="118"/>
      <c r="ABN12" s="118"/>
      <c r="ABO12" s="118"/>
      <c r="ABP12" s="118"/>
      <c r="ABQ12" s="118"/>
      <c r="ABR12" s="118"/>
      <c r="ABS12" s="118"/>
      <c r="ABT12" s="118"/>
      <c r="ABU12" s="118"/>
      <c r="ABV12" s="118"/>
      <c r="ABW12" s="118"/>
      <c r="ABX12" s="118"/>
      <c r="ABY12" s="118"/>
      <c r="ABZ12" s="118"/>
      <c r="ACA12" s="118"/>
      <c r="ACB12" s="118"/>
      <c r="ACC12" s="118"/>
      <c r="ACD12" s="118"/>
      <c r="ACE12" s="118"/>
      <c r="ACF12" s="118"/>
      <c r="ACG12" s="118"/>
      <c r="ACH12" s="118"/>
      <c r="ACI12" s="118"/>
      <c r="ACJ12" s="118"/>
      <c r="ACK12" s="118"/>
      <c r="ACL12" s="118"/>
      <c r="ACM12" s="118"/>
      <c r="ACN12" s="118"/>
      <c r="ACO12" s="118"/>
      <c r="ACP12" s="118"/>
      <c r="ACQ12" s="118"/>
      <c r="ACR12" s="118"/>
      <c r="ACS12" s="118"/>
      <c r="ACT12" s="118"/>
      <c r="ACU12" s="118"/>
      <c r="ACV12" s="118"/>
      <c r="ACW12" s="118"/>
      <c r="ACX12" s="118"/>
      <c r="ACY12" s="118"/>
      <c r="ACZ12" s="118"/>
      <c r="ADA12" s="118"/>
      <c r="ADB12" s="118"/>
      <c r="ADC12" s="118"/>
      <c r="ADD12" s="118"/>
      <c r="ADE12" s="118"/>
      <c r="ADF12" s="118"/>
      <c r="ADG12" s="118"/>
      <c r="ADH12" s="118"/>
      <c r="ADI12" s="118"/>
      <c r="ADJ12" s="118"/>
      <c r="ADK12" s="118"/>
      <c r="ADL12" s="118"/>
      <c r="ADM12" s="118"/>
      <c r="ADN12" s="118"/>
      <c r="ADO12" s="118"/>
      <c r="ADP12" s="118"/>
      <c r="ADQ12" s="118"/>
      <c r="ADR12" s="118"/>
      <c r="ADS12" s="118"/>
      <c r="ADT12" s="118"/>
      <c r="ADU12" s="118"/>
      <c r="ADV12" s="118"/>
      <c r="ADW12" s="118"/>
      <c r="ADX12" s="118"/>
      <c r="ADY12" s="118"/>
      <c r="ADZ12" s="118"/>
      <c r="AEA12" s="118"/>
      <c r="AEB12" s="118"/>
      <c r="AEC12" s="118"/>
      <c r="AED12" s="118"/>
      <c r="AEE12" s="118"/>
      <c r="AEF12" s="118"/>
      <c r="AEG12" s="118"/>
      <c r="AEH12" s="118"/>
      <c r="AEI12" s="118"/>
      <c r="AEJ12" s="118"/>
      <c r="AEK12" s="118"/>
      <c r="AEL12" s="118"/>
      <c r="AEM12" s="118"/>
      <c r="AEN12" s="118"/>
      <c r="AEO12" s="118"/>
      <c r="AEP12" s="118"/>
      <c r="AEQ12" s="118"/>
      <c r="AER12" s="118"/>
      <c r="AES12" s="118"/>
      <c r="AET12" s="118"/>
      <c r="AEU12" s="118"/>
      <c r="AEV12" s="118"/>
      <c r="AEW12" s="118"/>
      <c r="AEX12" s="118"/>
      <c r="AEY12" s="118"/>
      <c r="AEZ12" s="118"/>
      <c r="AFA12" s="118"/>
      <c r="AFB12" s="118"/>
      <c r="AFC12" s="118"/>
      <c r="AFD12" s="118"/>
      <c r="AFE12" s="118"/>
      <c r="AFF12" s="118"/>
      <c r="AFG12" s="118"/>
      <c r="AFH12" s="118"/>
      <c r="AFI12" s="118"/>
      <c r="AFJ12" s="118"/>
      <c r="AFK12" s="118"/>
      <c r="AFL12" s="118"/>
      <c r="AFM12" s="118"/>
      <c r="AFN12" s="118"/>
      <c r="AFO12" s="118"/>
      <c r="AFP12" s="118"/>
      <c r="AFQ12" s="118"/>
      <c r="AFR12" s="118"/>
      <c r="AFS12" s="118"/>
      <c r="AFT12" s="118"/>
      <c r="AFU12" s="118"/>
      <c r="AFV12" s="118"/>
      <c r="AFW12" s="118"/>
      <c r="AFX12" s="118"/>
      <c r="AFY12" s="118"/>
      <c r="AFZ12" s="118"/>
      <c r="AGA12" s="118"/>
      <c r="AGB12" s="118"/>
      <c r="AGC12" s="118"/>
      <c r="AGD12" s="118"/>
      <c r="AGE12" s="118"/>
      <c r="AGF12" s="118"/>
      <c r="AGG12" s="118"/>
      <c r="AGH12" s="118"/>
      <c r="AGI12" s="118"/>
      <c r="AGJ12" s="118"/>
      <c r="AGK12" s="118"/>
      <c r="AGL12" s="118"/>
      <c r="AGM12" s="118"/>
      <c r="AGN12" s="118"/>
      <c r="AGO12" s="118"/>
      <c r="AGP12" s="118"/>
      <c r="AGQ12" s="118"/>
      <c r="AGR12" s="118"/>
      <c r="AGS12" s="118"/>
      <c r="AGT12" s="118"/>
      <c r="AGU12" s="118"/>
      <c r="AGV12" s="118"/>
      <c r="AGW12" s="118"/>
      <c r="AGX12" s="118"/>
      <c r="AGY12" s="118"/>
      <c r="AGZ12" s="118"/>
      <c r="AHA12" s="118"/>
      <c r="AHB12" s="118"/>
      <c r="AHC12" s="118"/>
      <c r="AHD12" s="118"/>
      <c r="AHE12" s="118"/>
      <c r="AHF12" s="118"/>
      <c r="AHG12" s="118"/>
      <c r="AHH12" s="118"/>
      <c r="AHI12" s="118"/>
      <c r="AHJ12" s="118"/>
      <c r="AHK12" s="118"/>
      <c r="AHL12" s="118"/>
      <c r="AHM12" s="118"/>
      <c r="AHN12" s="118"/>
      <c r="AHO12" s="118"/>
      <c r="AHP12" s="118"/>
      <c r="AHQ12" s="118"/>
      <c r="AHR12" s="118"/>
      <c r="AHS12" s="118"/>
      <c r="AHT12" s="118"/>
      <c r="AHU12" s="118"/>
      <c r="AHV12" s="118"/>
      <c r="AHW12" s="118"/>
      <c r="AHX12" s="118"/>
      <c r="AHY12" s="118"/>
      <c r="AHZ12" s="118"/>
      <c r="AIA12" s="118"/>
      <c r="AIB12" s="118"/>
      <c r="AIC12" s="118"/>
      <c r="AID12" s="118"/>
      <c r="AIE12" s="118"/>
      <c r="AIF12" s="118"/>
      <c r="AIG12" s="118"/>
      <c r="AIH12" s="118"/>
      <c r="AII12" s="118"/>
      <c r="AIJ12" s="118"/>
      <c r="AIK12" s="118"/>
      <c r="AIL12" s="118"/>
      <c r="AIM12" s="118"/>
      <c r="AIN12" s="118"/>
      <c r="AIO12" s="118"/>
      <c r="AIP12" s="118"/>
      <c r="AIQ12" s="118"/>
      <c r="AIR12" s="118"/>
      <c r="AIS12" s="118"/>
      <c r="AIT12" s="118"/>
      <c r="AIU12" s="118"/>
      <c r="AIV12" s="118"/>
      <c r="AIW12" s="118"/>
      <c r="AIX12" s="118"/>
      <c r="AIY12" s="118"/>
      <c r="AIZ12" s="118"/>
      <c r="AJA12" s="118"/>
      <c r="AJB12" s="118"/>
      <c r="AJC12" s="118"/>
      <c r="AJD12" s="118"/>
      <c r="AJE12" s="118"/>
      <c r="AJF12" s="118"/>
      <c r="AJG12" s="118"/>
      <c r="AJH12" s="118"/>
      <c r="AJI12" s="118"/>
      <c r="AJJ12" s="118"/>
      <c r="AJK12" s="118"/>
      <c r="AJL12" s="118"/>
      <c r="AJM12" s="118"/>
      <c r="AJN12" s="118"/>
      <c r="AJO12" s="118"/>
      <c r="AJP12" s="118"/>
      <c r="AJQ12" s="118"/>
      <c r="AJR12" s="118"/>
      <c r="AJS12" s="118"/>
      <c r="AJT12" s="118"/>
      <c r="AJU12" s="118"/>
      <c r="AJV12" s="118"/>
      <c r="AJW12" s="118"/>
      <c r="AJX12" s="118"/>
      <c r="AJY12" s="118"/>
      <c r="AJZ12" s="118"/>
      <c r="AKA12" s="118"/>
      <c r="AKB12" s="118"/>
      <c r="AKC12" s="118"/>
      <c r="AKD12" s="118"/>
      <c r="AKE12" s="118"/>
      <c r="AKF12" s="118"/>
      <c r="AKG12" s="118"/>
      <c r="AKH12" s="118"/>
      <c r="AKI12" s="118"/>
      <c r="AKJ12" s="118"/>
      <c r="AKK12" s="118"/>
      <c r="AKL12" s="118"/>
      <c r="AKM12" s="118"/>
      <c r="AKN12" s="118"/>
      <c r="AKO12" s="118"/>
      <c r="AKP12" s="118"/>
      <c r="AKQ12" s="118"/>
      <c r="AKR12" s="118"/>
      <c r="AKS12" s="118"/>
      <c r="AKT12" s="118"/>
      <c r="AKU12" s="118"/>
      <c r="AKV12" s="118"/>
      <c r="AKW12" s="118"/>
      <c r="AKX12" s="118"/>
      <c r="AKY12" s="118"/>
      <c r="AKZ12" s="118"/>
      <c r="ALA12" s="118"/>
      <c r="ALB12" s="118"/>
      <c r="ALC12" s="118"/>
      <c r="ALD12" s="118"/>
      <c r="ALE12" s="118"/>
      <c r="ALF12" s="118"/>
      <c r="ALG12" s="118"/>
      <c r="ALH12" s="118"/>
      <c r="ALI12" s="118"/>
      <c r="ALJ12" s="118"/>
      <c r="ALK12" s="118"/>
      <c r="ALL12" s="118"/>
      <c r="ALM12" s="118"/>
      <c r="ALN12" s="118"/>
      <c r="ALO12" s="118"/>
      <c r="ALP12" s="118"/>
      <c r="ALQ12" s="118"/>
      <c r="ALR12" s="118"/>
      <c r="ALS12" s="118"/>
      <c r="ALT12" s="118"/>
      <c r="ALU12" s="118"/>
      <c r="ALV12" s="118"/>
      <c r="ALW12" s="118"/>
      <c r="ALX12" s="118"/>
      <c r="ALY12" s="118"/>
      <c r="ALZ12" s="118"/>
      <c r="AMA12" s="118"/>
      <c r="AMB12" s="118"/>
      <c r="AMC12" s="118"/>
      <c r="AMD12" s="118"/>
      <c r="AME12" s="118"/>
      <c r="AMF12" s="118"/>
      <c r="AMG12" s="118"/>
      <c r="AMH12" s="118"/>
      <c r="AMI12" s="118"/>
      <c r="AMJ12" s="118"/>
      <c r="AMK12" s="118"/>
      <c r="AML12" s="118"/>
      <c r="AMM12" s="118"/>
      <c r="AMN12" s="118"/>
      <c r="AMO12" s="118"/>
      <c r="AMP12" s="118"/>
      <c r="AMQ12" s="118"/>
      <c r="AMR12" s="118"/>
      <c r="AMS12" s="118"/>
      <c r="AMT12" s="118"/>
      <c r="AMU12" s="118"/>
      <c r="AMV12" s="118"/>
      <c r="AMW12" s="118"/>
      <c r="AMX12" s="118"/>
      <c r="AMY12" s="118"/>
      <c r="AMZ12" s="118"/>
      <c r="ANA12" s="118"/>
      <c r="ANB12" s="118"/>
      <c r="ANC12" s="118"/>
      <c r="AND12" s="118"/>
      <c r="ANE12" s="118"/>
      <c r="ANF12" s="118"/>
      <c r="ANG12" s="118"/>
      <c r="ANH12" s="118"/>
      <c r="ANI12" s="118"/>
      <c r="ANJ12" s="118"/>
      <c r="ANK12" s="118"/>
      <c r="ANL12" s="118"/>
      <c r="ANM12" s="118"/>
      <c r="ANN12" s="118"/>
      <c r="ANO12" s="118"/>
      <c r="ANP12" s="118"/>
      <c r="ANQ12" s="118"/>
      <c r="ANR12" s="118"/>
      <c r="ANS12" s="118"/>
      <c r="ANT12" s="118"/>
      <c r="ANU12" s="118"/>
      <c r="ANV12" s="118"/>
      <c r="ANW12" s="118"/>
      <c r="ANX12" s="118"/>
      <c r="ANY12" s="118"/>
      <c r="ANZ12" s="118"/>
      <c r="AOA12" s="118"/>
      <c r="AOB12" s="118"/>
      <c r="AOC12" s="118"/>
      <c r="AOD12" s="118"/>
      <c r="AOE12" s="118"/>
      <c r="AOF12" s="118"/>
      <c r="AOG12" s="118"/>
      <c r="AOH12" s="118"/>
      <c r="AOI12" s="118"/>
      <c r="AOJ12" s="118"/>
      <c r="AOK12" s="118"/>
      <c r="AOL12" s="118"/>
      <c r="AOM12" s="118"/>
      <c r="AON12" s="118"/>
      <c r="AOO12" s="118"/>
      <c r="AOP12" s="118"/>
      <c r="AOQ12" s="118"/>
      <c r="AOR12" s="118"/>
      <c r="AOS12" s="118"/>
      <c r="AOT12" s="118"/>
      <c r="AOU12" s="118"/>
      <c r="AOV12" s="118"/>
      <c r="AOW12" s="118"/>
      <c r="AOX12" s="118"/>
      <c r="AOY12" s="118"/>
      <c r="AOZ12" s="118"/>
      <c r="APA12" s="118"/>
      <c r="APB12" s="118"/>
      <c r="APC12" s="118"/>
      <c r="APD12" s="118"/>
      <c r="APE12" s="118"/>
      <c r="APF12" s="118"/>
      <c r="APG12" s="118"/>
      <c r="APH12" s="118"/>
      <c r="API12" s="118"/>
      <c r="APJ12" s="118"/>
      <c r="APK12" s="118"/>
      <c r="APL12" s="118"/>
      <c r="APM12" s="118"/>
      <c r="APN12" s="118"/>
      <c r="APO12" s="118"/>
      <c r="APP12" s="118"/>
      <c r="APQ12" s="118"/>
      <c r="APR12" s="118"/>
      <c r="APS12" s="118"/>
      <c r="APT12" s="118"/>
      <c r="APU12" s="118"/>
      <c r="APV12" s="118"/>
      <c r="APW12" s="118"/>
      <c r="APX12" s="118"/>
      <c r="APY12" s="118"/>
      <c r="APZ12" s="118"/>
      <c r="AQA12" s="118"/>
      <c r="AQB12" s="118"/>
      <c r="AQC12" s="118"/>
      <c r="AQD12" s="118"/>
      <c r="AQE12" s="118"/>
      <c r="AQF12" s="118"/>
      <c r="AQG12" s="118"/>
      <c r="AQH12" s="118"/>
      <c r="AQI12" s="118"/>
      <c r="AQJ12" s="118"/>
      <c r="AQK12" s="118"/>
      <c r="AQL12" s="118"/>
      <c r="AQM12" s="118"/>
      <c r="AQN12" s="118"/>
      <c r="AQO12" s="118"/>
      <c r="AQP12" s="118"/>
      <c r="AQQ12" s="118"/>
      <c r="AQR12" s="118"/>
      <c r="AQS12" s="118"/>
      <c r="AQT12" s="118"/>
      <c r="AQU12" s="118"/>
      <c r="AQV12" s="118"/>
      <c r="AQW12" s="118"/>
      <c r="AQX12" s="118"/>
      <c r="AQY12" s="118"/>
      <c r="AQZ12" s="118"/>
      <c r="ARA12" s="118"/>
      <c r="ARB12" s="118"/>
      <c r="ARC12" s="118"/>
      <c r="ARD12" s="118"/>
      <c r="ARE12" s="118"/>
      <c r="ARF12" s="118"/>
      <c r="ARG12" s="118"/>
      <c r="ARH12" s="118"/>
      <c r="ARI12" s="118"/>
      <c r="ARJ12" s="118"/>
      <c r="ARK12" s="118"/>
      <c r="ARL12" s="118"/>
      <c r="ARM12" s="118"/>
      <c r="ARN12" s="118"/>
      <c r="ARO12" s="118"/>
      <c r="ARP12" s="118"/>
      <c r="ARQ12" s="118"/>
      <c r="ARR12" s="118"/>
      <c r="ARS12" s="118"/>
      <c r="ART12" s="118"/>
      <c r="ARU12" s="118"/>
      <c r="ARV12" s="118"/>
      <c r="ARW12" s="118"/>
      <c r="ARX12" s="118"/>
      <c r="ARY12" s="118"/>
      <c r="ARZ12" s="118"/>
      <c r="ASA12" s="118"/>
      <c r="ASB12" s="118"/>
      <c r="ASC12" s="118"/>
      <c r="ASD12" s="118"/>
      <c r="ASE12" s="118"/>
      <c r="ASF12" s="118"/>
      <c r="ASG12" s="118"/>
      <c r="ASH12" s="118"/>
      <c r="ASI12" s="118"/>
      <c r="ASJ12" s="118"/>
      <c r="ASK12" s="118"/>
      <c r="ASL12" s="118"/>
      <c r="ASM12" s="118"/>
      <c r="ASN12" s="118"/>
      <c r="ASO12" s="118"/>
      <c r="ASP12" s="118"/>
      <c r="ASQ12" s="118"/>
      <c r="ASR12" s="118"/>
      <c r="ASS12" s="118"/>
      <c r="AST12" s="118"/>
      <c r="ASU12" s="118"/>
      <c r="ASV12" s="118"/>
      <c r="ASW12" s="118"/>
      <c r="ASX12" s="118"/>
      <c r="ASY12" s="118"/>
      <c r="ASZ12" s="118"/>
      <c r="ATA12" s="118"/>
      <c r="ATB12" s="118"/>
      <c r="ATC12" s="118"/>
      <c r="ATD12" s="118"/>
      <c r="ATE12" s="118"/>
      <c r="ATF12" s="118"/>
      <c r="ATG12" s="118"/>
      <c r="ATH12" s="118"/>
      <c r="ATI12" s="118"/>
      <c r="ATJ12" s="118"/>
      <c r="ATK12" s="118"/>
      <c r="ATL12" s="118"/>
      <c r="ATM12" s="118"/>
      <c r="ATN12" s="118"/>
      <c r="ATO12" s="118"/>
      <c r="ATP12" s="118"/>
      <c r="ATQ12" s="118"/>
      <c r="ATR12" s="118"/>
      <c r="ATS12" s="118"/>
      <c r="ATT12" s="118"/>
      <c r="ATU12" s="118"/>
      <c r="ATV12" s="118"/>
      <c r="ATW12" s="118"/>
      <c r="ATX12" s="118"/>
      <c r="ATY12" s="118"/>
      <c r="ATZ12" s="118"/>
      <c r="AUA12" s="118"/>
      <c r="AUB12" s="118"/>
      <c r="AUC12" s="118"/>
      <c r="AUD12" s="118"/>
      <c r="AUE12" s="118"/>
      <c r="AUF12" s="118"/>
      <c r="AUG12" s="118"/>
      <c r="AUH12" s="118"/>
      <c r="AUI12" s="118"/>
      <c r="AUJ12" s="118"/>
      <c r="AUK12" s="118"/>
      <c r="AUL12" s="118"/>
      <c r="AUM12" s="118"/>
      <c r="AUN12" s="118"/>
      <c r="AUO12" s="118"/>
      <c r="AUP12" s="118"/>
      <c r="AUQ12" s="118"/>
      <c r="AUR12" s="118"/>
      <c r="AUS12" s="118"/>
      <c r="AUT12" s="118"/>
      <c r="AUU12" s="118"/>
      <c r="AUV12" s="118"/>
      <c r="AUW12" s="118"/>
      <c r="AUX12" s="118"/>
      <c r="AUY12" s="118"/>
      <c r="AUZ12" s="118"/>
      <c r="AVA12" s="118"/>
      <c r="AVB12" s="118"/>
      <c r="AVC12" s="118"/>
      <c r="AVD12" s="118"/>
      <c r="AVE12" s="118"/>
      <c r="AVF12" s="118"/>
      <c r="AVG12" s="118"/>
      <c r="AVH12" s="118"/>
      <c r="AVI12" s="118"/>
      <c r="AVJ12" s="118"/>
      <c r="AVK12" s="118"/>
      <c r="AVL12" s="118"/>
      <c r="AVM12" s="118"/>
      <c r="AVN12" s="118"/>
      <c r="AVO12" s="118"/>
      <c r="AVP12" s="118"/>
      <c r="AVQ12" s="118"/>
      <c r="AVR12" s="118"/>
      <c r="AVS12" s="118"/>
      <c r="AVT12" s="118"/>
      <c r="AVU12" s="118"/>
      <c r="AVV12" s="118"/>
      <c r="AVW12" s="118"/>
      <c r="AVX12" s="118"/>
      <c r="AVY12" s="118"/>
      <c r="AVZ12" s="118"/>
      <c r="AWA12" s="118"/>
      <c r="AWB12" s="118"/>
      <c r="AWC12" s="118"/>
      <c r="AWD12" s="118"/>
      <c r="AWE12" s="118"/>
      <c r="AWF12" s="118"/>
      <c r="AWG12" s="118"/>
      <c r="AWH12" s="118"/>
      <c r="AWI12" s="118"/>
      <c r="AWJ12" s="118"/>
      <c r="AWK12" s="118"/>
      <c r="AWL12" s="118"/>
      <c r="AWM12" s="118"/>
      <c r="AWN12" s="118"/>
      <c r="AWO12" s="118"/>
      <c r="AWP12" s="118"/>
      <c r="AWQ12" s="118"/>
      <c r="AWR12" s="118"/>
      <c r="AWS12" s="118"/>
      <c r="AWT12" s="118"/>
      <c r="AWU12" s="118"/>
      <c r="AWV12" s="118"/>
      <c r="AWW12" s="118"/>
      <c r="AWX12" s="118"/>
      <c r="AWY12" s="118"/>
      <c r="AWZ12" s="118"/>
      <c r="AXA12" s="118"/>
      <c r="AXB12" s="118"/>
      <c r="AXC12" s="118"/>
      <c r="AXD12" s="118"/>
      <c r="AXE12" s="118"/>
      <c r="AXF12" s="118"/>
      <c r="AXG12" s="118"/>
      <c r="AXH12" s="118"/>
      <c r="AXI12" s="118"/>
      <c r="AXJ12" s="118"/>
      <c r="AXK12" s="118"/>
      <c r="AXL12" s="118"/>
      <c r="AXM12" s="118"/>
      <c r="AXN12" s="118"/>
      <c r="AXO12" s="118"/>
      <c r="AXP12" s="118"/>
      <c r="AXQ12" s="118"/>
      <c r="AXR12" s="118"/>
      <c r="AXS12" s="118"/>
      <c r="AXT12" s="118"/>
      <c r="AXU12" s="118"/>
      <c r="AXV12" s="118"/>
      <c r="AXW12" s="118"/>
      <c r="AXX12" s="118"/>
      <c r="AXY12" s="118"/>
      <c r="AXZ12" s="118"/>
      <c r="AYA12" s="118"/>
      <c r="AYB12" s="118"/>
      <c r="AYC12" s="118"/>
      <c r="AYD12" s="118"/>
      <c r="AYE12" s="118"/>
      <c r="AYF12" s="118"/>
      <c r="AYG12" s="118"/>
      <c r="AYH12" s="118"/>
      <c r="AYI12" s="118"/>
      <c r="AYJ12" s="118"/>
      <c r="AYK12" s="118"/>
      <c r="AYL12" s="118"/>
      <c r="AYM12" s="118"/>
      <c r="AYN12" s="118"/>
      <c r="AYO12" s="118"/>
      <c r="AYP12" s="118"/>
      <c r="AYQ12" s="118"/>
      <c r="AYR12" s="118"/>
      <c r="AYS12" s="118"/>
      <c r="AYT12" s="118"/>
      <c r="AYU12" s="118"/>
      <c r="AYV12" s="118"/>
      <c r="AYW12" s="118"/>
      <c r="AYX12" s="118"/>
      <c r="AYY12" s="118"/>
      <c r="AYZ12" s="118"/>
      <c r="AZA12" s="118"/>
      <c r="AZB12" s="118"/>
      <c r="AZC12" s="118"/>
      <c r="AZD12" s="118"/>
      <c r="AZE12" s="118"/>
      <c r="AZF12" s="118"/>
      <c r="AZG12" s="118"/>
      <c r="AZH12" s="118"/>
      <c r="AZI12" s="118"/>
      <c r="AZJ12" s="118"/>
      <c r="AZK12" s="118"/>
      <c r="AZL12" s="118"/>
      <c r="AZM12" s="118"/>
      <c r="AZN12" s="118"/>
      <c r="AZO12" s="118"/>
      <c r="AZP12" s="118"/>
      <c r="AZQ12" s="118"/>
      <c r="AZR12" s="118"/>
      <c r="AZS12" s="118"/>
      <c r="AZT12" s="118"/>
      <c r="AZU12" s="118"/>
      <c r="AZV12" s="118"/>
      <c r="AZW12" s="118"/>
      <c r="AZX12" s="118"/>
      <c r="AZY12" s="118"/>
      <c r="AZZ12" s="118"/>
      <c r="BAA12" s="118"/>
      <c r="BAB12" s="118"/>
      <c r="BAC12" s="118"/>
      <c r="BAD12" s="118"/>
      <c r="BAE12" s="118"/>
      <c r="BAF12" s="118"/>
      <c r="BAG12" s="118"/>
      <c r="BAH12" s="118"/>
      <c r="BAI12" s="118"/>
      <c r="BAJ12" s="118"/>
      <c r="BAK12" s="118"/>
      <c r="BAL12" s="118"/>
      <c r="BAM12" s="118"/>
      <c r="BAN12" s="118"/>
      <c r="BAO12" s="118"/>
      <c r="BAP12" s="118"/>
      <c r="BAQ12" s="118"/>
      <c r="BAR12" s="118"/>
      <c r="BAS12" s="118"/>
      <c r="BAT12" s="118"/>
      <c r="BAU12" s="118"/>
      <c r="BAV12" s="118"/>
      <c r="BAW12" s="118"/>
      <c r="BAX12" s="118"/>
      <c r="BAY12" s="118"/>
      <c r="BAZ12" s="118"/>
      <c r="BBA12" s="118"/>
      <c r="BBB12" s="118"/>
      <c r="BBC12" s="118"/>
      <c r="BBD12" s="118"/>
      <c r="BBE12" s="118"/>
      <c r="BBF12" s="118"/>
      <c r="BBG12" s="118"/>
      <c r="BBH12" s="118"/>
      <c r="BBI12" s="118"/>
      <c r="BBJ12" s="118"/>
      <c r="BBK12" s="118"/>
      <c r="BBL12" s="118"/>
      <c r="BBM12" s="118"/>
      <c r="BBN12" s="118"/>
      <c r="BBO12" s="118"/>
      <c r="BBP12" s="118"/>
      <c r="BBQ12" s="118"/>
      <c r="BBR12" s="118"/>
      <c r="BBS12" s="118"/>
      <c r="BBT12" s="118"/>
      <c r="BBU12" s="118"/>
      <c r="BBV12" s="118"/>
      <c r="BBW12" s="118"/>
      <c r="BBX12" s="118"/>
      <c r="BBY12" s="118"/>
      <c r="BBZ12" s="118"/>
      <c r="BCA12" s="118"/>
      <c r="BCB12" s="118"/>
      <c r="BCC12" s="118"/>
      <c r="BCD12" s="118"/>
      <c r="BCE12" s="118"/>
      <c r="BCF12" s="118"/>
      <c r="BCG12" s="118"/>
      <c r="BCH12" s="118"/>
      <c r="BCI12" s="118"/>
      <c r="BCJ12" s="118"/>
      <c r="BCK12" s="118"/>
      <c r="BCL12" s="118"/>
      <c r="BCM12" s="118"/>
      <c r="BCN12" s="118"/>
      <c r="BCO12" s="118"/>
      <c r="BCP12" s="118"/>
      <c r="BCQ12" s="118"/>
      <c r="BCR12" s="118"/>
      <c r="BCS12" s="118"/>
      <c r="BCT12" s="118"/>
      <c r="BCU12" s="118"/>
      <c r="BCV12" s="118"/>
      <c r="BCW12" s="118"/>
      <c r="BCX12" s="118"/>
      <c r="BCY12" s="118"/>
      <c r="BCZ12" s="118"/>
      <c r="BDA12" s="118"/>
      <c r="BDB12" s="118"/>
      <c r="BDC12" s="118"/>
      <c r="BDD12" s="118"/>
      <c r="BDE12" s="118"/>
      <c r="BDF12" s="118"/>
      <c r="BDG12" s="118"/>
      <c r="BDH12" s="118"/>
      <c r="BDI12" s="118"/>
      <c r="BDJ12" s="118"/>
      <c r="BDK12" s="118"/>
      <c r="BDL12" s="118"/>
      <c r="BDM12" s="118"/>
      <c r="BDN12" s="118"/>
      <c r="BDO12" s="118"/>
      <c r="BDP12" s="118"/>
      <c r="BDQ12" s="118"/>
      <c r="BDR12" s="118"/>
      <c r="BDS12" s="118"/>
      <c r="BDT12" s="118"/>
      <c r="BDU12" s="118"/>
      <c r="BDV12" s="118"/>
      <c r="BDW12" s="118"/>
      <c r="BDX12" s="118"/>
      <c r="BDY12" s="118"/>
      <c r="BDZ12" s="118"/>
      <c r="BEA12" s="118"/>
      <c r="BEB12" s="118"/>
      <c r="BEC12" s="118"/>
      <c r="BED12" s="118"/>
      <c r="BEE12" s="118"/>
      <c r="BEF12" s="118"/>
      <c r="BEG12" s="118"/>
      <c r="BEH12" s="118"/>
      <c r="BEI12" s="118"/>
      <c r="BEJ12" s="118"/>
      <c r="BEK12" s="118"/>
      <c r="BEL12" s="118"/>
      <c r="BEM12" s="118"/>
      <c r="BEN12" s="118"/>
      <c r="BEO12" s="118"/>
      <c r="BEP12" s="118"/>
      <c r="BEQ12" s="118"/>
      <c r="BER12" s="118"/>
      <c r="BES12" s="118"/>
      <c r="BET12" s="118"/>
      <c r="BEU12" s="118"/>
      <c r="BEV12" s="118"/>
      <c r="BEW12" s="118"/>
      <c r="BEX12" s="118"/>
      <c r="BEY12" s="118"/>
      <c r="BEZ12" s="118"/>
      <c r="BFA12" s="118"/>
      <c r="BFB12" s="118"/>
      <c r="BFC12" s="118"/>
      <c r="BFD12" s="118"/>
      <c r="BFE12" s="118"/>
      <c r="BFF12" s="118"/>
      <c r="BFG12" s="118"/>
      <c r="BFH12" s="118"/>
      <c r="BFI12" s="118"/>
      <c r="BFJ12" s="118"/>
      <c r="BFK12" s="118"/>
      <c r="BFL12" s="118"/>
      <c r="BFM12" s="118"/>
      <c r="BFN12" s="118"/>
      <c r="BFO12" s="118"/>
      <c r="BFP12" s="118"/>
      <c r="BFQ12" s="118"/>
      <c r="BFR12" s="118"/>
      <c r="BFS12" s="118"/>
      <c r="BFT12" s="118"/>
      <c r="BFU12" s="118"/>
      <c r="BFV12" s="118"/>
      <c r="BFW12" s="118"/>
      <c r="BFX12" s="118"/>
      <c r="BFY12" s="118"/>
      <c r="BFZ12" s="118"/>
      <c r="BGA12" s="118"/>
      <c r="BGB12" s="118"/>
      <c r="BGC12" s="118"/>
      <c r="BGD12" s="118"/>
      <c r="BGE12" s="118"/>
      <c r="BGF12" s="118"/>
      <c r="BGG12" s="118"/>
      <c r="BGH12" s="118"/>
      <c r="BGI12" s="118"/>
      <c r="BGJ12" s="118"/>
      <c r="BGK12" s="118"/>
      <c r="BGL12" s="118"/>
      <c r="BGM12" s="118"/>
      <c r="BGN12" s="118"/>
      <c r="BGO12" s="118"/>
      <c r="BGP12" s="118"/>
      <c r="BGQ12" s="118"/>
      <c r="BGR12" s="118"/>
      <c r="BGS12" s="118"/>
      <c r="BGT12" s="118"/>
      <c r="BGU12" s="118"/>
      <c r="BGV12" s="118"/>
      <c r="BGW12" s="118"/>
      <c r="BGX12" s="118"/>
      <c r="BGY12" s="118"/>
      <c r="BGZ12" s="118"/>
      <c r="BHA12" s="118"/>
      <c r="BHB12" s="118"/>
      <c r="BHC12" s="118"/>
      <c r="BHD12" s="118"/>
      <c r="BHE12" s="118"/>
      <c r="BHF12" s="118"/>
      <c r="BHG12" s="118"/>
      <c r="BHH12" s="118"/>
      <c r="BHI12" s="118"/>
      <c r="BHJ12" s="118"/>
      <c r="BHK12" s="118"/>
      <c r="BHL12" s="118"/>
      <c r="BHM12" s="118"/>
      <c r="BHN12" s="118"/>
      <c r="BHO12" s="118"/>
      <c r="BHP12" s="118"/>
      <c r="BHQ12" s="118"/>
      <c r="BHR12" s="118"/>
      <c r="BHS12" s="118"/>
      <c r="BHT12" s="118"/>
      <c r="BHU12" s="118"/>
      <c r="BHV12" s="118"/>
      <c r="BHW12" s="118"/>
      <c r="BHX12" s="118"/>
      <c r="BHY12" s="118"/>
      <c r="BHZ12" s="118"/>
      <c r="BIA12" s="118"/>
      <c r="BIB12" s="118"/>
      <c r="BIC12" s="118"/>
      <c r="BID12" s="118"/>
      <c r="BIE12" s="118"/>
      <c r="BIF12" s="118"/>
      <c r="BIG12" s="118"/>
      <c r="BIH12" s="118"/>
      <c r="BII12" s="118"/>
      <c r="BIJ12" s="118"/>
      <c r="BIK12" s="118"/>
      <c r="BIL12" s="118"/>
      <c r="BIM12" s="118"/>
      <c r="BIN12" s="118"/>
      <c r="BIO12" s="118"/>
      <c r="BIP12" s="118"/>
      <c r="BIQ12" s="118"/>
      <c r="BIR12" s="118"/>
      <c r="BIS12" s="118"/>
      <c r="BIT12" s="118"/>
      <c r="BIU12" s="118"/>
      <c r="BIV12" s="118"/>
      <c r="BIW12" s="118"/>
      <c r="BIX12" s="118"/>
      <c r="BIY12" s="118"/>
      <c r="BIZ12" s="118"/>
      <c r="BJA12" s="118"/>
      <c r="BJB12" s="118"/>
      <c r="BJC12" s="118"/>
      <c r="BJD12" s="118"/>
      <c r="BJE12" s="118"/>
      <c r="BJF12" s="118"/>
      <c r="BJG12" s="118"/>
      <c r="BJH12" s="118"/>
      <c r="BJI12" s="118"/>
      <c r="BJJ12" s="118"/>
      <c r="BJK12" s="118"/>
      <c r="BJL12" s="118"/>
      <c r="BJM12" s="118"/>
      <c r="BJN12" s="118"/>
      <c r="BJO12" s="118"/>
      <c r="BJP12" s="118"/>
      <c r="BJQ12" s="118"/>
      <c r="BJR12" s="118"/>
      <c r="BJS12" s="118"/>
      <c r="BJT12" s="118"/>
      <c r="BJU12" s="118"/>
      <c r="BJV12" s="118"/>
      <c r="BJW12" s="118"/>
      <c r="BJX12" s="118"/>
      <c r="BJY12" s="118"/>
      <c r="BJZ12" s="118"/>
      <c r="BKA12" s="118"/>
      <c r="BKB12" s="118"/>
      <c r="BKC12" s="118"/>
      <c r="BKD12" s="118"/>
      <c r="BKE12" s="118"/>
      <c r="BKF12" s="118"/>
      <c r="BKG12" s="118"/>
      <c r="BKH12" s="118"/>
      <c r="BKI12" s="118"/>
      <c r="BKJ12" s="118"/>
      <c r="BKK12" s="118"/>
      <c r="BKL12" s="118"/>
      <c r="BKM12" s="118"/>
      <c r="BKN12" s="118"/>
      <c r="BKO12" s="118"/>
      <c r="BKP12" s="118"/>
      <c r="BKQ12" s="118"/>
      <c r="BKR12" s="118"/>
      <c r="BKS12" s="118"/>
      <c r="BKT12" s="118"/>
      <c r="BKU12" s="118"/>
      <c r="BKV12" s="118"/>
      <c r="BKW12" s="118"/>
      <c r="BKX12" s="118"/>
      <c r="BKY12" s="118"/>
      <c r="BKZ12" s="118"/>
      <c r="BLA12" s="118"/>
      <c r="BLB12" s="118"/>
      <c r="BLC12" s="118"/>
      <c r="BLD12" s="118"/>
      <c r="BLE12" s="118"/>
      <c r="BLF12" s="118"/>
      <c r="BLG12" s="118"/>
      <c r="BLH12" s="118"/>
      <c r="BLI12" s="118"/>
      <c r="BLJ12" s="118"/>
      <c r="BLK12" s="118"/>
      <c r="BLL12" s="118"/>
      <c r="BLM12" s="118"/>
      <c r="BLN12" s="118"/>
      <c r="BLO12" s="118"/>
      <c r="BLP12" s="118"/>
      <c r="BLQ12" s="118"/>
      <c r="BLR12" s="118"/>
      <c r="BLS12" s="118"/>
      <c r="BLT12" s="118"/>
      <c r="BLU12" s="118"/>
      <c r="BLV12" s="118"/>
      <c r="BLW12" s="118"/>
      <c r="BLX12" s="118"/>
      <c r="BLY12" s="118"/>
      <c r="BLZ12" s="118"/>
      <c r="BMA12" s="118"/>
      <c r="BMB12" s="118"/>
      <c r="BMC12" s="118"/>
      <c r="BMD12" s="118"/>
      <c r="BME12" s="118"/>
      <c r="BMF12" s="118"/>
      <c r="BMG12" s="118"/>
      <c r="BMH12" s="118"/>
      <c r="BMI12" s="118"/>
      <c r="BMJ12" s="118"/>
      <c r="BMK12" s="118"/>
      <c r="BML12" s="118"/>
      <c r="BMM12" s="118"/>
      <c r="BMN12" s="118"/>
      <c r="BMO12" s="118"/>
      <c r="BMP12" s="118"/>
      <c r="BMQ12" s="118"/>
      <c r="BMR12" s="118"/>
      <c r="BMS12" s="118"/>
      <c r="BMT12" s="118"/>
      <c r="BMU12" s="118"/>
      <c r="BMV12" s="118"/>
      <c r="BMW12" s="118"/>
      <c r="BMX12" s="118"/>
      <c r="BMY12" s="118"/>
      <c r="BMZ12" s="118"/>
      <c r="BNA12" s="118"/>
      <c r="BNB12" s="118"/>
      <c r="BNC12" s="118"/>
      <c r="BND12" s="118"/>
      <c r="BNE12" s="118"/>
      <c r="BNF12" s="118"/>
      <c r="BNG12" s="118"/>
      <c r="BNH12" s="118"/>
      <c r="BNI12" s="118"/>
      <c r="BNJ12" s="118"/>
      <c r="BNK12" s="118"/>
      <c r="BNL12" s="118"/>
      <c r="BNM12" s="118"/>
      <c r="BNN12" s="118"/>
      <c r="BNO12" s="118"/>
      <c r="BNP12" s="118"/>
      <c r="BNQ12" s="118"/>
      <c r="BNR12" s="118"/>
      <c r="BNS12" s="118"/>
      <c r="BNT12" s="118"/>
      <c r="BNU12" s="118"/>
      <c r="BNV12" s="118"/>
      <c r="BNW12" s="118"/>
      <c r="BNX12" s="118"/>
      <c r="BNY12" s="118"/>
      <c r="BNZ12" s="118"/>
      <c r="BOA12" s="118"/>
      <c r="BOB12" s="118"/>
      <c r="BOC12" s="118"/>
      <c r="BOD12" s="118"/>
      <c r="BOE12" s="118"/>
      <c r="BOF12" s="118"/>
      <c r="BOG12" s="118"/>
      <c r="BOH12" s="118"/>
      <c r="BOI12" s="118"/>
      <c r="BOJ12" s="118"/>
      <c r="BOK12" s="118"/>
      <c r="BOL12" s="118"/>
      <c r="BOM12" s="118"/>
      <c r="BON12" s="118"/>
      <c r="BOO12" s="118"/>
      <c r="BOP12" s="118"/>
      <c r="BOQ12" s="118"/>
      <c r="BOR12" s="118"/>
      <c r="BOS12" s="118"/>
      <c r="BOT12" s="118"/>
      <c r="BOU12" s="118"/>
      <c r="BOV12" s="118"/>
      <c r="BOW12" s="118"/>
      <c r="BOX12" s="118"/>
      <c r="BOY12" s="118"/>
      <c r="BOZ12" s="118"/>
      <c r="BPA12" s="118"/>
      <c r="BPB12" s="118"/>
      <c r="BPC12" s="118"/>
      <c r="BPD12" s="118"/>
      <c r="BPE12" s="118"/>
      <c r="BPF12" s="118"/>
      <c r="BPG12" s="118"/>
      <c r="BPH12" s="118"/>
      <c r="BPI12" s="118"/>
      <c r="BPJ12" s="118"/>
      <c r="BPK12" s="118"/>
      <c r="BPL12" s="118"/>
      <c r="BPM12" s="118"/>
      <c r="BPN12" s="118"/>
      <c r="BPO12" s="118"/>
      <c r="BPP12" s="118"/>
      <c r="BPQ12" s="118"/>
      <c r="BPR12" s="118"/>
      <c r="BPS12" s="118"/>
      <c r="BPT12" s="118"/>
      <c r="BPU12" s="118"/>
      <c r="BPV12" s="118"/>
      <c r="BPW12" s="118"/>
      <c r="BPX12" s="118"/>
      <c r="BPY12" s="118"/>
      <c r="BPZ12" s="118"/>
      <c r="BQA12" s="118"/>
      <c r="BQB12" s="118"/>
      <c r="BQC12" s="118"/>
      <c r="BQD12" s="118"/>
      <c r="BQE12" s="118"/>
      <c r="BQF12" s="118"/>
      <c r="BQG12" s="118"/>
      <c r="BQH12" s="118"/>
      <c r="BQI12" s="118"/>
      <c r="BQJ12" s="118"/>
      <c r="BQK12" s="118"/>
      <c r="BQL12" s="118"/>
      <c r="BQM12" s="118"/>
      <c r="BQN12" s="118"/>
      <c r="BQO12" s="118"/>
      <c r="BQP12" s="118"/>
      <c r="BQQ12" s="118"/>
      <c r="BQR12" s="118"/>
      <c r="BQS12" s="118"/>
      <c r="BQT12" s="118"/>
      <c r="BQU12" s="118"/>
      <c r="BQV12" s="118"/>
      <c r="BQW12" s="118"/>
      <c r="BQX12" s="118"/>
      <c r="BQY12" s="118"/>
      <c r="BQZ12" s="118"/>
      <c r="BRA12" s="118"/>
      <c r="BRB12" s="118"/>
      <c r="BRC12" s="118"/>
      <c r="BRD12" s="118"/>
      <c r="BRE12" s="118"/>
      <c r="BRF12" s="118"/>
      <c r="BRG12" s="118"/>
      <c r="BRH12" s="118"/>
      <c r="BRI12" s="118"/>
      <c r="BRJ12" s="118"/>
      <c r="BRK12" s="118"/>
      <c r="BRL12" s="118"/>
      <c r="BRM12" s="118"/>
      <c r="BRN12" s="118"/>
      <c r="BRO12" s="118"/>
      <c r="BRP12" s="118"/>
      <c r="BRQ12" s="118"/>
      <c r="BRR12" s="118"/>
      <c r="BRS12" s="118"/>
      <c r="BRT12" s="118"/>
      <c r="BRU12" s="118"/>
      <c r="BRV12" s="118"/>
      <c r="BRW12" s="118"/>
      <c r="BRX12" s="118"/>
      <c r="BRY12" s="118"/>
      <c r="BRZ12" s="118"/>
      <c r="BSA12" s="118"/>
      <c r="BSB12" s="118"/>
      <c r="BSC12" s="118"/>
      <c r="BSD12" s="118"/>
      <c r="BSE12" s="118"/>
      <c r="BSF12" s="118"/>
      <c r="BSG12" s="118"/>
      <c r="BSH12" s="118"/>
      <c r="BSI12" s="118"/>
      <c r="BSJ12" s="118"/>
      <c r="BSK12" s="118"/>
      <c r="BSL12" s="118"/>
      <c r="BSM12" s="118"/>
      <c r="BSN12" s="118"/>
      <c r="BSO12" s="118"/>
      <c r="BSP12" s="118"/>
      <c r="BSQ12" s="118"/>
      <c r="BSR12" s="118"/>
      <c r="BSS12" s="118"/>
      <c r="BST12" s="118"/>
      <c r="BSU12" s="118"/>
      <c r="BSV12" s="118"/>
      <c r="BSW12" s="118"/>
      <c r="BSX12" s="118"/>
      <c r="BSY12" s="118"/>
      <c r="BSZ12" s="118"/>
      <c r="BTA12" s="118"/>
      <c r="BTB12" s="118"/>
      <c r="BTC12" s="118"/>
      <c r="BTD12" s="118"/>
      <c r="BTE12" s="118"/>
      <c r="BTF12" s="118"/>
      <c r="BTG12" s="118"/>
      <c r="BTH12" s="118"/>
      <c r="BTI12" s="118"/>
      <c r="BTJ12" s="118"/>
      <c r="BTK12" s="118"/>
      <c r="BTL12" s="118"/>
      <c r="BTM12" s="118"/>
      <c r="BTN12" s="118"/>
      <c r="BTO12" s="118"/>
      <c r="BTP12" s="118"/>
      <c r="BTQ12" s="118"/>
      <c r="BTR12" s="118"/>
      <c r="BTS12" s="118"/>
      <c r="BTT12" s="118"/>
      <c r="BTU12" s="118"/>
      <c r="BTV12" s="118"/>
      <c r="BTW12" s="118"/>
      <c r="BTX12" s="118"/>
      <c r="BTY12" s="118"/>
      <c r="BTZ12" s="118"/>
      <c r="BUA12" s="118"/>
      <c r="BUB12" s="118"/>
      <c r="BUC12" s="118"/>
      <c r="BUD12" s="118"/>
      <c r="BUE12" s="118"/>
      <c r="BUF12" s="118"/>
      <c r="BUG12" s="118"/>
      <c r="BUH12" s="118"/>
      <c r="BUI12" s="118"/>
      <c r="BUJ12" s="118"/>
      <c r="BUK12" s="118"/>
      <c r="BUL12" s="118"/>
      <c r="BUM12" s="118"/>
      <c r="BUN12" s="118"/>
      <c r="BUO12" s="118"/>
      <c r="BUP12" s="118"/>
      <c r="BUQ12" s="118"/>
      <c r="BUR12" s="118"/>
      <c r="BUS12" s="118"/>
      <c r="BUT12" s="118"/>
      <c r="BUU12" s="118"/>
      <c r="BUV12" s="118"/>
      <c r="BUW12" s="118"/>
      <c r="BUX12" s="118"/>
      <c r="BUY12" s="118"/>
      <c r="BUZ12" s="118"/>
      <c r="BVA12" s="118"/>
      <c r="BVB12" s="118"/>
      <c r="BVC12" s="118"/>
      <c r="BVD12" s="118"/>
      <c r="BVE12" s="118"/>
      <c r="BVF12" s="118"/>
      <c r="BVG12" s="118"/>
      <c r="BVH12" s="118"/>
      <c r="BVI12" s="118"/>
      <c r="BVJ12" s="118"/>
      <c r="BVK12" s="118"/>
      <c r="BVL12" s="118"/>
      <c r="BVM12" s="118"/>
      <c r="BVN12" s="118"/>
      <c r="BVO12" s="118"/>
      <c r="BVP12" s="118"/>
      <c r="BVQ12" s="118"/>
      <c r="BVR12" s="118"/>
      <c r="BVS12" s="118"/>
      <c r="BVT12" s="118"/>
      <c r="BVU12" s="118"/>
      <c r="BVV12" s="118"/>
      <c r="BVW12" s="118"/>
      <c r="BVX12" s="118"/>
      <c r="BVY12" s="118"/>
      <c r="BVZ12" s="118"/>
      <c r="BWA12" s="118"/>
      <c r="BWB12" s="118"/>
      <c r="BWC12" s="118"/>
      <c r="BWD12" s="118"/>
      <c r="BWE12" s="118"/>
      <c r="BWF12" s="118"/>
      <c r="BWG12" s="118"/>
      <c r="BWH12" s="118"/>
      <c r="BWI12" s="118"/>
      <c r="BWJ12" s="118"/>
      <c r="BWK12" s="118"/>
      <c r="BWL12" s="118"/>
      <c r="BWM12" s="118"/>
      <c r="BWN12" s="118"/>
      <c r="BWO12" s="118"/>
      <c r="BWP12" s="118"/>
      <c r="BWQ12" s="118"/>
      <c r="BWR12" s="118"/>
      <c r="BWS12" s="118"/>
      <c r="BWT12" s="118"/>
      <c r="BWU12" s="118"/>
      <c r="BWV12" s="118"/>
      <c r="BWW12" s="118"/>
      <c r="BWX12" s="118"/>
      <c r="BWY12" s="118"/>
      <c r="BWZ12" s="118"/>
      <c r="BXA12" s="118"/>
      <c r="BXB12" s="118"/>
      <c r="BXC12" s="118"/>
      <c r="BXD12" s="118"/>
      <c r="BXE12" s="118"/>
      <c r="BXF12" s="118"/>
      <c r="BXG12" s="118"/>
      <c r="BXH12" s="118"/>
      <c r="BXI12" s="118"/>
      <c r="BXJ12" s="118"/>
      <c r="BXK12" s="118"/>
      <c r="BXL12" s="118"/>
      <c r="BXM12" s="118"/>
      <c r="BXN12" s="118"/>
      <c r="BXO12" s="118"/>
      <c r="BXP12" s="118"/>
      <c r="BXQ12" s="118"/>
      <c r="BXR12" s="118"/>
      <c r="BXS12" s="118"/>
      <c r="BXT12" s="118"/>
      <c r="BXU12" s="118"/>
      <c r="BXV12" s="118"/>
      <c r="BXW12" s="118"/>
      <c r="BXX12" s="118"/>
      <c r="BXY12" s="118"/>
      <c r="BXZ12" s="118"/>
      <c r="BYA12" s="118"/>
      <c r="BYB12" s="118"/>
      <c r="BYC12" s="118"/>
      <c r="BYD12" s="118"/>
      <c r="BYE12" s="118"/>
      <c r="BYF12" s="118"/>
      <c r="BYG12" s="118"/>
      <c r="BYH12" s="118"/>
      <c r="BYI12" s="118"/>
      <c r="BYJ12" s="118"/>
      <c r="BYK12" s="118"/>
      <c r="BYL12" s="118"/>
      <c r="BYM12" s="118"/>
      <c r="BYN12" s="118"/>
      <c r="BYO12" s="118"/>
      <c r="BYP12" s="118"/>
      <c r="BYQ12" s="118"/>
      <c r="BYR12" s="118"/>
      <c r="BYS12" s="118"/>
      <c r="BYT12" s="118"/>
      <c r="BYU12" s="118"/>
      <c r="BYV12" s="118"/>
      <c r="BYW12" s="118"/>
      <c r="BYX12" s="118"/>
      <c r="BYY12" s="118"/>
      <c r="BYZ12" s="118"/>
      <c r="BZA12" s="118"/>
      <c r="BZB12" s="118"/>
      <c r="BZC12" s="118"/>
      <c r="BZD12" s="118"/>
      <c r="BZE12" s="118"/>
      <c r="BZF12" s="118"/>
      <c r="BZG12" s="118"/>
      <c r="BZH12" s="118"/>
      <c r="BZI12" s="118"/>
      <c r="BZJ12" s="118"/>
      <c r="BZK12" s="118"/>
      <c r="BZL12" s="118"/>
      <c r="BZM12" s="118"/>
      <c r="BZN12" s="118"/>
      <c r="BZO12" s="118"/>
      <c r="BZP12" s="118"/>
      <c r="BZQ12" s="118"/>
      <c r="BZR12" s="118"/>
      <c r="BZS12" s="118"/>
      <c r="BZT12" s="118"/>
      <c r="BZU12" s="118"/>
      <c r="BZV12" s="118"/>
      <c r="BZW12" s="118"/>
      <c r="BZX12" s="118"/>
      <c r="BZY12" s="118"/>
      <c r="BZZ12" s="118"/>
      <c r="CAA12" s="118"/>
      <c r="CAB12" s="118"/>
      <c r="CAC12" s="118"/>
      <c r="CAD12" s="118"/>
      <c r="CAE12" s="118"/>
      <c r="CAF12" s="118"/>
      <c r="CAG12" s="118"/>
      <c r="CAH12" s="118"/>
      <c r="CAI12" s="118"/>
      <c r="CAJ12" s="118"/>
      <c r="CAK12" s="118"/>
      <c r="CAL12" s="118"/>
      <c r="CAM12" s="118"/>
      <c r="CAN12" s="118"/>
      <c r="CAO12" s="118"/>
      <c r="CAP12" s="118"/>
      <c r="CAQ12" s="118"/>
      <c r="CAR12" s="118"/>
      <c r="CAS12" s="118"/>
      <c r="CAT12" s="118"/>
      <c r="CAU12" s="118"/>
      <c r="CAV12" s="118"/>
      <c r="CAW12" s="118"/>
      <c r="CAX12" s="118"/>
      <c r="CAY12" s="118"/>
      <c r="CAZ12" s="118"/>
      <c r="CBA12" s="118"/>
      <c r="CBB12" s="118"/>
      <c r="CBC12" s="118"/>
      <c r="CBD12" s="118"/>
      <c r="CBE12" s="118"/>
      <c r="CBF12" s="118"/>
      <c r="CBG12" s="118"/>
      <c r="CBH12" s="118"/>
      <c r="CBI12" s="118"/>
      <c r="CBJ12" s="118"/>
      <c r="CBK12" s="118"/>
      <c r="CBL12" s="118"/>
      <c r="CBM12" s="118"/>
      <c r="CBN12" s="118"/>
      <c r="CBO12" s="118"/>
      <c r="CBP12" s="118"/>
      <c r="CBQ12" s="118"/>
      <c r="CBR12" s="118"/>
      <c r="CBS12" s="118"/>
      <c r="CBT12" s="118"/>
      <c r="CBU12" s="118"/>
      <c r="CBV12" s="118"/>
      <c r="CBW12" s="118"/>
      <c r="CBX12" s="118"/>
      <c r="CBY12" s="118"/>
      <c r="CBZ12" s="118"/>
      <c r="CCA12" s="118"/>
      <c r="CCB12" s="118"/>
      <c r="CCC12" s="118"/>
      <c r="CCD12" s="118"/>
      <c r="CCE12" s="118"/>
      <c r="CCF12" s="118"/>
      <c r="CCG12" s="118"/>
      <c r="CCH12" s="118"/>
      <c r="CCI12" s="118"/>
      <c r="CCJ12" s="118"/>
      <c r="CCK12" s="118"/>
      <c r="CCL12" s="118"/>
      <c r="CCM12" s="118"/>
      <c r="CCN12" s="118"/>
      <c r="CCO12" s="118"/>
      <c r="CCP12" s="118"/>
      <c r="CCQ12" s="118"/>
      <c r="CCR12" s="118"/>
      <c r="CCS12" s="118"/>
      <c r="CCT12" s="118"/>
      <c r="CCU12" s="118"/>
      <c r="CCV12" s="118"/>
      <c r="CCW12" s="118"/>
      <c r="CCX12" s="118"/>
      <c r="CCY12" s="118"/>
      <c r="CCZ12" s="118"/>
      <c r="CDA12" s="118"/>
      <c r="CDB12" s="118"/>
      <c r="CDC12" s="118"/>
      <c r="CDD12" s="118"/>
      <c r="CDE12" s="118"/>
      <c r="CDF12" s="118"/>
      <c r="CDG12" s="118"/>
      <c r="CDH12" s="118"/>
      <c r="CDI12" s="118"/>
      <c r="CDJ12" s="118"/>
      <c r="CDK12" s="118"/>
      <c r="CDL12" s="118"/>
      <c r="CDM12" s="118"/>
      <c r="CDN12" s="118"/>
      <c r="CDO12" s="118"/>
      <c r="CDP12" s="118"/>
      <c r="CDQ12" s="118"/>
      <c r="CDR12" s="118"/>
      <c r="CDS12" s="118"/>
      <c r="CDT12" s="118"/>
      <c r="CDU12" s="118"/>
      <c r="CDV12" s="118"/>
      <c r="CDW12" s="118"/>
      <c r="CDX12" s="118"/>
      <c r="CDY12" s="118"/>
      <c r="CDZ12" s="118"/>
      <c r="CEA12" s="118"/>
      <c r="CEB12" s="118"/>
      <c r="CEC12" s="118"/>
      <c r="CED12" s="118"/>
      <c r="CEE12" s="118"/>
      <c r="CEF12" s="118"/>
      <c r="CEG12" s="118"/>
      <c r="CEH12" s="118"/>
      <c r="CEI12" s="118"/>
      <c r="CEJ12" s="118"/>
      <c r="CEK12" s="118"/>
      <c r="CEL12" s="118"/>
      <c r="CEM12" s="118"/>
      <c r="CEN12" s="118"/>
      <c r="CEO12" s="118"/>
      <c r="CEP12" s="118"/>
      <c r="CEQ12" s="118"/>
      <c r="CER12" s="118"/>
      <c r="CES12" s="118"/>
      <c r="CET12" s="118"/>
      <c r="CEU12" s="118"/>
      <c r="CEV12" s="118"/>
      <c r="CEW12" s="118"/>
      <c r="CEX12" s="118"/>
      <c r="CEY12" s="118"/>
      <c r="CEZ12" s="118"/>
      <c r="CFA12" s="118"/>
      <c r="CFB12" s="118"/>
      <c r="CFC12" s="118"/>
      <c r="CFD12" s="118"/>
      <c r="CFE12" s="118"/>
      <c r="CFF12" s="118"/>
      <c r="CFG12" s="118"/>
      <c r="CFH12" s="118"/>
      <c r="CFI12" s="118"/>
      <c r="CFJ12" s="118"/>
      <c r="CFK12" s="118"/>
      <c r="CFL12" s="118"/>
      <c r="CFM12" s="118"/>
      <c r="CFN12" s="118"/>
      <c r="CFO12" s="118"/>
      <c r="CFP12" s="118"/>
      <c r="CFQ12" s="118"/>
      <c r="CFR12" s="118"/>
      <c r="CFS12" s="118"/>
      <c r="CFT12" s="118"/>
      <c r="CFU12" s="118"/>
      <c r="CFV12" s="118"/>
      <c r="CFW12" s="118"/>
      <c r="CFX12" s="118"/>
      <c r="CFY12" s="118"/>
      <c r="CFZ12" s="118"/>
      <c r="CGA12" s="118"/>
      <c r="CGB12" s="118"/>
      <c r="CGC12" s="118"/>
      <c r="CGD12" s="118"/>
      <c r="CGE12" s="118"/>
      <c r="CGF12" s="118"/>
      <c r="CGG12" s="118"/>
      <c r="CGH12" s="118"/>
      <c r="CGI12" s="118"/>
      <c r="CGJ12" s="118"/>
      <c r="CGK12" s="118"/>
      <c r="CGL12" s="118"/>
      <c r="CGM12" s="118"/>
      <c r="CGN12" s="118"/>
      <c r="CGO12" s="118"/>
      <c r="CGP12" s="118"/>
      <c r="CGQ12" s="118"/>
      <c r="CGR12" s="118"/>
      <c r="CGS12" s="118"/>
      <c r="CGT12" s="118"/>
      <c r="CGU12" s="118"/>
      <c r="CGV12" s="118"/>
      <c r="CGW12" s="118"/>
      <c r="CGX12" s="118"/>
      <c r="CGY12" s="118"/>
      <c r="CGZ12" s="118"/>
      <c r="CHA12" s="118"/>
      <c r="CHB12" s="118"/>
      <c r="CHC12" s="118"/>
      <c r="CHD12" s="118"/>
      <c r="CHE12" s="118"/>
      <c r="CHF12" s="118"/>
      <c r="CHG12" s="118"/>
      <c r="CHH12" s="118"/>
      <c r="CHI12" s="118"/>
      <c r="CHJ12" s="118"/>
      <c r="CHK12" s="118"/>
      <c r="CHL12" s="118"/>
      <c r="CHM12" s="118"/>
      <c r="CHN12" s="118"/>
      <c r="CHO12" s="118"/>
      <c r="CHP12" s="118"/>
      <c r="CHQ12" s="118"/>
      <c r="CHR12" s="118"/>
      <c r="CHS12" s="118"/>
      <c r="CHT12" s="118"/>
      <c r="CHU12" s="118"/>
      <c r="CHV12" s="118"/>
      <c r="CHW12" s="118"/>
      <c r="CHX12" s="118"/>
      <c r="CHY12" s="118"/>
      <c r="CHZ12" s="118"/>
      <c r="CIA12" s="118"/>
      <c r="CIB12" s="118"/>
      <c r="CIC12" s="118"/>
      <c r="CID12" s="118"/>
      <c r="CIE12" s="118"/>
      <c r="CIF12" s="118"/>
      <c r="CIG12" s="118"/>
      <c r="CIH12" s="118"/>
      <c r="CII12" s="118"/>
      <c r="CIJ12" s="118"/>
      <c r="CIK12" s="118"/>
      <c r="CIL12" s="118"/>
      <c r="CIM12" s="118"/>
      <c r="CIN12" s="118"/>
      <c r="CIO12" s="118"/>
      <c r="CIP12" s="118"/>
      <c r="CIQ12" s="118"/>
      <c r="CIR12" s="118"/>
      <c r="CIS12" s="118"/>
      <c r="CIT12" s="118"/>
      <c r="CIU12" s="118"/>
      <c r="CIV12" s="118"/>
      <c r="CIW12" s="118"/>
      <c r="CIX12" s="118"/>
      <c r="CIY12" s="118"/>
      <c r="CIZ12" s="118"/>
      <c r="CJA12" s="118"/>
      <c r="CJB12" s="118"/>
      <c r="CJC12" s="118"/>
      <c r="CJD12" s="118"/>
      <c r="CJE12" s="118"/>
      <c r="CJF12" s="118"/>
      <c r="CJG12" s="118"/>
      <c r="CJH12" s="118"/>
      <c r="CJI12" s="118"/>
      <c r="CJJ12" s="118"/>
      <c r="CJK12" s="118"/>
      <c r="CJL12" s="118"/>
      <c r="CJM12" s="118"/>
      <c r="CJN12" s="118"/>
      <c r="CJO12" s="118"/>
      <c r="CJP12" s="118"/>
      <c r="CJQ12" s="118"/>
      <c r="CJR12" s="118"/>
      <c r="CJS12" s="118"/>
      <c r="CJT12" s="118"/>
      <c r="CJU12" s="118"/>
      <c r="CJV12" s="118"/>
      <c r="CJW12" s="118"/>
      <c r="CJX12" s="118"/>
      <c r="CJY12" s="118"/>
      <c r="CJZ12" s="118"/>
      <c r="CKA12" s="118"/>
      <c r="CKB12" s="118"/>
      <c r="CKC12" s="118"/>
      <c r="CKD12" s="118"/>
      <c r="CKE12" s="118"/>
      <c r="CKF12" s="118"/>
      <c r="CKG12" s="118"/>
      <c r="CKH12" s="118"/>
      <c r="CKI12" s="118"/>
      <c r="CKJ12" s="118"/>
      <c r="CKK12" s="118"/>
      <c r="CKL12" s="118"/>
      <c r="CKM12" s="118"/>
      <c r="CKN12" s="118"/>
      <c r="CKO12" s="118"/>
      <c r="CKP12" s="118"/>
      <c r="CKQ12" s="118"/>
      <c r="CKR12" s="118"/>
      <c r="CKS12" s="118"/>
      <c r="CKT12" s="118"/>
      <c r="CKU12" s="118"/>
      <c r="CKV12" s="118"/>
      <c r="CKW12" s="118"/>
      <c r="CKX12" s="118"/>
      <c r="CKY12" s="118"/>
      <c r="CKZ12" s="118"/>
      <c r="CLA12" s="118"/>
      <c r="CLB12" s="118"/>
      <c r="CLC12" s="118"/>
      <c r="CLD12" s="118"/>
      <c r="CLE12" s="118"/>
      <c r="CLF12" s="118"/>
      <c r="CLG12" s="118"/>
      <c r="CLH12" s="118"/>
      <c r="CLI12" s="118"/>
      <c r="CLJ12" s="118"/>
      <c r="CLK12" s="118"/>
      <c r="CLL12" s="118"/>
      <c r="CLM12" s="118"/>
      <c r="CLN12" s="118"/>
      <c r="CLO12" s="118"/>
      <c r="CLP12" s="118"/>
      <c r="CLQ12" s="118"/>
      <c r="CLR12" s="118"/>
      <c r="CLS12" s="118"/>
      <c r="CLT12" s="118"/>
      <c r="CLU12" s="118"/>
      <c r="CLV12" s="118"/>
      <c r="CLW12" s="118"/>
      <c r="CLX12" s="118"/>
      <c r="CLY12" s="118"/>
      <c r="CLZ12" s="118"/>
      <c r="CMA12" s="118"/>
      <c r="CMB12" s="118"/>
      <c r="CMC12" s="118"/>
      <c r="CMD12" s="118"/>
      <c r="CME12" s="118"/>
      <c r="CMF12" s="118"/>
      <c r="CMG12" s="118"/>
      <c r="CMH12" s="118"/>
      <c r="CMI12" s="118"/>
      <c r="CMJ12" s="118"/>
      <c r="CMK12" s="118"/>
      <c r="CML12" s="118"/>
      <c r="CMM12" s="118"/>
      <c r="CMN12" s="118"/>
      <c r="CMO12" s="118"/>
      <c r="CMP12" s="118"/>
      <c r="CMQ12" s="118"/>
      <c r="CMR12" s="118"/>
      <c r="CMS12" s="118"/>
      <c r="CMT12" s="118"/>
      <c r="CMU12" s="118"/>
      <c r="CMV12" s="118"/>
      <c r="CMW12" s="118"/>
      <c r="CMX12" s="118"/>
      <c r="CMY12" s="118"/>
      <c r="CMZ12" s="118"/>
      <c r="CNA12" s="118"/>
      <c r="CNB12" s="118"/>
      <c r="CNC12" s="118"/>
      <c r="CND12" s="118"/>
      <c r="CNE12" s="118"/>
      <c r="CNF12" s="118"/>
      <c r="CNG12" s="118"/>
      <c r="CNH12" s="118"/>
      <c r="CNI12" s="118"/>
      <c r="CNJ12" s="118"/>
      <c r="CNK12" s="118"/>
      <c r="CNL12" s="118"/>
      <c r="CNM12" s="118"/>
      <c r="CNN12" s="118"/>
      <c r="CNO12" s="118"/>
      <c r="CNP12" s="118"/>
      <c r="CNQ12" s="118"/>
      <c r="CNR12" s="118"/>
      <c r="CNS12" s="118"/>
      <c r="CNT12" s="118"/>
      <c r="CNU12" s="118"/>
      <c r="CNV12" s="118"/>
      <c r="CNW12" s="118"/>
      <c r="CNX12" s="118"/>
      <c r="CNY12" s="118"/>
      <c r="CNZ12" s="118"/>
      <c r="COA12" s="118"/>
      <c r="COB12" s="118"/>
      <c r="COC12" s="118"/>
      <c r="COD12" s="118"/>
      <c r="COE12" s="118"/>
      <c r="COF12" s="118"/>
      <c r="COG12" s="118"/>
      <c r="COH12" s="118"/>
      <c r="COI12" s="118"/>
      <c r="COJ12" s="118"/>
      <c r="COK12" s="118"/>
      <c r="COL12" s="118"/>
      <c r="COM12" s="118"/>
      <c r="CON12" s="118"/>
      <c r="COO12" s="118"/>
      <c r="COP12" s="118"/>
      <c r="COQ12" s="118"/>
      <c r="COR12" s="118"/>
      <c r="COS12" s="118"/>
      <c r="COT12" s="118"/>
      <c r="COU12" s="118"/>
      <c r="COV12" s="118"/>
      <c r="COW12" s="118"/>
      <c r="COX12" s="118"/>
      <c r="COY12" s="118"/>
      <c r="COZ12" s="118"/>
      <c r="CPA12" s="118"/>
      <c r="CPB12" s="118"/>
      <c r="CPC12" s="118"/>
      <c r="CPD12" s="118"/>
      <c r="CPE12" s="118"/>
      <c r="CPF12" s="118"/>
      <c r="CPG12" s="118"/>
      <c r="CPH12" s="118"/>
      <c r="CPI12" s="118"/>
      <c r="CPJ12" s="118"/>
      <c r="CPK12" s="118"/>
      <c r="CPL12" s="118"/>
      <c r="CPM12" s="118"/>
      <c r="CPN12" s="118"/>
      <c r="CPO12" s="118"/>
      <c r="CPP12" s="118"/>
      <c r="CPQ12" s="118"/>
      <c r="CPR12" s="118"/>
      <c r="CPS12" s="118"/>
      <c r="CPT12" s="118"/>
      <c r="CPU12" s="118"/>
      <c r="CPV12" s="118"/>
      <c r="CPW12" s="118"/>
      <c r="CPX12" s="118"/>
      <c r="CPY12" s="118"/>
      <c r="CPZ12" s="118"/>
      <c r="CQA12" s="118"/>
      <c r="CQB12" s="118"/>
      <c r="CQC12" s="118"/>
      <c r="CQD12" s="118"/>
      <c r="CQE12" s="118"/>
      <c r="CQF12" s="118"/>
      <c r="CQG12" s="118"/>
      <c r="CQH12" s="118"/>
      <c r="CQI12" s="118"/>
      <c r="CQJ12" s="118"/>
      <c r="CQK12" s="118"/>
      <c r="CQL12" s="118"/>
      <c r="CQM12" s="118"/>
      <c r="CQN12" s="118"/>
      <c r="CQO12" s="118"/>
      <c r="CQP12" s="118"/>
      <c r="CQQ12" s="118"/>
      <c r="CQR12" s="118"/>
      <c r="CQS12" s="118"/>
      <c r="CQT12" s="118"/>
      <c r="CQU12" s="118"/>
      <c r="CQV12" s="118"/>
      <c r="CQW12" s="118"/>
      <c r="CQX12" s="118"/>
      <c r="CQY12" s="118"/>
      <c r="CQZ12" s="118"/>
      <c r="CRA12" s="118"/>
      <c r="CRB12" s="118"/>
      <c r="CRC12" s="118"/>
      <c r="CRD12" s="118"/>
      <c r="CRE12" s="118"/>
      <c r="CRF12" s="118"/>
      <c r="CRG12" s="118"/>
      <c r="CRH12" s="118"/>
      <c r="CRI12" s="118"/>
      <c r="CRJ12" s="118"/>
      <c r="CRK12" s="118"/>
      <c r="CRL12" s="118"/>
      <c r="CRM12" s="118"/>
      <c r="CRN12" s="118"/>
      <c r="CRO12" s="118"/>
      <c r="CRP12" s="118"/>
      <c r="CRQ12" s="118"/>
      <c r="CRR12" s="118"/>
      <c r="CRS12" s="118"/>
      <c r="CRT12" s="118"/>
      <c r="CRU12" s="118"/>
      <c r="CRV12" s="118"/>
      <c r="CRW12" s="118"/>
      <c r="CRX12" s="118"/>
      <c r="CRY12" s="118"/>
      <c r="CRZ12" s="118"/>
      <c r="CSA12" s="118"/>
      <c r="CSB12" s="118"/>
      <c r="CSC12" s="118"/>
      <c r="CSD12" s="118"/>
      <c r="CSE12" s="118"/>
      <c r="CSF12" s="118"/>
      <c r="CSG12" s="118"/>
      <c r="CSH12" s="118"/>
      <c r="CSI12" s="118"/>
      <c r="CSJ12" s="118"/>
      <c r="CSK12" s="118"/>
      <c r="CSL12" s="118"/>
      <c r="CSM12" s="118"/>
      <c r="CSN12" s="118"/>
      <c r="CSO12" s="118"/>
      <c r="CSP12" s="118"/>
      <c r="CSQ12" s="118"/>
      <c r="CSR12" s="118"/>
      <c r="CSS12" s="118"/>
      <c r="CST12" s="118"/>
      <c r="CSU12" s="118"/>
      <c r="CSV12" s="118"/>
      <c r="CSW12" s="118"/>
      <c r="CSX12" s="118"/>
      <c r="CSY12" s="118"/>
      <c r="CSZ12" s="118"/>
      <c r="CTA12" s="118"/>
      <c r="CTB12" s="118"/>
      <c r="CTC12" s="118"/>
      <c r="CTD12" s="118"/>
      <c r="CTE12" s="118"/>
      <c r="CTF12" s="118"/>
      <c r="CTG12" s="118"/>
      <c r="CTH12" s="118"/>
      <c r="CTI12" s="118"/>
      <c r="CTJ12" s="118"/>
      <c r="CTK12" s="118"/>
      <c r="CTL12" s="118"/>
      <c r="CTM12" s="118"/>
      <c r="CTN12" s="118"/>
      <c r="CTO12" s="118"/>
      <c r="CTP12" s="118"/>
      <c r="CTQ12" s="118"/>
      <c r="CTR12" s="118"/>
      <c r="CTS12" s="118"/>
      <c r="CTT12" s="118"/>
      <c r="CTU12" s="118"/>
      <c r="CTV12" s="118"/>
      <c r="CTW12" s="118"/>
      <c r="CTX12" s="118"/>
      <c r="CTY12" s="118"/>
      <c r="CTZ12" s="118"/>
      <c r="CUA12" s="118"/>
      <c r="CUB12" s="118"/>
      <c r="CUC12" s="118"/>
      <c r="CUD12" s="118"/>
      <c r="CUE12" s="118"/>
      <c r="CUF12" s="118"/>
      <c r="CUG12" s="118"/>
      <c r="CUH12" s="118"/>
      <c r="CUI12" s="118"/>
      <c r="CUJ12" s="118"/>
      <c r="CUK12" s="118"/>
      <c r="CUL12" s="118"/>
      <c r="CUM12" s="118"/>
      <c r="CUN12" s="118"/>
      <c r="CUO12" s="118"/>
      <c r="CUP12" s="118"/>
      <c r="CUQ12" s="118"/>
      <c r="CUR12" s="118"/>
      <c r="CUS12" s="118"/>
      <c r="CUT12" s="118"/>
      <c r="CUU12" s="118"/>
      <c r="CUV12" s="118"/>
      <c r="CUW12" s="118"/>
      <c r="CUX12" s="118"/>
      <c r="CUY12" s="118"/>
      <c r="CUZ12" s="118"/>
      <c r="CVA12" s="118"/>
      <c r="CVB12" s="118"/>
      <c r="CVC12" s="118"/>
      <c r="CVD12" s="118"/>
      <c r="CVE12" s="118"/>
      <c r="CVF12" s="118"/>
      <c r="CVG12" s="118"/>
      <c r="CVH12" s="118"/>
      <c r="CVI12" s="118"/>
      <c r="CVJ12" s="118"/>
      <c r="CVK12" s="118"/>
      <c r="CVL12" s="118"/>
      <c r="CVM12" s="118"/>
      <c r="CVN12" s="118"/>
      <c r="CVO12" s="118"/>
      <c r="CVP12" s="118"/>
      <c r="CVQ12" s="118"/>
      <c r="CVR12" s="118"/>
      <c r="CVS12" s="118"/>
      <c r="CVT12" s="118"/>
      <c r="CVU12" s="118"/>
      <c r="CVV12" s="118"/>
      <c r="CVW12" s="118"/>
      <c r="CVX12" s="118"/>
      <c r="CVY12" s="118"/>
      <c r="CVZ12" s="118"/>
      <c r="CWA12" s="118"/>
      <c r="CWB12" s="118"/>
      <c r="CWC12" s="118"/>
      <c r="CWD12" s="118"/>
      <c r="CWE12" s="118"/>
      <c r="CWF12" s="118"/>
      <c r="CWG12" s="118"/>
      <c r="CWH12" s="118"/>
      <c r="CWI12" s="118"/>
      <c r="CWJ12" s="118"/>
      <c r="CWK12" s="118"/>
      <c r="CWL12" s="118"/>
      <c r="CWM12" s="118"/>
      <c r="CWN12" s="118"/>
      <c r="CWO12" s="118"/>
      <c r="CWP12" s="118"/>
      <c r="CWQ12" s="118"/>
      <c r="CWR12" s="118"/>
      <c r="CWS12" s="118"/>
      <c r="CWT12" s="118"/>
      <c r="CWU12" s="118"/>
      <c r="CWV12" s="118"/>
      <c r="CWW12" s="118"/>
      <c r="CWX12" s="118"/>
      <c r="CWY12" s="118"/>
      <c r="CWZ12" s="118"/>
      <c r="CXA12" s="118"/>
      <c r="CXB12" s="118"/>
      <c r="CXC12" s="118"/>
      <c r="CXD12" s="118"/>
      <c r="CXE12" s="118"/>
      <c r="CXF12" s="118"/>
      <c r="CXG12" s="118"/>
      <c r="CXH12" s="118"/>
      <c r="CXI12" s="118"/>
      <c r="CXJ12" s="118"/>
      <c r="CXK12" s="118"/>
      <c r="CXL12" s="118"/>
      <c r="CXM12" s="118"/>
      <c r="CXN12" s="118"/>
      <c r="CXO12" s="118"/>
      <c r="CXP12" s="118"/>
      <c r="CXQ12" s="118"/>
      <c r="CXR12" s="118"/>
      <c r="CXS12" s="118"/>
      <c r="CXT12" s="118"/>
      <c r="CXU12" s="118"/>
      <c r="CXV12" s="118"/>
      <c r="CXW12" s="118"/>
      <c r="CXX12" s="118"/>
      <c r="CXY12" s="118"/>
      <c r="CXZ12" s="118"/>
      <c r="CYA12" s="118"/>
      <c r="CYB12" s="118"/>
      <c r="CYC12" s="118"/>
      <c r="CYD12" s="118"/>
      <c r="CYE12" s="118"/>
      <c r="CYF12" s="118"/>
      <c r="CYG12" s="118"/>
      <c r="CYH12" s="118"/>
      <c r="CYI12" s="118"/>
      <c r="CYJ12" s="118"/>
      <c r="CYK12" s="118"/>
      <c r="CYL12" s="118"/>
      <c r="CYM12" s="118"/>
      <c r="CYN12" s="118"/>
      <c r="CYO12" s="118"/>
      <c r="CYP12" s="118"/>
      <c r="CYQ12" s="118"/>
      <c r="CYR12" s="118"/>
      <c r="CYS12" s="118"/>
      <c r="CYT12" s="118"/>
      <c r="CYU12" s="118"/>
      <c r="CYV12" s="118"/>
      <c r="CYW12" s="118"/>
      <c r="CYX12" s="118"/>
      <c r="CYY12" s="118"/>
      <c r="CYZ12" s="118"/>
      <c r="CZA12" s="118"/>
      <c r="CZB12" s="118"/>
      <c r="CZC12" s="118"/>
      <c r="CZD12" s="118"/>
      <c r="CZE12" s="118"/>
      <c r="CZF12" s="118"/>
      <c r="CZG12" s="118"/>
      <c r="CZH12" s="118"/>
      <c r="CZI12" s="118"/>
      <c r="CZJ12" s="118"/>
      <c r="CZK12" s="118"/>
      <c r="CZL12" s="118"/>
      <c r="CZM12" s="118"/>
      <c r="CZN12" s="118"/>
      <c r="CZO12" s="118"/>
      <c r="CZP12" s="118"/>
      <c r="CZQ12" s="118"/>
      <c r="CZR12" s="118"/>
      <c r="CZS12" s="118"/>
      <c r="CZT12" s="118"/>
      <c r="CZU12" s="118"/>
      <c r="CZV12" s="118"/>
      <c r="CZW12" s="118"/>
      <c r="CZX12" s="118"/>
      <c r="CZY12" s="118"/>
      <c r="CZZ12" s="118"/>
      <c r="DAA12" s="118"/>
      <c r="DAB12" s="118"/>
      <c r="DAC12" s="118"/>
      <c r="DAD12" s="118"/>
      <c r="DAE12" s="118"/>
      <c r="DAF12" s="118"/>
      <c r="DAG12" s="118"/>
      <c r="DAH12" s="118"/>
      <c r="DAI12" s="118"/>
      <c r="DAJ12" s="118"/>
      <c r="DAK12" s="118"/>
      <c r="DAL12" s="118"/>
      <c r="DAM12" s="118"/>
      <c r="DAN12" s="118"/>
      <c r="DAO12" s="118"/>
      <c r="DAP12" s="118"/>
      <c r="DAQ12" s="118"/>
      <c r="DAR12" s="118"/>
      <c r="DAS12" s="118"/>
      <c r="DAT12" s="118"/>
      <c r="DAU12" s="118"/>
      <c r="DAV12" s="118"/>
      <c r="DAW12" s="118"/>
      <c r="DAX12" s="118"/>
      <c r="DAY12" s="118"/>
      <c r="DAZ12" s="118"/>
      <c r="DBA12" s="118"/>
      <c r="DBB12" s="118"/>
      <c r="DBC12" s="118"/>
      <c r="DBD12" s="118"/>
      <c r="DBE12" s="118"/>
      <c r="DBF12" s="118"/>
      <c r="DBG12" s="118"/>
      <c r="DBH12" s="118"/>
      <c r="DBI12" s="118"/>
      <c r="DBJ12" s="118"/>
      <c r="DBK12" s="118"/>
      <c r="DBL12" s="118"/>
      <c r="DBM12" s="118"/>
      <c r="DBN12" s="118"/>
      <c r="DBO12" s="118"/>
      <c r="DBP12" s="118"/>
      <c r="DBQ12" s="118"/>
      <c r="DBR12" s="118"/>
      <c r="DBS12" s="118"/>
      <c r="DBT12" s="118"/>
      <c r="DBU12" s="118"/>
      <c r="DBV12" s="118"/>
      <c r="DBW12" s="118"/>
      <c r="DBX12" s="118"/>
      <c r="DBY12" s="118"/>
      <c r="DBZ12" s="118"/>
      <c r="DCA12" s="118"/>
      <c r="DCB12" s="118"/>
      <c r="DCC12" s="118"/>
      <c r="DCD12" s="118"/>
      <c r="DCE12" s="118"/>
      <c r="DCF12" s="118"/>
      <c r="DCG12" s="118"/>
      <c r="DCH12" s="118"/>
      <c r="DCI12" s="118"/>
      <c r="DCJ12" s="118"/>
      <c r="DCK12" s="118"/>
      <c r="DCL12" s="118"/>
      <c r="DCM12" s="118"/>
      <c r="DCN12" s="118"/>
      <c r="DCO12" s="118"/>
      <c r="DCP12" s="118"/>
      <c r="DCQ12" s="118"/>
      <c r="DCR12" s="118"/>
      <c r="DCS12" s="118"/>
      <c r="DCT12" s="118"/>
      <c r="DCU12" s="118"/>
      <c r="DCV12" s="118"/>
      <c r="DCW12" s="118"/>
      <c r="DCX12" s="118"/>
      <c r="DCY12" s="118"/>
      <c r="DCZ12" s="118"/>
      <c r="DDA12" s="118"/>
      <c r="DDB12" s="118"/>
      <c r="DDC12" s="118"/>
      <c r="DDD12" s="118"/>
      <c r="DDE12" s="118"/>
      <c r="DDF12" s="118"/>
      <c r="DDG12" s="118"/>
      <c r="DDH12" s="118"/>
      <c r="DDI12" s="118"/>
      <c r="DDJ12" s="118"/>
      <c r="DDK12" s="118"/>
      <c r="DDL12" s="118"/>
      <c r="DDM12" s="118"/>
      <c r="DDN12" s="118"/>
      <c r="DDO12" s="118"/>
      <c r="DDP12" s="118"/>
      <c r="DDQ12" s="118"/>
      <c r="DDR12" s="118"/>
      <c r="DDS12" s="118"/>
      <c r="DDT12" s="118"/>
      <c r="DDU12" s="118"/>
      <c r="DDV12" s="118"/>
      <c r="DDW12" s="118"/>
      <c r="DDX12" s="118"/>
      <c r="DDY12" s="118"/>
      <c r="DDZ12" s="118"/>
      <c r="DEA12" s="118"/>
      <c r="DEB12" s="118"/>
      <c r="DEC12" s="118"/>
      <c r="DED12" s="118"/>
      <c r="DEE12" s="118"/>
      <c r="DEF12" s="118"/>
      <c r="DEG12" s="118"/>
      <c r="DEH12" s="118"/>
      <c r="DEI12" s="118"/>
      <c r="DEJ12" s="118"/>
      <c r="DEK12" s="118"/>
      <c r="DEL12" s="118"/>
      <c r="DEM12" s="118"/>
      <c r="DEN12" s="118"/>
      <c r="DEO12" s="118"/>
      <c r="DEP12" s="118"/>
      <c r="DEQ12" s="118"/>
      <c r="DER12" s="118"/>
      <c r="DES12" s="118"/>
      <c r="DET12" s="118"/>
      <c r="DEU12" s="118"/>
      <c r="DEV12" s="118"/>
      <c r="DEW12" s="118"/>
      <c r="DEX12" s="118"/>
      <c r="DEY12" s="118"/>
      <c r="DEZ12" s="118"/>
      <c r="DFA12" s="118"/>
      <c r="DFB12" s="118"/>
      <c r="DFC12" s="118"/>
      <c r="DFD12" s="118"/>
      <c r="DFE12" s="118"/>
      <c r="DFF12" s="118"/>
      <c r="DFG12" s="118"/>
      <c r="DFH12" s="118"/>
      <c r="DFI12" s="118"/>
      <c r="DFJ12" s="118"/>
      <c r="DFK12" s="118"/>
      <c r="DFL12" s="118"/>
      <c r="DFM12" s="118"/>
      <c r="DFN12" s="118"/>
      <c r="DFO12" s="118"/>
      <c r="DFP12" s="118"/>
      <c r="DFQ12" s="118"/>
      <c r="DFR12" s="118"/>
      <c r="DFS12" s="118"/>
      <c r="DFT12" s="118"/>
      <c r="DFU12" s="118"/>
      <c r="DFV12" s="118"/>
      <c r="DFW12" s="118"/>
      <c r="DFX12" s="118"/>
      <c r="DFY12" s="118"/>
      <c r="DFZ12" s="118"/>
      <c r="DGA12" s="118"/>
      <c r="DGB12" s="118"/>
      <c r="DGC12" s="118"/>
      <c r="DGD12" s="118"/>
      <c r="DGE12" s="118"/>
      <c r="DGF12" s="118"/>
      <c r="DGG12" s="118"/>
      <c r="DGH12" s="118"/>
      <c r="DGI12" s="118"/>
      <c r="DGJ12" s="118"/>
      <c r="DGK12" s="118"/>
      <c r="DGL12" s="118"/>
      <c r="DGM12" s="118"/>
      <c r="DGN12" s="118"/>
      <c r="DGO12" s="118"/>
      <c r="DGP12" s="118"/>
      <c r="DGQ12" s="118"/>
      <c r="DGR12" s="118"/>
      <c r="DGS12" s="118"/>
      <c r="DGT12" s="118"/>
      <c r="DGU12" s="118"/>
      <c r="DGV12" s="118"/>
      <c r="DGW12" s="118"/>
      <c r="DGX12" s="118"/>
      <c r="DGY12" s="118"/>
      <c r="DGZ12" s="118"/>
      <c r="DHA12" s="118"/>
      <c r="DHB12" s="118"/>
      <c r="DHC12" s="118"/>
      <c r="DHD12" s="118"/>
      <c r="DHE12" s="118"/>
      <c r="DHF12" s="118"/>
      <c r="DHG12" s="118"/>
      <c r="DHH12" s="118"/>
      <c r="DHI12" s="118"/>
      <c r="DHJ12" s="118"/>
      <c r="DHK12" s="118"/>
      <c r="DHL12" s="118"/>
      <c r="DHM12" s="118"/>
      <c r="DHN12" s="118"/>
      <c r="DHO12" s="118"/>
      <c r="DHP12" s="118"/>
      <c r="DHQ12" s="118"/>
      <c r="DHR12" s="118"/>
      <c r="DHS12" s="118"/>
      <c r="DHT12" s="118"/>
      <c r="DHU12" s="118"/>
      <c r="DHV12" s="118"/>
      <c r="DHW12" s="118"/>
      <c r="DHX12" s="118"/>
      <c r="DHY12" s="118"/>
      <c r="DHZ12" s="118"/>
      <c r="DIA12" s="118"/>
      <c r="DIB12" s="118"/>
      <c r="DIC12" s="118"/>
      <c r="DID12" s="118"/>
      <c r="DIE12" s="118"/>
      <c r="DIF12" s="118"/>
      <c r="DIG12" s="118"/>
      <c r="DIH12" s="118"/>
      <c r="DII12" s="118"/>
      <c r="DIJ12" s="118"/>
      <c r="DIK12" s="118"/>
      <c r="DIL12" s="118"/>
      <c r="DIM12" s="118"/>
      <c r="DIN12" s="118"/>
      <c r="DIO12" s="118"/>
      <c r="DIP12" s="118"/>
      <c r="DIQ12" s="118"/>
      <c r="DIR12" s="118"/>
      <c r="DIS12" s="118"/>
      <c r="DIT12" s="118"/>
      <c r="DIU12" s="118"/>
      <c r="DIV12" s="118"/>
      <c r="DIW12" s="118"/>
      <c r="DIX12" s="118"/>
      <c r="DIY12" s="118"/>
      <c r="DIZ12" s="118"/>
      <c r="DJA12" s="118"/>
      <c r="DJB12" s="118"/>
      <c r="DJC12" s="118"/>
      <c r="DJD12" s="118"/>
      <c r="DJE12" s="118"/>
      <c r="DJF12" s="118"/>
      <c r="DJG12" s="118"/>
      <c r="DJH12" s="118"/>
      <c r="DJI12" s="118"/>
      <c r="DJJ12" s="118"/>
      <c r="DJK12" s="118"/>
      <c r="DJL12" s="118"/>
      <c r="DJM12" s="118"/>
      <c r="DJN12" s="118"/>
      <c r="DJO12" s="118"/>
      <c r="DJP12" s="118"/>
      <c r="DJQ12" s="118"/>
      <c r="DJR12" s="118"/>
      <c r="DJS12" s="118"/>
      <c r="DJT12" s="118"/>
      <c r="DJU12" s="118"/>
      <c r="DJV12" s="118"/>
      <c r="DJW12" s="118"/>
      <c r="DJX12" s="118"/>
      <c r="DJY12" s="118"/>
      <c r="DJZ12" s="118"/>
      <c r="DKA12" s="118"/>
      <c r="DKB12" s="118"/>
      <c r="DKC12" s="118"/>
      <c r="DKD12" s="118"/>
      <c r="DKE12" s="118"/>
      <c r="DKF12" s="118"/>
      <c r="DKG12" s="118"/>
      <c r="DKH12" s="118"/>
      <c r="DKI12" s="118"/>
      <c r="DKJ12" s="118"/>
      <c r="DKK12" s="118"/>
      <c r="DKL12" s="118"/>
      <c r="DKM12" s="118"/>
      <c r="DKN12" s="118"/>
      <c r="DKO12" s="118"/>
      <c r="DKP12" s="118"/>
      <c r="DKQ12" s="118"/>
      <c r="DKR12" s="118"/>
      <c r="DKS12" s="118"/>
      <c r="DKT12" s="118"/>
      <c r="DKU12" s="118"/>
      <c r="DKV12" s="118"/>
      <c r="DKW12" s="118"/>
      <c r="DKX12" s="118"/>
      <c r="DKY12" s="118"/>
      <c r="DKZ12" s="118"/>
      <c r="DLA12" s="118"/>
      <c r="DLB12" s="118"/>
      <c r="DLC12" s="118"/>
      <c r="DLD12" s="118"/>
      <c r="DLE12" s="118"/>
      <c r="DLF12" s="118"/>
      <c r="DLG12" s="118"/>
      <c r="DLH12" s="118"/>
      <c r="DLI12" s="118"/>
      <c r="DLJ12" s="118"/>
      <c r="DLK12" s="118"/>
      <c r="DLL12" s="118"/>
      <c r="DLM12" s="118"/>
      <c r="DLN12" s="118"/>
      <c r="DLO12" s="118"/>
      <c r="DLP12" s="118"/>
      <c r="DLQ12" s="118"/>
      <c r="DLR12" s="118"/>
      <c r="DLS12" s="118"/>
      <c r="DLT12" s="118"/>
      <c r="DLU12" s="118"/>
      <c r="DLV12" s="118"/>
      <c r="DLW12" s="118"/>
      <c r="DLX12" s="118"/>
      <c r="DLY12" s="118"/>
      <c r="DLZ12" s="118"/>
      <c r="DMA12" s="118"/>
      <c r="DMB12" s="118"/>
      <c r="DMC12" s="118"/>
      <c r="DMD12" s="118"/>
      <c r="DME12" s="118"/>
      <c r="DMF12" s="118"/>
      <c r="DMG12" s="118"/>
      <c r="DMH12" s="118"/>
      <c r="DMI12" s="118"/>
      <c r="DMJ12" s="118"/>
      <c r="DMK12" s="118"/>
      <c r="DML12" s="118"/>
      <c r="DMM12" s="118"/>
      <c r="DMN12" s="118"/>
      <c r="DMO12" s="118"/>
      <c r="DMP12" s="118"/>
      <c r="DMQ12" s="118"/>
      <c r="DMR12" s="118"/>
      <c r="DMS12" s="118"/>
      <c r="DMT12" s="118"/>
      <c r="DMU12" s="118"/>
      <c r="DMV12" s="118"/>
      <c r="DMW12" s="118"/>
      <c r="DMX12" s="118"/>
      <c r="DMY12" s="118"/>
      <c r="DMZ12" s="118"/>
      <c r="DNA12" s="118"/>
      <c r="DNB12" s="118"/>
      <c r="DNC12" s="118"/>
      <c r="DND12" s="118"/>
      <c r="DNE12" s="118"/>
      <c r="DNF12" s="118"/>
      <c r="DNG12" s="118"/>
      <c r="DNH12" s="118"/>
      <c r="DNI12" s="118"/>
      <c r="DNJ12" s="118"/>
      <c r="DNK12" s="118"/>
      <c r="DNL12" s="118"/>
      <c r="DNM12" s="118"/>
      <c r="DNN12" s="118"/>
      <c r="DNO12" s="118"/>
      <c r="DNP12" s="118"/>
      <c r="DNQ12" s="118"/>
      <c r="DNR12" s="118"/>
      <c r="DNS12" s="118"/>
      <c r="DNT12" s="118"/>
      <c r="DNU12" s="118"/>
      <c r="DNV12" s="118"/>
      <c r="DNW12" s="118"/>
      <c r="DNX12" s="118"/>
      <c r="DNY12" s="118"/>
      <c r="DNZ12" s="118"/>
      <c r="DOA12" s="118"/>
      <c r="DOB12" s="118"/>
      <c r="DOC12" s="118"/>
      <c r="DOD12" s="118"/>
      <c r="DOE12" s="118"/>
      <c r="DOF12" s="118"/>
      <c r="DOG12" s="118"/>
      <c r="DOH12" s="118"/>
      <c r="DOI12" s="118"/>
      <c r="DOJ12" s="118"/>
      <c r="DOK12" s="118"/>
      <c r="DOL12" s="118"/>
      <c r="DOM12" s="118"/>
      <c r="DON12" s="118"/>
      <c r="DOO12" s="118"/>
      <c r="DOP12" s="118"/>
      <c r="DOQ12" s="118"/>
      <c r="DOR12" s="118"/>
      <c r="DOS12" s="118"/>
      <c r="DOT12" s="118"/>
      <c r="DOU12" s="118"/>
      <c r="DOV12" s="118"/>
      <c r="DOW12" s="118"/>
      <c r="DOX12" s="118"/>
      <c r="DOY12" s="118"/>
      <c r="DOZ12" s="118"/>
      <c r="DPA12" s="118"/>
      <c r="DPB12" s="118"/>
      <c r="DPC12" s="118"/>
      <c r="DPD12" s="118"/>
      <c r="DPE12" s="118"/>
      <c r="DPF12" s="118"/>
      <c r="DPG12" s="118"/>
      <c r="DPH12" s="118"/>
      <c r="DPI12" s="118"/>
      <c r="DPJ12" s="118"/>
      <c r="DPK12" s="118"/>
      <c r="DPL12" s="118"/>
      <c r="DPM12" s="118"/>
      <c r="DPN12" s="118"/>
      <c r="DPO12" s="118"/>
      <c r="DPP12" s="118"/>
      <c r="DPQ12" s="118"/>
      <c r="DPR12" s="118"/>
      <c r="DPS12" s="118"/>
      <c r="DPT12" s="118"/>
      <c r="DPU12" s="118"/>
      <c r="DPV12" s="118"/>
      <c r="DPW12" s="118"/>
      <c r="DPX12" s="118"/>
      <c r="DPY12" s="118"/>
      <c r="DPZ12" s="118"/>
      <c r="DQA12" s="118"/>
      <c r="DQB12" s="118"/>
      <c r="DQC12" s="118"/>
      <c r="DQD12" s="118"/>
      <c r="DQE12" s="118"/>
      <c r="DQF12" s="118"/>
      <c r="DQG12" s="118"/>
      <c r="DQH12" s="118"/>
      <c r="DQI12" s="118"/>
      <c r="DQJ12" s="118"/>
      <c r="DQK12" s="118"/>
      <c r="DQL12" s="118"/>
      <c r="DQM12" s="118"/>
      <c r="DQN12" s="118"/>
      <c r="DQO12" s="118"/>
      <c r="DQP12" s="118"/>
      <c r="DQQ12" s="118"/>
      <c r="DQR12" s="118"/>
      <c r="DQS12" s="118"/>
      <c r="DQT12" s="118"/>
      <c r="DQU12" s="118"/>
      <c r="DQV12" s="118"/>
      <c r="DQW12" s="118"/>
      <c r="DQX12" s="118"/>
      <c r="DQY12" s="118"/>
      <c r="DQZ12" s="118"/>
      <c r="DRA12" s="118"/>
      <c r="DRB12" s="118"/>
      <c r="DRC12" s="118"/>
      <c r="DRD12" s="118"/>
      <c r="DRE12" s="118"/>
      <c r="DRF12" s="118"/>
      <c r="DRG12" s="118"/>
      <c r="DRH12" s="118"/>
      <c r="DRI12" s="118"/>
      <c r="DRJ12" s="118"/>
      <c r="DRK12" s="118"/>
      <c r="DRL12" s="118"/>
      <c r="DRM12" s="118"/>
      <c r="DRN12" s="118"/>
      <c r="DRO12" s="118"/>
      <c r="DRP12" s="118"/>
      <c r="DRQ12" s="118"/>
      <c r="DRR12" s="118"/>
      <c r="DRS12" s="118"/>
      <c r="DRT12" s="118"/>
      <c r="DRU12" s="118"/>
      <c r="DRV12" s="118"/>
      <c r="DRW12" s="118"/>
      <c r="DRX12" s="118"/>
      <c r="DRY12" s="118"/>
      <c r="DRZ12" s="118"/>
      <c r="DSA12" s="118"/>
      <c r="DSB12" s="118"/>
      <c r="DSC12" s="118"/>
      <c r="DSD12" s="118"/>
      <c r="DSE12" s="118"/>
      <c r="DSF12" s="118"/>
      <c r="DSG12" s="118"/>
      <c r="DSH12" s="118"/>
      <c r="DSI12" s="118"/>
      <c r="DSJ12" s="118"/>
      <c r="DSK12" s="118"/>
      <c r="DSL12" s="118"/>
      <c r="DSM12" s="118"/>
      <c r="DSN12" s="118"/>
      <c r="DSO12" s="118"/>
      <c r="DSP12" s="118"/>
      <c r="DSQ12" s="118"/>
      <c r="DSR12" s="118"/>
      <c r="DSS12" s="118"/>
      <c r="DST12" s="118"/>
      <c r="DSU12" s="118"/>
      <c r="DSV12" s="118"/>
      <c r="DSW12" s="118"/>
      <c r="DSX12" s="118"/>
      <c r="DSY12" s="118"/>
      <c r="DSZ12" s="118"/>
      <c r="DTA12" s="118"/>
      <c r="DTB12" s="118"/>
      <c r="DTC12" s="118"/>
      <c r="DTD12" s="118"/>
      <c r="DTE12" s="118"/>
      <c r="DTF12" s="118"/>
      <c r="DTG12" s="118"/>
      <c r="DTH12" s="118"/>
      <c r="DTI12" s="118"/>
      <c r="DTJ12" s="118"/>
      <c r="DTK12" s="118"/>
      <c r="DTL12" s="118"/>
      <c r="DTM12" s="118"/>
      <c r="DTN12" s="118"/>
      <c r="DTO12" s="118"/>
      <c r="DTP12" s="118"/>
      <c r="DTQ12" s="118"/>
      <c r="DTR12" s="118"/>
      <c r="DTS12" s="118"/>
      <c r="DTT12" s="118"/>
      <c r="DTU12" s="118"/>
      <c r="DTV12" s="118"/>
      <c r="DTW12" s="118"/>
      <c r="DTX12" s="118"/>
      <c r="DTY12" s="118"/>
      <c r="DTZ12" s="118"/>
      <c r="DUA12" s="118"/>
      <c r="DUB12" s="118"/>
      <c r="DUC12" s="118"/>
      <c r="DUD12" s="118"/>
      <c r="DUE12" s="118"/>
      <c r="DUF12" s="118"/>
      <c r="DUG12" s="118"/>
      <c r="DUH12" s="118"/>
      <c r="DUI12" s="118"/>
      <c r="DUJ12" s="118"/>
      <c r="DUK12" s="118"/>
      <c r="DUL12" s="118"/>
      <c r="DUM12" s="118"/>
      <c r="DUN12" s="118"/>
      <c r="DUO12" s="118"/>
      <c r="DUP12" s="118"/>
      <c r="DUQ12" s="118"/>
      <c r="DUR12" s="118"/>
      <c r="DUS12" s="118"/>
      <c r="DUT12" s="118"/>
      <c r="DUU12" s="118"/>
      <c r="DUV12" s="118"/>
      <c r="DUW12" s="118"/>
      <c r="DUX12" s="118"/>
      <c r="DUY12" s="118"/>
      <c r="DUZ12" s="118"/>
      <c r="DVA12" s="118"/>
      <c r="DVB12" s="118"/>
      <c r="DVC12" s="118"/>
      <c r="DVD12" s="118"/>
      <c r="DVE12" s="118"/>
      <c r="DVF12" s="118"/>
      <c r="DVG12" s="118"/>
      <c r="DVH12" s="118"/>
      <c r="DVI12" s="118"/>
      <c r="DVJ12" s="118"/>
      <c r="DVK12" s="118"/>
      <c r="DVL12" s="118"/>
      <c r="DVM12" s="118"/>
      <c r="DVN12" s="118"/>
      <c r="DVO12" s="118"/>
      <c r="DVP12" s="118"/>
      <c r="DVQ12" s="118"/>
      <c r="DVR12" s="118"/>
      <c r="DVS12" s="118"/>
      <c r="DVT12" s="118"/>
      <c r="DVU12" s="118"/>
      <c r="DVV12" s="118"/>
      <c r="DVW12" s="118"/>
      <c r="DVX12" s="118"/>
      <c r="DVY12" s="118"/>
      <c r="DVZ12" s="118"/>
      <c r="DWA12" s="118"/>
      <c r="DWB12" s="118"/>
      <c r="DWC12" s="118"/>
      <c r="DWD12" s="118"/>
      <c r="DWE12" s="118"/>
      <c r="DWF12" s="118"/>
      <c r="DWG12" s="118"/>
      <c r="DWH12" s="118"/>
      <c r="DWI12" s="118"/>
      <c r="DWJ12" s="118"/>
      <c r="DWK12" s="118"/>
      <c r="DWL12" s="118"/>
      <c r="DWM12" s="118"/>
      <c r="DWN12" s="118"/>
      <c r="DWO12" s="118"/>
      <c r="DWP12" s="118"/>
      <c r="DWQ12" s="118"/>
      <c r="DWR12" s="118"/>
      <c r="DWS12" s="118"/>
      <c r="DWT12" s="118"/>
      <c r="DWU12" s="118"/>
      <c r="DWV12" s="118"/>
      <c r="DWW12" s="118"/>
      <c r="DWX12" s="118"/>
      <c r="DWY12" s="118"/>
      <c r="DWZ12" s="118"/>
      <c r="DXA12" s="118"/>
      <c r="DXB12" s="118"/>
      <c r="DXC12" s="118"/>
      <c r="DXD12" s="118"/>
      <c r="DXE12" s="118"/>
      <c r="DXF12" s="118"/>
      <c r="DXG12" s="118"/>
      <c r="DXH12" s="118"/>
      <c r="DXI12" s="118"/>
      <c r="DXJ12" s="118"/>
      <c r="DXK12" s="118"/>
      <c r="DXL12" s="118"/>
      <c r="DXM12" s="118"/>
      <c r="DXN12" s="118"/>
      <c r="DXO12" s="118"/>
      <c r="DXP12" s="118"/>
      <c r="DXQ12" s="118"/>
      <c r="DXR12" s="118"/>
      <c r="DXS12" s="118"/>
      <c r="DXT12" s="118"/>
      <c r="DXU12" s="118"/>
      <c r="DXV12" s="118"/>
      <c r="DXW12" s="118"/>
      <c r="DXX12" s="118"/>
      <c r="DXY12" s="118"/>
      <c r="DXZ12" s="118"/>
      <c r="DYA12" s="118"/>
      <c r="DYB12" s="118"/>
      <c r="DYC12" s="118"/>
      <c r="DYD12" s="118"/>
      <c r="DYE12" s="118"/>
      <c r="DYF12" s="118"/>
      <c r="DYG12" s="118"/>
      <c r="DYH12" s="118"/>
      <c r="DYI12" s="118"/>
      <c r="DYJ12" s="118"/>
      <c r="DYK12" s="118"/>
      <c r="DYL12" s="118"/>
      <c r="DYM12" s="118"/>
      <c r="DYN12" s="118"/>
      <c r="DYO12" s="118"/>
      <c r="DYP12" s="118"/>
      <c r="DYQ12" s="118"/>
      <c r="DYR12" s="118"/>
      <c r="DYS12" s="118"/>
      <c r="DYT12" s="118"/>
      <c r="DYU12" s="118"/>
      <c r="DYV12" s="118"/>
      <c r="DYW12" s="118"/>
      <c r="DYX12" s="118"/>
      <c r="DYY12" s="118"/>
      <c r="DYZ12" s="118"/>
      <c r="DZA12" s="118"/>
      <c r="DZB12" s="118"/>
      <c r="DZC12" s="118"/>
      <c r="DZD12" s="118"/>
      <c r="DZE12" s="118"/>
      <c r="DZF12" s="118"/>
      <c r="DZG12" s="118"/>
      <c r="DZH12" s="118"/>
      <c r="DZI12" s="118"/>
      <c r="DZJ12" s="118"/>
      <c r="DZK12" s="118"/>
      <c r="DZL12" s="118"/>
      <c r="DZM12" s="118"/>
      <c r="DZN12" s="118"/>
      <c r="DZO12" s="118"/>
      <c r="DZP12" s="118"/>
      <c r="DZQ12" s="118"/>
      <c r="DZR12" s="118"/>
      <c r="DZS12" s="118"/>
      <c r="DZT12" s="118"/>
      <c r="DZU12" s="118"/>
      <c r="DZV12" s="118"/>
      <c r="DZW12" s="118"/>
      <c r="DZX12" s="118"/>
      <c r="DZY12" s="118"/>
      <c r="DZZ12" s="118"/>
      <c r="EAA12" s="118"/>
      <c r="EAB12" s="118"/>
      <c r="EAC12" s="118"/>
      <c r="EAD12" s="118"/>
      <c r="EAE12" s="118"/>
      <c r="EAF12" s="118"/>
      <c r="EAG12" s="118"/>
      <c r="EAH12" s="118"/>
      <c r="EAI12" s="118"/>
      <c r="EAJ12" s="118"/>
      <c r="EAK12" s="118"/>
      <c r="EAL12" s="118"/>
      <c r="EAM12" s="118"/>
      <c r="EAN12" s="118"/>
      <c r="EAO12" s="118"/>
      <c r="EAP12" s="118"/>
      <c r="EAQ12" s="118"/>
      <c r="EAR12" s="118"/>
      <c r="EAS12" s="118"/>
      <c r="EAT12" s="118"/>
      <c r="EAU12" s="118"/>
      <c r="EAV12" s="118"/>
      <c r="EAW12" s="118"/>
      <c r="EAX12" s="118"/>
      <c r="EAY12" s="118"/>
      <c r="EAZ12" s="118"/>
      <c r="EBA12" s="118"/>
      <c r="EBB12" s="118"/>
      <c r="EBC12" s="118"/>
      <c r="EBD12" s="118"/>
      <c r="EBE12" s="118"/>
      <c r="EBF12" s="118"/>
      <c r="EBG12" s="118"/>
      <c r="EBH12" s="118"/>
      <c r="EBI12" s="118"/>
      <c r="EBJ12" s="118"/>
      <c r="EBK12" s="118"/>
      <c r="EBL12" s="118"/>
      <c r="EBM12" s="118"/>
      <c r="EBN12" s="118"/>
      <c r="EBO12" s="118"/>
      <c r="EBP12" s="118"/>
      <c r="EBQ12" s="118"/>
      <c r="EBR12" s="118"/>
      <c r="EBS12" s="118"/>
      <c r="EBT12" s="118"/>
      <c r="EBU12" s="118"/>
      <c r="EBV12" s="118"/>
      <c r="EBW12" s="118"/>
      <c r="EBX12" s="118"/>
      <c r="EBY12" s="118"/>
      <c r="EBZ12" s="118"/>
      <c r="ECA12" s="118"/>
      <c r="ECB12" s="118"/>
      <c r="ECC12" s="118"/>
      <c r="ECD12" s="118"/>
      <c r="ECE12" s="118"/>
      <c r="ECF12" s="118"/>
      <c r="ECG12" s="118"/>
      <c r="ECH12" s="118"/>
      <c r="ECI12" s="118"/>
      <c r="ECJ12" s="118"/>
      <c r="ECK12" s="118"/>
      <c r="ECL12" s="118"/>
      <c r="ECM12" s="118"/>
      <c r="ECN12" s="118"/>
      <c r="ECO12" s="118"/>
      <c r="ECP12" s="118"/>
      <c r="ECQ12" s="118"/>
      <c r="ECR12" s="118"/>
      <c r="ECS12" s="118"/>
      <c r="ECT12" s="118"/>
      <c r="ECU12" s="118"/>
      <c r="ECV12" s="118"/>
      <c r="ECW12" s="118"/>
      <c r="ECX12" s="118"/>
      <c r="ECY12" s="118"/>
      <c r="ECZ12" s="118"/>
      <c r="EDA12" s="118"/>
      <c r="EDB12" s="118"/>
      <c r="EDC12" s="118"/>
      <c r="EDD12" s="118"/>
      <c r="EDE12" s="118"/>
      <c r="EDF12" s="118"/>
      <c r="EDG12" s="118"/>
      <c r="EDH12" s="118"/>
      <c r="EDI12" s="118"/>
      <c r="EDJ12" s="118"/>
      <c r="EDK12" s="118"/>
      <c r="EDL12" s="118"/>
      <c r="EDM12" s="118"/>
      <c r="EDN12" s="118"/>
      <c r="EDO12" s="118"/>
      <c r="EDP12" s="118"/>
      <c r="EDQ12" s="118"/>
      <c r="EDR12" s="118"/>
      <c r="EDS12" s="118"/>
      <c r="EDT12" s="118"/>
      <c r="EDU12" s="118"/>
      <c r="EDV12" s="118"/>
      <c r="EDW12" s="118"/>
      <c r="EDX12" s="118"/>
      <c r="EDY12" s="118"/>
      <c r="EDZ12" s="118"/>
      <c r="EEA12" s="118"/>
      <c r="EEB12" s="118"/>
      <c r="EEC12" s="118"/>
      <c r="EED12" s="118"/>
      <c r="EEE12" s="118"/>
      <c r="EEF12" s="118"/>
      <c r="EEG12" s="118"/>
      <c r="EEH12" s="118"/>
      <c r="EEI12" s="118"/>
      <c r="EEJ12" s="118"/>
      <c r="EEK12" s="118"/>
      <c r="EEL12" s="118"/>
      <c r="EEM12" s="118"/>
      <c r="EEN12" s="118"/>
      <c r="EEO12" s="118"/>
      <c r="EEP12" s="118"/>
      <c r="EEQ12" s="118"/>
      <c r="EER12" s="118"/>
      <c r="EES12" s="118"/>
      <c r="EET12" s="118"/>
      <c r="EEU12" s="118"/>
      <c r="EEV12" s="118"/>
      <c r="EEW12" s="118"/>
      <c r="EEX12" s="118"/>
      <c r="EEY12" s="118"/>
      <c r="EEZ12" s="118"/>
      <c r="EFA12" s="118"/>
      <c r="EFB12" s="118"/>
      <c r="EFC12" s="118"/>
      <c r="EFD12" s="118"/>
      <c r="EFE12" s="118"/>
      <c r="EFF12" s="118"/>
      <c r="EFG12" s="118"/>
      <c r="EFH12" s="118"/>
      <c r="EFI12" s="118"/>
      <c r="EFJ12" s="118"/>
      <c r="EFK12" s="118"/>
      <c r="EFL12" s="118"/>
      <c r="EFM12" s="118"/>
      <c r="EFN12" s="118"/>
      <c r="EFO12" s="118"/>
      <c r="EFP12" s="118"/>
      <c r="EFQ12" s="118"/>
      <c r="EFR12" s="118"/>
      <c r="EFS12" s="118"/>
      <c r="EFT12" s="118"/>
      <c r="EFU12" s="118"/>
      <c r="EFV12" s="118"/>
      <c r="EFW12" s="118"/>
      <c r="EFX12" s="118"/>
      <c r="EFY12" s="118"/>
      <c r="EFZ12" s="118"/>
      <c r="EGA12" s="118"/>
      <c r="EGB12" s="118"/>
      <c r="EGC12" s="118"/>
      <c r="EGD12" s="118"/>
      <c r="EGE12" s="118"/>
      <c r="EGF12" s="118"/>
      <c r="EGG12" s="118"/>
      <c r="EGH12" s="118"/>
      <c r="EGI12" s="118"/>
      <c r="EGJ12" s="118"/>
      <c r="EGK12" s="118"/>
      <c r="EGL12" s="118"/>
      <c r="EGM12" s="118"/>
      <c r="EGN12" s="118"/>
      <c r="EGO12" s="118"/>
      <c r="EGP12" s="118"/>
      <c r="EGQ12" s="118"/>
      <c r="EGR12" s="118"/>
      <c r="EGS12" s="118"/>
      <c r="EGT12" s="118"/>
      <c r="EGU12" s="118"/>
      <c r="EGV12" s="118"/>
      <c r="EGW12" s="118"/>
      <c r="EGX12" s="118"/>
      <c r="EGY12" s="118"/>
      <c r="EGZ12" s="118"/>
      <c r="EHA12" s="118"/>
      <c r="EHB12" s="118"/>
      <c r="EHC12" s="118"/>
      <c r="EHD12" s="118"/>
      <c r="EHE12" s="118"/>
      <c r="EHF12" s="118"/>
      <c r="EHG12" s="118"/>
      <c r="EHH12" s="118"/>
      <c r="EHI12" s="118"/>
      <c r="EHJ12" s="118"/>
      <c r="EHK12" s="118"/>
      <c r="EHL12" s="118"/>
      <c r="EHM12" s="118"/>
      <c r="EHN12" s="118"/>
      <c r="EHO12" s="118"/>
      <c r="EHP12" s="118"/>
      <c r="EHQ12" s="118"/>
      <c r="EHR12" s="118"/>
      <c r="EHS12" s="118"/>
      <c r="EHT12" s="118"/>
      <c r="EHU12" s="118"/>
      <c r="EHV12" s="118"/>
      <c r="EHW12" s="118"/>
      <c r="EHX12" s="118"/>
      <c r="EHY12" s="118"/>
      <c r="EHZ12" s="118"/>
      <c r="EIA12" s="118"/>
      <c r="EIB12" s="118"/>
      <c r="EIC12" s="118"/>
      <c r="EID12" s="118"/>
      <c r="EIE12" s="118"/>
      <c r="EIF12" s="118"/>
      <c r="EIG12" s="118"/>
      <c r="EIH12" s="118"/>
      <c r="EII12" s="118"/>
      <c r="EIJ12" s="118"/>
      <c r="EIK12" s="118"/>
      <c r="EIL12" s="118"/>
      <c r="EIM12" s="118"/>
      <c r="EIN12" s="118"/>
      <c r="EIO12" s="118"/>
      <c r="EIP12" s="118"/>
      <c r="EIQ12" s="118"/>
      <c r="EIR12" s="118"/>
      <c r="EIS12" s="118"/>
      <c r="EIT12" s="118"/>
      <c r="EIU12" s="118"/>
      <c r="EIV12" s="118"/>
      <c r="EIW12" s="118"/>
      <c r="EIX12" s="118"/>
      <c r="EIY12" s="118"/>
      <c r="EIZ12" s="118"/>
      <c r="EJA12" s="118"/>
      <c r="EJB12" s="118"/>
      <c r="EJC12" s="118"/>
      <c r="EJD12" s="118"/>
      <c r="EJE12" s="118"/>
      <c r="EJF12" s="118"/>
      <c r="EJG12" s="118"/>
      <c r="EJH12" s="118"/>
      <c r="EJI12" s="118"/>
      <c r="EJJ12" s="118"/>
      <c r="EJK12" s="118"/>
      <c r="EJL12" s="118"/>
      <c r="EJM12" s="118"/>
      <c r="EJN12" s="118"/>
      <c r="EJO12" s="118"/>
      <c r="EJP12" s="118"/>
      <c r="EJQ12" s="118"/>
      <c r="EJR12" s="118"/>
      <c r="EJS12" s="118"/>
      <c r="EJT12" s="118"/>
      <c r="EJU12" s="118"/>
      <c r="EJV12" s="118"/>
      <c r="EJW12" s="118"/>
      <c r="EJX12" s="118"/>
      <c r="EJY12" s="118"/>
      <c r="EJZ12" s="118"/>
      <c r="EKA12" s="118"/>
      <c r="EKB12" s="118"/>
      <c r="EKC12" s="118"/>
      <c r="EKD12" s="118"/>
      <c r="EKE12" s="118"/>
      <c r="EKF12" s="118"/>
      <c r="EKG12" s="118"/>
      <c r="EKH12" s="118"/>
      <c r="EKI12" s="118"/>
      <c r="EKJ12" s="118"/>
      <c r="EKK12" s="118"/>
      <c r="EKL12" s="118"/>
      <c r="EKM12" s="118"/>
      <c r="EKN12" s="118"/>
      <c r="EKO12" s="118"/>
      <c r="EKP12" s="118"/>
      <c r="EKQ12" s="118"/>
      <c r="EKR12" s="118"/>
      <c r="EKS12" s="118"/>
      <c r="EKT12" s="118"/>
      <c r="EKU12" s="118"/>
      <c r="EKV12" s="118"/>
      <c r="EKW12" s="118"/>
      <c r="EKX12" s="118"/>
      <c r="EKY12" s="118"/>
      <c r="EKZ12" s="118"/>
      <c r="ELA12" s="118"/>
      <c r="ELB12" s="118"/>
      <c r="ELC12" s="118"/>
      <c r="ELD12" s="118"/>
      <c r="ELE12" s="118"/>
      <c r="ELF12" s="118"/>
      <c r="ELG12" s="118"/>
      <c r="ELH12" s="118"/>
      <c r="ELI12" s="118"/>
      <c r="ELJ12" s="118"/>
      <c r="ELK12" s="118"/>
      <c r="ELL12" s="118"/>
      <c r="ELM12" s="118"/>
      <c r="ELN12" s="118"/>
      <c r="ELO12" s="118"/>
      <c r="ELP12" s="118"/>
      <c r="ELQ12" s="118"/>
      <c r="ELR12" s="118"/>
      <c r="ELS12" s="118"/>
      <c r="ELT12" s="118"/>
      <c r="ELU12" s="118"/>
      <c r="ELV12" s="118"/>
      <c r="ELW12" s="118"/>
      <c r="ELX12" s="118"/>
      <c r="ELY12" s="118"/>
      <c r="ELZ12" s="118"/>
      <c r="EMA12" s="118"/>
      <c r="EMB12" s="118"/>
      <c r="EMC12" s="118"/>
      <c r="EMD12" s="118"/>
      <c r="EME12" s="118"/>
      <c r="EMF12" s="118"/>
      <c r="EMG12" s="118"/>
      <c r="EMH12" s="118"/>
      <c r="EMI12" s="118"/>
      <c r="EMJ12" s="118"/>
      <c r="EMK12" s="118"/>
      <c r="EML12" s="118"/>
      <c r="EMM12" s="118"/>
      <c r="EMN12" s="118"/>
      <c r="EMO12" s="118"/>
      <c r="EMP12" s="118"/>
      <c r="EMQ12" s="118"/>
      <c r="EMR12" s="118"/>
      <c r="EMS12" s="118"/>
      <c r="EMT12" s="118"/>
      <c r="EMU12" s="118"/>
      <c r="EMV12" s="118"/>
      <c r="EMW12" s="118"/>
      <c r="EMX12" s="118"/>
      <c r="EMY12" s="118"/>
      <c r="EMZ12" s="118"/>
      <c r="ENA12" s="118"/>
      <c r="ENB12" s="118"/>
      <c r="ENC12" s="118"/>
      <c r="END12" s="118"/>
      <c r="ENE12" s="118"/>
      <c r="ENF12" s="118"/>
      <c r="ENG12" s="118"/>
      <c r="ENH12" s="118"/>
      <c r="ENI12" s="118"/>
      <c r="ENJ12" s="118"/>
      <c r="ENK12" s="118"/>
      <c r="ENL12" s="118"/>
      <c r="ENM12" s="118"/>
      <c r="ENN12" s="118"/>
      <c r="ENO12" s="118"/>
      <c r="ENP12" s="118"/>
      <c r="ENQ12" s="118"/>
      <c r="ENR12" s="118"/>
      <c r="ENS12" s="118"/>
      <c r="ENT12" s="118"/>
      <c r="ENU12" s="118"/>
      <c r="ENV12" s="118"/>
      <c r="ENW12" s="118"/>
      <c r="ENX12" s="118"/>
      <c r="ENY12" s="118"/>
      <c r="ENZ12" s="118"/>
      <c r="EOA12" s="118"/>
      <c r="EOB12" s="118"/>
      <c r="EOC12" s="118"/>
      <c r="EOD12" s="118"/>
      <c r="EOE12" s="118"/>
      <c r="EOF12" s="118"/>
      <c r="EOG12" s="118"/>
      <c r="EOH12" s="118"/>
      <c r="EOI12" s="118"/>
      <c r="EOJ12" s="118"/>
      <c r="EOK12" s="118"/>
      <c r="EOL12" s="118"/>
      <c r="EOM12" s="118"/>
      <c r="EON12" s="118"/>
      <c r="EOO12" s="118"/>
      <c r="EOP12" s="118"/>
      <c r="EOQ12" s="118"/>
      <c r="EOR12" s="118"/>
      <c r="EOS12" s="118"/>
      <c r="EOT12" s="118"/>
      <c r="EOU12" s="118"/>
      <c r="EOV12" s="118"/>
      <c r="EOW12" s="118"/>
      <c r="EOX12" s="118"/>
      <c r="EOY12" s="118"/>
      <c r="EOZ12" s="118"/>
      <c r="EPA12" s="118"/>
      <c r="EPB12" s="118"/>
      <c r="EPC12" s="118"/>
      <c r="EPD12" s="118"/>
      <c r="EPE12" s="118"/>
      <c r="EPF12" s="118"/>
      <c r="EPG12" s="118"/>
      <c r="EPH12" s="118"/>
      <c r="EPI12" s="118"/>
      <c r="EPJ12" s="118"/>
      <c r="EPK12" s="118"/>
      <c r="EPL12" s="118"/>
      <c r="EPM12" s="118"/>
      <c r="EPN12" s="118"/>
      <c r="EPO12" s="118"/>
      <c r="EPP12" s="118"/>
      <c r="EPQ12" s="118"/>
      <c r="EPR12" s="118"/>
      <c r="EPS12" s="118"/>
      <c r="EPT12" s="118"/>
      <c r="EPU12" s="118"/>
      <c r="EPV12" s="118"/>
      <c r="EPW12" s="118"/>
      <c r="EPX12" s="118"/>
      <c r="EPY12" s="118"/>
      <c r="EPZ12" s="118"/>
      <c r="EQA12" s="118"/>
      <c r="EQB12" s="118"/>
      <c r="EQC12" s="118"/>
      <c r="EQD12" s="118"/>
      <c r="EQE12" s="118"/>
      <c r="EQF12" s="118"/>
      <c r="EQG12" s="118"/>
      <c r="EQH12" s="118"/>
      <c r="EQI12" s="118"/>
      <c r="EQJ12" s="118"/>
      <c r="EQK12" s="118"/>
      <c r="EQL12" s="118"/>
      <c r="EQM12" s="118"/>
      <c r="EQN12" s="118"/>
      <c r="EQO12" s="118"/>
      <c r="EQP12" s="118"/>
      <c r="EQQ12" s="118"/>
      <c r="EQR12" s="118"/>
      <c r="EQS12" s="118"/>
      <c r="EQT12" s="118"/>
      <c r="EQU12" s="118"/>
      <c r="EQV12" s="118"/>
      <c r="EQW12" s="118"/>
      <c r="EQX12" s="118"/>
      <c r="EQY12" s="118"/>
      <c r="EQZ12" s="118"/>
      <c r="ERA12" s="118"/>
      <c r="ERB12" s="118"/>
      <c r="ERC12" s="118"/>
      <c r="ERD12" s="118"/>
      <c r="ERE12" s="118"/>
      <c r="ERF12" s="118"/>
      <c r="ERG12" s="118"/>
      <c r="ERH12" s="118"/>
      <c r="ERI12" s="118"/>
      <c r="ERJ12" s="118"/>
      <c r="ERK12" s="118"/>
      <c r="ERL12" s="118"/>
      <c r="ERM12" s="118"/>
      <c r="ERN12" s="118"/>
      <c r="ERO12" s="118"/>
      <c r="ERP12" s="118"/>
      <c r="ERQ12" s="118"/>
      <c r="ERR12" s="118"/>
      <c r="ERS12" s="118"/>
      <c r="ERT12" s="118"/>
      <c r="ERU12" s="118"/>
      <c r="ERV12" s="118"/>
      <c r="ERW12" s="118"/>
      <c r="ERX12" s="118"/>
      <c r="ERY12" s="118"/>
      <c r="ERZ12" s="118"/>
      <c r="ESA12" s="118"/>
      <c r="ESB12" s="118"/>
      <c r="ESC12" s="118"/>
      <c r="ESD12" s="118"/>
      <c r="ESE12" s="118"/>
      <c r="ESF12" s="118"/>
      <c r="ESG12" s="118"/>
      <c r="ESH12" s="118"/>
      <c r="ESI12" s="118"/>
      <c r="ESJ12" s="118"/>
      <c r="ESK12" s="118"/>
      <c r="ESL12" s="118"/>
      <c r="ESM12" s="118"/>
      <c r="ESN12" s="118"/>
      <c r="ESO12" s="118"/>
      <c r="ESP12" s="118"/>
      <c r="ESQ12" s="118"/>
      <c r="ESR12" s="118"/>
      <c r="ESS12" s="118"/>
      <c r="EST12" s="118"/>
      <c r="ESU12" s="118"/>
      <c r="ESV12" s="118"/>
      <c r="ESW12" s="118"/>
      <c r="ESX12" s="118"/>
      <c r="ESY12" s="118"/>
      <c r="ESZ12" s="118"/>
      <c r="ETA12" s="118"/>
      <c r="ETB12" s="118"/>
      <c r="ETC12" s="118"/>
      <c r="ETD12" s="118"/>
      <c r="ETE12" s="118"/>
      <c r="ETF12" s="118"/>
      <c r="ETG12" s="118"/>
      <c r="ETH12" s="118"/>
      <c r="ETI12" s="118"/>
      <c r="ETJ12" s="118"/>
      <c r="ETK12" s="118"/>
      <c r="ETL12" s="118"/>
      <c r="ETM12" s="118"/>
      <c r="ETN12" s="118"/>
      <c r="ETO12" s="118"/>
      <c r="ETP12" s="118"/>
      <c r="ETQ12" s="118"/>
      <c r="ETR12" s="118"/>
      <c r="ETS12" s="118"/>
      <c r="ETT12" s="118"/>
      <c r="ETU12" s="118"/>
      <c r="ETV12" s="118"/>
      <c r="ETW12" s="118"/>
      <c r="ETX12" s="118"/>
      <c r="ETY12" s="118"/>
      <c r="ETZ12" s="118"/>
      <c r="EUA12" s="118"/>
      <c r="EUB12" s="118"/>
      <c r="EUC12" s="118"/>
      <c r="EUD12" s="118"/>
      <c r="EUE12" s="118"/>
      <c r="EUF12" s="118"/>
      <c r="EUG12" s="118"/>
      <c r="EUH12" s="118"/>
      <c r="EUI12" s="118"/>
      <c r="EUJ12" s="118"/>
      <c r="EUK12" s="118"/>
      <c r="EUL12" s="118"/>
      <c r="EUM12" s="118"/>
      <c r="EUN12" s="118"/>
      <c r="EUO12" s="118"/>
      <c r="EUP12" s="118"/>
      <c r="EUQ12" s="118"/>
      <c r="EUR12" s="118"/>
      <c r="EUS12" s="118"/>
      <c r="EUT12" s="118"/>
      <c r="EUU12" s="118"/>
      <c r="EUV12" s="118"/>
      <c r="EUW12" s="118"/>
      <c r="EUX12" s="118"/>
      <c r="EUY12" s="118"/>
      <c r="EUZ12" s="118"/>
      <c r="EVA12" s="118"/>
      <c r="EVB12" s="118"/>
      <c r="EVC12" s="118"/>
      <c r="EVD12" s="118"/>
      <c r="EVE12" s="118"/>
      <c r="EVF12" s="118"/>
      <c r="EVG12" s="118"/>
      <c r="EVH12" s="118"/>
      <c r="EVI12" s="118"/>
      <c r="EVJ12" s="118"/>
      <c r="EVK12" s="118"/>
      <c r="EVL12" s="118"/>
      <c r="EVM12" s="118"/>
      <c r="EVN12" s="118"/>
      <c r="EVO12" s="118"/>
      <c r="EVP12" s="118"/>
      <c r="EVQ12" s="118"/>
      <c r="EVR12" s="118"/>
      <c r="EVS12" s="118"/>
      <c r="EVT12" s="118"/>
      <c r="EVU12" s="118"/>
      <c r="EVV12" s="118"/>
      <c r="EVW12" s="118"/>
      <c r="EVX12" s="118"/>
      <c r="EVY12" s="118"/>
      <c r="EVZ12" s="118"/>
      <c r="EWA12" s="118"/>
      <c r="EWB12" s="118"/>
      <c r="EWC12" s="118"/>
      <c r="EWD12" s="118"/>
      <c r="EWE12" s="118"/>
      <c r="EWF12" s="118"/>
      <c r="EWG12" s="118"/>
      <c r="EWH12" s="118"/>
      <c r="EWI12" s="118"/>
      <c r="EWJ12" s="118"/>
      <c r="EWK12" s="118"/>
      <c r="EWL12" s="118"/>
      <c r="EWM12" s="118"/>
      <c r="EWN12" s="118"/>
      <c r="EWO12" s="118"/>
      <c r="EWP12" s="118"/>
      <c r="EWQ12" s="118"/>
      <c r="EWR12" s="118"/>
      <c r="EWS12" s="118"/>
      <c r="EWT12" s="118"/>
      <c r="EWU12" s="118"/>
      <c r="EWV12" s="118"/>
      <c r="EWW12" s="118"/>
      <c r="EWX12" s="118"/>
      <c r="EWY12" s="118"/>
      <c r="EWZ12" s="118"/>
      <c r="EXA12" s="118"/>
      <c r="EXB12" s="118"/>
      <c r="EXC12" s="118"/>
      <c r="EXD12" s="118"/>
      <c r="EXE12" s="118"/>
      <c r="EXF12" s="118"/>
      <c r="EXG12" s="118"/>
      <c r="EXH12" s="118"/>
      <c r="EXI12" s="118"/>
      <c r="EXJ12" s="118"/>
      <c r="EXK12" s="118"/>
      <c r="EXL12" s="118"/>
      <c r="EXM12" s="118"/>
      <c r="EXN12" s="118"/>
      <c r="EXO12" s="118"/>
      <c r="EXP12" s="118"/>
      <c r="EXQ12" s="118"/>
      <c r="EXR12" s="118"/>
      <c r="EXS12" s="118"/>
      <c r="EXT12" s="118"/>
      <c r="EXU12" s="118"/>
      <c r="EXV12" s="118"/>
      <c r="EXW12" s="118"/>
      <c r="EXX12" s="118"/>
      <c r="EXY12" s="118"/>
      <c r="EXZ12" s="118"/>
      <c r="EYA12" s="118"/>
      <c r="EYB12" s="118"/>
      <c r="EYC12" s="118"/>
      <c r="EYD12" s="118"/>
      <c r="EYE12" s="118"/>
      <c r="EYF12" s="118"/>
      <c r="EYG12" s="118"/>
      <c r="EYH12" s="118"/>
      <c r="EYI12" s="118"/>
      <c r="EYJ12" s="118"/>
      <c r="EYK12" s="118"/>
      <c r="EYL12" s="118"/>
      <c r="EYM12" s="118"/>
      <c r="EYN12" s="118"/>
      <c r="EYO12" s="118"/>
      <c r="EYP12" s="118"/>
      <c r="EYQ12" s="118"/>
      <c r="EYR12" s="118"/>
      <c r="EYS12" s="118"/>
      <c r="EYT12" s="118"/>
      <c r="EYU12" s="118"/>
      <c r="EYV12" s="118"/>
      <c r="EYW12" s="118"/>
      <c r="EYX12" s="118"/>
      <c r="EYY12" s="118"/>
      <c r="EYZ12" s="118"/>
      <c r="EZA12" s="118"/>
      <c r="EZB12" s="118"/>
      <c r="EZC12" s="118"/>
      <c r="EZD12" s="118"/>
      <c r="EZE12" s="118"/>
      <c r="EZF12" s="118"/>
      <c r="EZG12" s="118"/>
      <c r="EZH12" s="118"/>
      <c r="EZI12" s="118"/>
      <c r="EZJ12" s="118"/>
      <c r="EZK12" s="118"/>
      <c r="EZL12" s="118"/>
      <c r="EZM12" s="118"/>
      <c r="EZN12" s="118"/>
      <c r="EZO12" s="118"/>
      <c r="EZP12" s="118"/>
      <c r="EZQ12" s="118"/>
      <c r="EZR12" s="118"/>
      <c r="EZS12" s="118"/>
      <c r="EZT12" s="118"/>
      <c r="EZU12" s="118"/>
      <c r="EZV12" s="118"/>
      <c r="EZW12" s="118"/>
      <c r="EZX12" s="118"/>
      <c r="EZY12" s="118"/>
      <c r="EZZ12" s="118"/>
      <c r="FAA12" s="118"/>
      <c r="FAB12" s="118"/>
      <c r="FAC12" s="118"/>
      <c r="FAD12" s="118"/>
      <c r="FAE12" s="118"/>
      <c r="FAF12" s="118"/>
      <c r="FAG12" s="118"/>
      <c r="FAH12" s="118"/>
      <c r="FAI12" s="118"/>
      <c r="FAJ12" s="118"/>
      <c r="FAK12" s="118"/>
      <c r="FAL12" s="118"/>
      <c r="FAM12" s="118"/>
      <c r="FAN12" s="118"/>
      <c r="FAO12" s="118"/>
      <c r="FAP12" s="118"/>
      <c r="FAQ12" s="118"/>
      <c r="FAR12" s="118"/>
      <c r="FAS12" s="118"/>
      <c r="FAT12" s="118"/>
      <c r="FAU12" s="118"/>
      <c r="FAV12" s="118"/>
      <c r="FAW12" s="118"/>
      <c r="FAX12" s="118"/>
      <c r="FAY12" s="118"/>
      <c r="FAZ12" s="118"/>
      <c r="FBA12" s="118"/>
      <c r="FBB12" s="118"/>
      <c r="FBC12" s="118"/>
      <c r="FBD12" s="118"/>
      <c r="FBE12" s="118"/>
      <c r="FBF12" s="118"/>
      <c r="FBG12" s="118"/>
      <c r="FBH12" s="118"/>
      <c r="FBI12" s="118"/>
      <c r="FBJ12" s="118"/>
      <c r="FBK12" s="118"/>
      <c r="FBL12" s="118"/>
      <c r="FBM12" s="118"/>
      <c r="FBN12" s="118"/>
      <c r="FBO12" s="118"/>
      <c r="FBP12" s="118"/>
      <c r="FBQ12" s="118"/>
      <c r="FBR12" s="118"/>
      <c r="FBS12" s="118"/>
      <c r="FBT12" s="118"/>
      <c r="FBU12" s="118"/>
      <c r="FBV12" s="118"/>
      <c r="FBW12" s="118"/>
      <c r="FBX12" s="118"/>
      <c r="FBY12" s="118"/>
      <c r="FBZ12" s="118"/>
      <c r="FCA12" s="118"/>
      <c r="FCB12" s="118"/>
      <c r="FCC12" s="118"/>
      <c r="FCD12" s="118"/>
      <c r="FCE12" s="118"/>
      <c r="FCF12" s="118"/>
      <c r="FCG12" s="118"/>
      <c r="FCH12" s="118"/>
      <c r="FCI12" s="118"/>
      <c r="FCJ12" s="118"/>
      <c r="FCK12" s="118"/>
      <c r="FCL12" s="118"/>
      <c r="FCM12" s="118"/>
      <c r="FCN12" s="118"/>
      <c r="FCO12" s="118"/>
      <c r="FCP12" s="118"/>
      <c r="FCQ12" s="118"/>
      <c r="FCR12" s="118"/>
      <c r="FCS12" s="118"/>
      <c r="FCT12" s="118"/>
      <c r="FCU12" s="118"/>
      <c r="FCV12" s="118"/>
      <c r="FCW12" s="118"/>
      <c r="FCX12" s="118"/>
      <c r="FCY12" s="118"/>
      <c r="FCZ12" s="118"/>
      <c r="FDA12" s="118"/>
      <c r="FDB12" s="118"/>
      <c r="FDC12" s="118"/>
      <c r="FDD12" s="118"/>
      <c r="FDE12" s="118"/>
      <c r="FDF12" s="118"/>
      <c r="FDG12" s="118"/>
      <c r="FDH12" s="118"/>
      <c r="FDI12" s="118"/>
      <c r="FDJ12" s="118"/>
      <c r="FDK12" s="118"/>
      <c r="FDL12" s="118"/>
      <c r="FDM12" s="118"/>
      <c r="FDN12" s="118"/>
      <c r="FDO12" s="118"/>
      <c r="FDP12" s="118"/>
      <c r="FDQ12" s="118"/>
      <c r="FDR12" s="118"/>
      <c r="FDS12" s="118"/>
      <c r="FDT12" s="118"/>
      <c r="FDU12" s="118"/>
      <c r="FDV12" s="118"/>
      <c r="FDW12" s="118"/>
      <c r="FDX12" s="118"/>
      <c r="FDY12" s="118"/>
      <c r="FDZ12" s="118"/>
      <c r="FEA12" s="118"/>
      <c r="FEB12" s="118"/>
      <c r="FEC12" s="118"/>
      <c r="FED12" s="118"/>
      <c r="FEE12" s="118"/>
      <c r="FEF12" s="118"/>
      <c r="FEG12" s="118"/>
      <c r="FEH12" s="118"/>
      <c r="FEI12" s="118"/>
      <c r="FEJ12" s="118"/>
      <c r="FEK12" s="118"/>
      <c r="FEL12" s="118"/>
      <c r="FEM12" s="118"/>
      <c r="FEN12" s="118"/>
      <c r="FEO12" s="118"/>
      <c r="FEP12" s="118"/>
      <c r="FEQ12" s="118"/>
      <c r="FER12" s="118"/>
      <c r="FES12" s="118"/>
      <c r="FET12" s="118"/>
      <c r="FEU12" s="118"/>
      <c r="FEV12" s="118"/>
      <c r="FEW12" s="118"/>
      <c r="FEX12" s="118"/>
      <c r="FEY12" s="118"/>
      <c r="FEZ12" s="118"/>
      <c r="FFA12" s="118"/>
      <c r="FFB12" s="118"/>
      <c r="FFC12" s="118"/>
      <c r="FFD12" s="118"/>
      <c r="FFE12" s="118"/>
      <c r="FFF12" s="118"/>
      <c r="FFG12" s="118"/>
      <c r="FFH12" s="118"/>
      <c r="FFI12" s="118"/>
      <c r="FFJ12" s="118"/>
      <c r="FFK12" s="118"/>
      <c r="FFL12" s="118"/>
      <c r="FFM12" s="118"/>
      <c r="FFN12" s="118"/>
      <c r="FFO12" s="118"/>
      <c r="FFP12" s="118"/>
      <c r="FFQ12" s="118"/>
      <c r="FFR12" s="118"/>
      <c r="FFS12" s="118"/>
      <c r="FFT12" s="118"/>
      <c r="FFU12" s="118"/>
      <c r="FFV12" s="118"/>
      <c r="FFW12" s="118"/>
      <c r="FFX12" s="118"/>
      <c r="FFY12" s="118"/>
      <c r="FFZ12" s="118"/>
      <c r="FGA12" s="118"/>
      <c r="FGB12" s="118"/>
      <c r="FGC12" s="118"/>
      <c r="FGD12" s="118"/>
      <c r="FGE12" s="118"/>
      <c r="FGF12" s="118"/>
      <c r="FGG12" s="118"/>
      <c r="FGH12" s="118"/>
      <c r="FGI12" s="118"/>
      <c r="FGJ12" s="118"/>
      <c r="FGK12" s="118"/>
      <c r="FGL12" s="118"/>
      <c r="FGM12" s="118"/>
      <c r="FGN12" s="118"/>
      <c r="FGO12" s="118"/>
      <c r="FGP12" s="118"/>
      <c r="FGQ12" s="118"/>
      <c r="FGR12" s="118"/>
      <c r="FGS12" s="118"/>
      <c r="FGT12" s="118"/>
      <c r="FGU12" s="118"/>
      <c r="FGV12" s="118"/>
      <c r="FGW12" s="118"/>
      <c r="FGX12" s="118"/>
      <c r="FGY12" s="118"/>
      <c r="FGZ12" s="118"/>
      <c r="FHA12" s="118"/>
      <c r="FHB12" s="118"/>
      <c r="FHC12" s="118"/>
      <c r="FHD12" s="118"/>
      <c r="FHE12" s="118"/>
      <c r="FHF12" s="118"/>
      <c r="FHG12" s="118"/>
      <c r="FHH12" s="118"/>
      <c r="FHI12" s="118"/>
      <c r="FHJ12" s="118"/>
      <c r="FHK12" s="118"/>
      <c r="FHL12" s="118"/>
      <c r="FHM12" s="118"/>
      <c r="FHN12" s="118"/>
      <c r="FHO12" s="118"/>
      <c r="FHP12" s="118"/>
      <c r="FHQ12" s="118"/>
      <c r="FHR12" s="118"/>
      <c r="FHS12" s="118"/>
      <c r="FHT12" s="118"/>
      <c r="FHU12" s="118"/>
      <c r="FHV12" s="118"/>
      <c r="FHW12" s="118"/>
      <c r="FHX12" s="118"/>
      <c r="FHY12" s="118"/>
      <c r="FHZ12" s="118"/>
      <c r="FIA12" s="118"/>
      <c r="FIB12" s="118"/>
      <c r="FIC12" s="118"/>
      <c r="FID12" s="118"/>
      <c r="FIE12" s="118"/>
      <c r="FIF12" s="118"/>
      <c r="FIG12" s="118"/>
      <c r="FIH12" s="118"/>
      <c r="FII12" s="118"/>
      <c r="FIJ12" s="118"/>
      <c r="FIK12" s="118"/>
      <c r="FIL12" s="118"/>
      <c r="FIM12" s="118"/>
      <c r="FIN12" s="118"/>
      <c r="FIO12" s="118"/>
      <c r="FIP12" s="118"/>
      <c r="FIQ12" s="118"/>
      <c r="FIR12" s="118"/>
      <c r="FIS12" s="118"/>
      <c r="FIT12" s="118"/>
      <c r="FIU12" s="118"/>
      <c r="FIV12" s="118"/>
      <c r="FIW12" s="118"/>
      <c r="FIX12" s="118"/>
      <c r="FIY12" s="118"/>
      <c r="FIZ12" s="118"/>
      <c r="FJA12" s="118"/>
      <c r="FJB12" s="118"/>
      <c r="FJC12" s="118"/>
      <c r="FJD12" s="118"/>
      <c r="FJE12" s="118"/>
      <c r="FJF12" s="118"/>
      <c r="FJG12" s="118"/>
      <c r="FJH12" s="118"/>
      <c r="FJI12" s="118"/>
      <c r="FJJ12" s="118"/>
      <c r="FJK12" s="118"/>
      <c r="FJL12" s="118"/>
      <c r="FJM12" s="118"/>
      <c r="FJN12" s="118"/>
      <c r="FJO12" s="118"/>
      <c r="FJP12" s="118"/>
      <c r="FJQ12" s="118"/>
      <c r="FJR12" s="118"/>
      <c r="FJS12" s="118"/>
      <c r="FJT12" s="118"/>
      <c r="FJU12" s="118"/>
      <c r="FJV12" s="118"/>
      <c r="FJW12" s="118"/>
      <c r="FJX12" s="118"/>
      <c r="FJY12" s="118"/>
      <c r="FJZ12" s="118"/>
      <c r="FKA12" s="118"/>
      <c r="FKB12" s="118"/>
      <c r="FKC12" s="118"/>
      <c r="FKD12" s="118"/>
      <c r="FKE12" s="118"/>
      <c r="FKF12" s="118"/>
      <c r="FKG12" s="118"/>
      <c r="FKH12" s="118"/>
      <c r="FKI12" s="118"/>
      <c r="FKJ12" s="118"/>
      <c r="FKK12" s="118"/>
      <c r="FKL12" s="118"/>
      <c r="FKM12" s="118"/>
      <c r="FKN12" s="118"/>
      <c r="FKO12" s="118"/>
      <c r="FKP12" s="118"/>
      <c r="FKQ12" s="118"/>
      <c r="FKR12" s="118"/>
      <c r="FKS12" s="118"/>
      <c r="FKT12" s="118"/>
      <c r="FKU12" s="118"/>
      <c r="FKV12" s="118"/>
      <c r="FKW12" s="118"/>
      <c r="FKX12" s="118"/>
      <c r="FKY12" s="118"/>
      <c r="FKZ12" s="118"/>
      <c r="FLA12" s="118"/>
      <c r="FLB12" s="118"/>
      <c r="FLC12" s="118"/>
      <c r="FLD12" s="118"/>
      <c r="FLE12" s="118"/>
      <c r="FLF12" s="118"/>
      <c r="FLG12" s="118"/>
      <c r="FLH12" s="118"/>
      <c r="FLI12" s="118"/>
      <c r="FLJ12" s="118"/>
      <c r="FLK12" s="118"/>
      <c r="FLL12" s="118"/>
      <c r="FLM12" s="118"/>
      <c r="FLN12" s="118"/>
      <c r="FLO12" s="118"/>
      <c r="FLP12" s="118"/>
      <c r="FLQ12" s="118"/>
      <c r="FLR12" s="118"/>
      <c r="FLS12" s="118"/>
      <c r="FLT12" s="118"/>
      <c r="FLU12" s="118"/>
      <c r="FLV12" s="118"/>
      <c r="FLW12" s="118"/>
      <c r="FLX12" s="118"/>
      <c r="FLY12" s="118"/>
      <c r="FLZ12" s="118"/>
      <c r="FMA12" s="118"/>
      <c r="FMB12" s="118"/>
      <c r="FMC12" s="118"/>
      <c r="FMD12" s="118"/>
      <c r="FME12" s="118"/>
      <c r="FMF12" s="118"/>
      <c r="FMG12" s="118"/>
      <c r="FMH12" s="118"/>
      <c r="FMI12" s="118"/>
      <c r="FMJ12" s="118"/>
      <c r="FMK12" s="118"/>
      <c r="FML12" s="118"/>
      <c r="FMM12" s="118"/>
      <c r="FMN12" s="118"/>
      <c r="FMO12" s="118"/>
      <c r="FMP12" s="118"/>
      <c r="FMQ12" s="118"/>
      <c r="FMR12" s="118"/>
      <c r="FMS12" s="118"/>
      <c r="FMT12" s="118"/>
      <c r="FMU12" s="118"/>
      <c r="FMV12" s="118"/>
      <c r="FMW12" s="118"/>
      <c r="FMX12" s="118"/>
      <c r="FMY12" s="118"/>
      <c r="FMZ12" s="118"/>
      <c r="FNA12" s="118"/>
      <c r="FNB12" s="118"/>
      <c r="FNC12" s="118"/>
      <c r="FND12" s="118"/>
      <c r="FNE12" s="118"/>
      <c r="FNF12" s="118"/>
      <c r="FNG12" s="118"/>
      <c r="FNH12" s="118"/>
      <c r="FNI12" s="118"/>
      <c r="FNJ12" s="118"/>
      <c r="FNK12" s="118"/>
      <c r="FNL12" s="118"/>
      <c r="FNM12" s="118"/>
      <c r="FNN12" s="118"/>
      <c r="FNO12" s="118"/>
      <c r="FNP12" s="118"/>
      <c r="FNQ12" s="118"/>
      <c r="FNR12" s="118"/>
      <c r="FNS12" s="118"/>
      <c r="FNT12" s="118"/>
      <c r="FNU12" s="118"/>
      <c r="FNV12" s="118"/>
      <c r="FNW12" s="118"/>
      <c r="FNX12" s="118"/>
      <c r="FNY12" s="118"/>
      <c r="FNZ12" s="118"/>
      <c r="FOA12" s="118"/>
      <c r="FOB12" s="118"/>
      <c r="FOC12" s="118"/>
      <c r="FOD12" s="118"/>
      <c r="FOE12" s="118"/>
      <c r="FOF12" s="118"/>
      <c r="FOG12" s="118"/>
      <c r="FOH12" s="118"/>
      <c r="FOI12" s="118"/>
      <c r="FOJ12" s="118"/>
      <c r="FOK12" s="118"/>
      <c r="FOL12" s="118"/>
      <c r="FOM12" s="118"/>
      <c r="FON12" s="118"/>
      <c r="FOO12" s="118"/>
      <c r="FOP12" s="118"/>
      <c r="FOQ12" s="118"/>
      <c r="FOR12" s="118"/>
      <c r="FOS12" s="118"/>
      <c r="FOT12" s="118"/>
      <c r="FOU12" s="118"/>
      <c r="FOV12" s="118"/>
      <c r="FOW12" s="118"/>
      <c r="FOX12" s="118"/>
      <c r="FOY12" s="118"/>
      <c r="FOZ12" s="118"/>
      <c r="FPA12" s="118"/>
      <c r="FPB12" s="118"/>
      <c r="FPC12" s="118"/>
      <c r="FPD12" s="118"/>
      <c r="FPE12" s="118"/>
      <c r="FPF12" s="118"/>
      <c r="FPG12" s="118"/>
      <c r="FPH12" s="118"/>
      <c r="FPI12" s="118"/>
      <c r="FPJ12" s="118"/>
      <c r="FPK12" s="118"/>
      <c r="FPL12" s="118"/>
      <c r="FPM12" s="118"/>
      <c r="FPN12" s="118"/>
      <c r="FPO12" s="118"/>
      <c r="FPP12" s="118"/>
      <c r="FPQ12" s="118"/>
      <c r="FPR12" s="118"/>
      <c r="FPS12" s="118"/>
      <c r="FPT12" s="118"/>
      <c r="FPU12" s="118"/>
      <c r="FPV12" s="118"/>
      <c r="FPW12" s="118"/>
      <c r="FPX12" s="118"/>
      <c r="FPY12" s="118"/>
      <c r="FPZ12" s="118"/>
      <c r="FQA12" s="118"/>
      <c r="FQB12" s="118"/>
      <c r="FQC12" s="118"/>
      <c r="FQD12" s="118"/>
      <c r="FQE12" s="118"/>
      <c r="FQF12" s="118"/>
      <c r="FQG12" s="118"/>
      <c r="FQH12" s="118"/>
      <c r="FQI12" s="118"/>
      <c r="FQJ12" s="118"/>
      <c r="FQK12" s="118"/>
      <c r="FQL12" s="118"/>
      <c r="FQM12" s="118"/>
      <c r="FQN12" s="118"/>
      <c r="FQO12" s="118"/>
      <c r="FQP12" s="118"/>
      <c r="FQQ12" s="118"/>
      <c r="FQR12" s="118"/>
      <c r="FQS12" s="118"/>
      <c r="FQT12" s="118"/>
      <c r="FQU12" s="118"/>
      <c r="FQV12" s="118"/>
      <c r="FQW12" s="118"/>
      <c r="FQX12" s="118"/>
      <c r="FQY12" s="118"/>
      <c r="FQZ12" s="118"/>
      <c r="FRA12" s="118"/>
      <c r="FRB12" s="118"/>
      <c r="FRC12" s="118"/>
      <c r="FRD12" s="118"/>
      <c r="FRE12" s="118"/>
      <c r="FRF12" s="118"/>
      <c r="FRG12" s="118"/>
      <c r="FRH12" s="118"/>
      <c r="FRI12" s="118"/>
      <c r="FRJ12" s="118"/>
      <c r="FRK12" s="118"/>
      <c r="FRL12" s="118"/>
      <c r="FRM12" s="118"/>
      <c r="FRN12" s="118"/>
      <c r="FRO12" s="118"/>
      <c r="FRP12" s="118"/>
      <c r="FRQ12" s="118"/>
      <c r="FRR12" s="118"/>
      <c r="FRS12" s="118"/>
      <c r="FRT12" s="118"/>
      <c r="FRU12" s="118"/>
      <c r="FRV12" s="118"/>
      <c r="FRW12" s="118"/>
      <c r="FRX12" s="118"/>
      <c r="FRY12" s="118"/>
      <c r="FRZ12" s="118"/>
      <c r="FSA12" s="118"/>
      <c r="FSB12" s="118"/>
      <c r="FSC12" s="118"/>
      <c r="FSD12" s="118"/>
      <c r="FSE12" s="118"/>
      <c r="FSF12" s="118"/>
      <c r="FSG12" s="118"/>
      <c r="FSH12" s="118"/>
      <c r="FSI12" s="118"/>
      <c r="FSJ12" s="118"/>
      <c r="FSK12" s="118"/>
      <c r="FSL12" s="118"/>
      <c r="FSM12" s="118"/>
      <c r="FSN12" s="118"/>
      <c r="FSO12" s="118"/>
      <c r="FSP12" s="118"/>
      <c r="FSQ12" s="118"/>
      <c r="FSR12" s="118"/>
      <c r="FSS12" s="118"/>
      <c r="FST12" s="118"/>
      <c r="FSU12" s="118"/>
      <c r="FSV12" s="118"/>
      <c r="FSW12" s="118"/>
      <c r="FSX12" s="118"/>
      <c r="FSY12" s="118"/>
      <c r="FSZ12" s="118"/>
      <c r="FTA12" s="118"/>
      <c r="FTB12" s="118"/>
      <c r="FTC12" s="118"/>
      <c r="FTD12" s="118"/>
      <c r="FTE12" s="118"/>
      <c r="FTF12" s="118"/>
      <c r="FTG12" s="118"/>
      <c r="FTH12" s="118"/>
      <c r="FTI12" s="118"/>
      <c r="FTJ12" s="118"/>
      <c r="FTK12" s="118"/>
      <c r="FTL12" s="118"/>
      <c r="FTM12" s="118"/>
      <c r="FTN12" s="118"/>
      <c r="FTO12" s="118"/>
      <c r="FTP12" s="118"/>
      <c r="FTQ12" s="118"/>
      <c r="FTR12" s="118"/>
      <c r="FTS12" s="118"/>
      <c r="FTT12" s="118"/>
      <c r="FTU12" s="118"/>
      <c r="FTV12" s="118"/>
      <c r="FTW12" s="118"/>
      <c r="FTX12" s="118"/>
      <c r="FTY12" s="118"/>
      <c r="FTZ12" s="118"/>
      <c r="FUA12" s="118"/>
      <c r="FUB12" s="118"/>
      <c r="FUC12" s="118"/>
      <c r="FUD12" s="118"/>
      <c r="FUE12" s="118"/>
      <c r="FUF12" s="118"/>
      <c r="FUG12" s="118"/>
      <c r="FUH12" s="118"/>
      <c r="FUI12" s="118"/>
      <c r="FUJ12" s="118"/>
      <c r="FUK12" s="118"/>
      <c r="FUL12" s="118"/>
      <c r="FUM12" s="118"/>
      <c r="FUN12" s="118"/>
      <c r="FUO12" s="118"/>
      <c r="FUP12" s="118"/>
      <c r="FUQ12" s="118"/>
      <c r="FUR12" s="118"/>
      <c r="FUS12" s="118"/>
      <c r="FUT12" s="118"/>
      <c r="FUU12" s="118"/>
      <c r="FUV12" s="118"/>
      <c r="FUW12" s="118"/>
      <c r="FUX12" s="118"/>
      <c r="FUY12" s="118"/>
      <c r="FUZ12" s="118"/>
      <c r="FVA12" s="118"/>
      <c r="FVB12" s="118"/>
      <c r="FVC12" s="118"/>
      <c r="FVD12" s="118"/>
      <c r="FVE12" s="118"/>
      <c r="FVF12" s="118"/>
      <c r="FVG12" s="118"/>
      <c r="FVH12" s="118"/>
      <c r="FVI12" s="118"/>
      <c r="FVJ12" s="118"/>
      <c r="FVK12" s="118"/>
      <c r="FVL12" s="118"/>
      <c r="FVM12" s="118"/>
      <c r="FVN12" s="118"/>
      <c r="FVO12" s="118"/>
      <c r="FVP12" s="118"/>
      <c r="FVQ12" s="118"/>
      <c r="FVR12" s="118"/>
      <c r="FVS12" s="118"/>
      <c r="FVT12" s="118"/>
      <c r="FVU12" s="118"/>
      <c r="FVV12" s="118"/>
      <c r="FVW12" s="118"/>
      <c r="FVX12" s="118"/>
      <c r="FVY12" s="118"/>
      <c r="FVZ12" s="118"/>
      <c r="FWA12" s="118"/>
      <c r="FWB12" s="118"/>
      <c r="FWC12" s="118"/>
      <c r="FWD12" s="118"/>
      <c r="FWE12" s="118"/>
      <c r="FWF12" s="118"/>
      <c r="FWG12" s="118"/>
      <c r="FWH12" s="118"/>
      <c r="FWI12" s="118"/>
      <c r="FWJ12" s="118"/>
      <c r="FWK12" s="118"/>
      <c r="FWL12" s="118"/>
      <c r="FWM12" s="118"/>
      <c r="FWN12" s="118"/>
      <c r="FWO12" s="118"/>
      <c r="FWP12" s="118"/>
      <c r="FWQ12" s="118"/>
      <c r="FWR12" s="118"/>
      <c r="FWS12" s="118"/>
      <c r="FWT12" s="118"/>
      <c r="FWU12" s="118"/>
      <c r="FWV12" s="118"/>
      <c r="FWW12" s="118"/>
      <c r="FWX12" s="118"/>
      <c r="FWY12" s="118"/>
      <c r="FWZ12" s="118"/>
      <c r="FXA12" s="118"/>
      <c r="FXB12" s="118"/>
      <c r="FXC12" s="118"/>
      <c r="FXD12" s="118"/>
      <c r="FXE12" s="118"/>
      <c r="FXF12" s="118"/>
      <c r="FXG12" s="118"/>
      <c r="FXH12" s="118"/>
      <c r="FXI12" s="118"/>
      <c r="FXJ12" s="118"/>
      <c r="FXK12" s="118"/>
      <c r="FXL12" s="118"/>
      <c r="FXM12" s="118"/>
      <c r="FXN12" s="118"/>
      <c r="FXO12" s="118"/>
      <c r="FXP12" s="118"/>
      <c r="FXQ12" s="118"/>
      <c r="FXR12" s="118"/>
      <c r="FXS12" s="118"/>
      <c r="FXT12" s="118"/>
      <c r="FXU12" s="118"/>
      <c r="FXV12" s="118"/>
      <c r="FXW12" s="118"/>
      <c r="FXX12" s="118"/>
      <c r="FXY12" s="118"/>
      <c r="FXZ12" s="118"/>
      <c r="FYA12" s="118"/>
      <c r="FYB12" s="118"/>
      <c r="FYC12" s="118"/>
      <c r="FYD12" s="118"/>
      <c r="FYE12" s="118"/>
      <c r="FYF12" s="118"/>
      <c r="FYG12" s="118"/>
      <c r="FYH12" s="118"/>
      <c r="FYI12" s="118"/>
      <c r="FYJ12" s="118"/>
      <c r="FYK12" s="118"/>
      <c r="FYL12" s="118"/>
      <c r="FYM12" s="118"/>
      <c r="FYN12" s="118"/>
      <c r="FYO12" s="118"/>
      <c r="FYP12" s="118"/>
      <c r="FYQ12" s="118"/>
      <c r="FYR12" s="118"/>
      <c r="FYS12" s="118"/>
      <c r="FYT12" s="118"/>
      <c r="FYU12" s="118"/>
      <c r="FYV12" s="118"/>
      <c r="FYW12" s="118"/>
      <c r="FYX12" s="118"/>
      <c r="FYY12" s="118"/>
      <c r="FYZ12" s="118"/>
      <c r="FZA12" s="118"/>
      <c r="FZB12" s="118"/>
      <c r="FZC12" s="118"/>
      <c r="FZD12" s="118"/>
      <c r="FZE12" s="118"/>
      <c r="FZF12" s="118"/>
      <c r="FZG12" s="118"/>
      <c r="FZH12" s="118"/>
      <c r="FZI12" s="118"/>
      <c r="FZJ12" s="118"/>
      <c r="FZK12" s="118"/>
      <c r="FZL12" s="118"/>
      <c r="FZM12" s="118"/>
      <c r="FZN12" s="118"/>
      <c r="FZO12" s="118"/>
      <c r="FZP12" s="118"/>
      <c r="FZQ12" s="118"/>
      <c r="FZR12" s="118"/>
      <c r="FZS12" s="118"/>
      <c r="FZT12" s="118"/>
      <c r="FZU12" s="118"/>
      <c r="FZV12" s="118"/>
      <c r="FZW12" s="118"/>
      <c r="FZX12" s="118"/>
      <c r="FZY12" s="118"/>
      <c r="FZZ12" s="118"/>
      <c r="GAA12" s="118"/>
      <c r="GAB12" s="118"/>
      <c r="GAC12" s="118"/>
      <c r="GAD12" s="118"/>
      <c r="GAE12" s="118"/>
      <c r="GAF12" s="118"/>
      <c r="GAG12" s="118"/>
      <c r="GAH12" s="118"/>
      <c r="GAI12" s="118"/>
      <c r="GAJ12" s="118"/>
      <c r="GAK12" s="118"/>
      <c r="GAL12" s="118"/>
      <c r="GAM12" s="118"/>
      <c r="GAN12" s="118"/>
      <c r="GAO12" s="118"/>
      <c r="GAP12" s="118"/>
      <c r="GAQ12" s="118"/>
      <c r="GAR12" s="118"/>
      <c r="GAS12" s="118"/>
      <c r="GAT12" s="118"/>
      <c r="GAU12" s="118"/>
      <c r="GAV12" s="118"/>
      <c r="GAW12" s="118"/>
      <c r="GAX12" s="118"/>
      <c r="GAY12" s="118"/>
      <c r="GAZ12" s="118"/>
      <c r="GBA12" s="118"/>
      <c r="GBB12" s="118"/>
      <c r="GBC12" s="118"/>
      <c r="GBD12" s="118"/>
      <c r="GBE12" s="118"/>
      <c r="GBF12" s="118"/>
      <c r="GBG12" s="118"/>
      <c r="GBH12" s="118"/>
      <c r="GBI12" s="118"/>
      <c r="GBJ12" s="118"/>
      <c r="GBK12" s="118"/>
      <c r="GBL12" s="118"/>
      <c r="GBM12" s="118"/>
      <c r="GBN12" s="118"/>
      <c r="GBO12" s="118"/>
      <c r="GBP12" s="118"/>
      <c r="GBQ12" s="118"/>
      <c r="GBR12" s="118"/>
      <c r="GBS12" s="118"/>
      <c r="GBT12" s="118"/>
      <c r="GBU12" s="118"/>
      <c r="GBV12" s="118"/>
      <c r="GBW12" s="118"/>
      <c r="GBX12" s="118"/>
      <c r="GBY12" s="118"/>
      <c r="GBZ12" s="118"/>
      <c r="GCA12" s="118"/>
      <c r="GCB12" s="118"/>
      <c r="GCC12" s="118"/>
      <c r="GCD12" s="118"/>
      <c r="GCE12" s="118"/>
      <c r="GCF12" s="118"/>
      <c r="GCG12" s="118"/>
      <c r="GCH12" s="118"/>
      <c r="GCI12" s="118"/>
      <c r="GCJ12" s="118"/>
      <c r="GCK12" s="118"/>
      <c r="GCL12" s="118"/>
      <c r="GCM12" s="118"/>
      <c r="GCN12" s="118"/>
      <c r="GCO12" s="118"/>
      <c r="GCP12" s="118"/>
      <c r="GCQ12" s="118"/>
      <c r="GCR12" s="118"/>
      <c r="GCS12" s="118"/>
      <c r="GCT12" s="118"/>
      <c r="GCU12" s="118"/>
      <c r="GCV12" s="118"/>
      <c r="GCW12" s="118"/>
      <c r="GCX12" s="118"/>
      <c r="GCY12" s="118"/>
      <c r="GCZ12" s="118"/>
      <c r="GDA12" s="118"/>
      <c r="GDB12" s="118"/>
      <c r="GDC12" s="118"/>
      <c r="GDD12" s="118"/>
      <c r="GDE12" s="118"/>
      <c r="GDF12" s="118"/>
      <c r="GDG12" s="118"/>
      <c r="GDH12" s="118"/>
      <c r="GDI12" s="118"/>
      <c r="GDJ12" s="118"/>
      <c r="GDK12" s="118"/>
      <c r="GDL12" s="118"/>
      <c r="GDM12" s="118"/>
      <c r="GDN12" s="118"/>
      <c r="GDO12" s="118"/>
      <c r="GDP12" s="118"/>
      <c r="GDQ12" s="118"/>
      <c r="GDR12" s="118"/>
      <c r="GDS12" s="118"/>
      <c r="GDT12" s="118"/>
      <c r="GDU12" s="118"/>
      <c r="GDV12" s="118"/>
      <c r="GDW12" s="118"/>
      <c r="GDX12" s="118"/>
      <c r="GDY12" s="118"/>
      <c r="GDZ12" s="118"/>
      <c r="GEA12" s="118"/>
      <c r="GEB12" s="118"/>
      <c r="GEC12" s="118"/>
      <c r="GED12" s="118"/>
      <c r="GEE12" s="118"/>
      <c r="GEF12" s="118"/>
      <c r="GEG12" s="118"/>
      <c r="GEH12" s="118"/>
      <c r="GEI12" s="118"/>
      <c r="GEJ12" s="118"/>
      <c r="GEK12" s="118"/>
      <c r="GEL12" s="118"/>
      <c r="GEM12" s="118"/>
      <c r="GEN12" s="118"/>
      <c r="GEO12" s="118"/>
      <c r="GEP12" s="118"/>
      <c r="GEQ12" s="118"/>
      <c r="GER12" s="118"/>
      <c r="GES12" s="118"/>
      <c r="GET12" s="118"/>
      <c r="GEU12" s="118"/>
      <c r="GEV12" s="118"/>
      <c r="GEW12" s="118"/>
      <c r="GEX12" s="118"/>
      <c r="GEY12" s="118"/>
      <c r="GEZ12" s="118"/>
      <c r="GFA12" s="118"/>
      <c r="GFB12" s="118"/>
      <c r="GFC12" s="118"/>
      <c r="GFD12" s="118"/>
      <c r="GFE12" s="118"/>
      <c r="GFF12" s="118"/>
      <c r="GFG12" s="118"/>
      <c r="GFH12" s="118"/>
      <c r="GFI12" s="118"/>
      <c r="GFJ12" s="118"/>
      <c r="GFK12" s="118"/>
      <c r="GFL12" s="118"/>
      <c r="GFM12" s="118"/>
      <c r="GFN12" s="118"/>
      <c r="GFO12" s="118"/>
      <c r="GFP12" s="118"/>
      <c r="GFQ12" s="118"/>
      <c r="GFR12" s="118"/>
      <c r="GFS12" s="118"/>
      <c r="GFT12" s="118"/>
      <c r="GFU12" s="118"/>
      <c r="GFV12" s="118"/>
      <c r="GFW12" s="118"/>
      <c r="GFX12" s="118"/>
      <c r="GFY12" s="118"/>
      <c r="GFZ12" s="118"/>
      <c r="GGA12" s="118"/>
      <c r="GGB12" s="118"/>
      <c r="GGC12" s="118"/>
      <c r="GGD12" s="118"/>
      <c r="GGE12" s="118"/>
      <c r="GGF12" s="118"/>
      <c r="GGG12" s="118"/>
      <c r="GGH12" s="118"/>
      <c r="GGI12" s="118"/>
      <c r="GGJ12" s="118"/>
      <c r="GGK12" s="118"/>
      <c r="GGL12" s="118"/>
      <c r="GGM12" s="118"/>
      <c r="GGN12" s="118"/>
      <c r="GGO12" s="118"/>
      <c r="GGP12" s="118"/>
      <c r="GGQ12" s="118"/>
      <c r="GGR12" s="118"/>
      <c r="GGS12" s="118"/>
      <c r="GGT12" s="118"/>
      <c r="GGU12" s="118"/>
      <c r="GGV12" s="118"/>
      <c r="GGW12" s="118"/>
      <c r="GGX12" s="118"/>
      <c r="GGY12" s="118"/>
      <c r="GGZ12" s="118"/>
      <c r="GHA12" s="118"/>
      <c r="GHB12" s="118"/>
      <c r="GHC12" s="118"/>
      <c r="GHD12" s="118"/>
      <c r="GHE12" s="118"/>
      <c r="GHF12" s="118"/>
      <c r="GHG12" s="118"/>
      <c r="GHH12" s="118"/>
      <c r="GHI12" s="118"/>
      <c r="GHJ12" s="118"/>
      <c r="GHK12" s="118"/>
      <c r="GHL12" s="118"/>
      <c r="GHM12" s="118"/>
      <c r="GHN12" s="118"/>
      <c r="GHO12" s="118"/>
      <c r="GHP12" s="118"/>
      <c r="GHQ12" s="118"/>
      <c r="GHR12" s="118"/>
      <c r="GHS12" s="118"/>
      <c r="GHT12" s="118"/>
      <c r="GHU12" s="118"/>
      <c r="GHV12" s="118"/>
      <c r="GHW12" s="118"/>
      <c r="GHX12" s="118"/>
      <c r="GHY12" s="118"/>
      <c r="GHZ12" s="118"/>
      <c r="GIA12" s="118"/>
      <c r="GIB12" s="118"/>
      <c r="GIC12" s="118"/>
      <c r="GID12" s="118"/>
      <c r="GIE12" s="118"/>
      <c r="GIF12" s="118"/>
      <c r="GIG12" s="118"/>
      <c r="GIH12" s="118"/>
      <c r="GII12" s="118"/>
      <c r="GIJ12" s="118"/>
      <c r="GIK12" s="118"/>
      <c r="GIL12" s="118"/>
      <c r="GIM12" s="118"/>
      <c r="GIN12" s="118"/>
      <c r="GIO12" s="118"/>
      <c r="GIP12" s="118"/>
      <c r="GIQ12" s="118"/>
      <c r="GIR12" s="118"/>
      <c r="GIS12" s="118"/>
      <c r="GIT12" s="118"/>
      <c r="GIU12" s="118"/>
      <c r="GIV12" s="118"/>
      <c r="GIW12" s="118"/>
      <c r="GIX12" s="118"/>
      <c r="GIY12" s="118"/>
      <c r="GIZ12" s="118"/>
      <c r="GJA12" s="118"/>
      <c r="GJB12" s="118"/>
      <c r="GJC12" s="118"/>
      <c r="GJD12" s="118"/>
      <c r="GJE12" s="118"/>
      <c r="GJF12" s="118"/>
      <c r="GJG12" s="118"/>
      <c r="GJH12" s="118"/>
      <c r="GJI12" s="118"/>
      <c r="GJJ12" s="118"/>
      <c r="GJK12" s="118"/>
      <c r="GJL12" s="118"/>
      <c r="GJM12" s="118"/>
      <c r="GJN12" s="118"/>
      <c r="GJO12" s="118"/>
      <c r="GJP12" s="118"/>
      <c r="GJQ12" s="118"/>
      <c r="GJR12" s="118"/>
      <c r="GJS12" s="118"/>
      <c r="GJT12" s="118"/>
      <c r="GJU12" s="118"/>
      <c r="GJV12" s="118"/>
      <c r="GJW12" s="118"/>
      <c r="GJX12" s="118"/>
      <c r="GJY12" s="118"/>
      <c r="GJZ12" s="118"/>
      <c r="GKA12" s="118"/>
      <c r="GKB12" s="118"/>
      <c r="GKC12" s="118"/>
      <c r="GKD12" s="118"/>
      <c r="GKE12" s="118"/>
      <c r="GKF12" s="118"/>
      <c r="GKG12" s="118"/>
      <c r="GKH12" s="118"/>
      <c r="GKI12" s="118"/>
      <c r="GKJ12" s="118"/>
      <c r="GKK12" s="118"/>
      <c r="GKL12" s="118"/>
      <c r="GKM12" s="118"/>
      <c r="GKN12" s="118"/>
      <c r="GKO12" s="118"/>
      <c r="GKP12" s="118"/>
      <c r="GKQ12" s="118"/>
      <c r="GKR12" s="118"/>
      <c r="GKS12" s="118"/>
      <c r="GKT12" s="118"/>
      <c r="GKU12" s="118"/>
      <c r="GKV12" s="118"/>
      <c r="GKW12" s="118"/>
      <c r="GKX12" s="118"/>
      <c r="GKY12" s="118"/>
      <c r="GKZ12" s="118"/>
      <c r="GLA12" s="118"/>
      <c r="GLB12" s="118"/>
      <c r="GLC12" s="118"/>
      <c r="GLD12" s="118"/>
      <c r="GLE12" s="118"/>
      <c r="GLF12" s="118"/>
      <c r="GLG12" s="118"/>
      <c r="GLH12" s="118"/>
      <c r="GLI12" s="118"/>
      <c r="GLJ12" s="118"/>
      <c r="GLK12" s="118"/>
      <c r="GLL12" s="118"/>
      <c r="GLM12" s="118"/>
      <c r="GLN12" s="118"/>
      <c r="GLO12" s="118"/>
      <c r="GLP12" s="118"/>
      <c r="GLQ12" s="118"/>
      <c r="GLR12" s="118"/>
      <c r="GLS12" s="118"/>
      <c r="GLT12" s="118"/>
      <c r="GLU12" s="118"/>
      <c r="GLV12" s="118"/>
      <c r="GLW12" s="118"/>
      <c r="GLX12" s="118"/>
      <c r="GLY12" s="118"/>
      <c r="GLZ12" s="118"/>
      <c r="GMA12" s="118"/>
      <c r="GMB12" s="118"/>
      <c r="GMC12" s="118"/>
      <c r="GMD12" s="118"/>
      <c r="GME12" s="118"/>
      <c r="GMF12" s="118"/>
      <c r="GMG12" s="118"/>
      <c r="GMH12" s="118"/>
      <c r="GMI12" s="118"/>
      <c r="GMJ12" s="118"/>
      <c r="GMK12" s="118"/>
      <c r="GML12" s="118"/>
      <c r="GMM12" s="118"/>
      <c r="GMN12" s="118"/>
      <c r="GMO12" s="118"/>
      <c r="GMP12" s="118"/>
      <c r="GMQ12" s="118"/>
      <c r="GMR12" s="118"/>
      <c r="GMS12" s="118"/>
      <c r="GMT12" s="118"/>
      <c r="GMU12" s="118"/>
      <c r="GMV12" s="118"/>
      <c r="GMW12" s="118"/>
      <c r="GMX12" s="118"/>
      <c r="GMY12" s="118"/>
      <c r="GMZ12" s="118"/>
      <c r="GNA12" s="118"/>
      <c r="GNB12" s="118"/>
      <c r="GNC12" s="118"/>
      <c r="GND12" s="118"/>
      <c r="GNE12" s="118"/>
      <c r="GNF12" s="118"/>
      <c r="GNG12" s="118"/>
      <c r="GNH12" s="118"/>
      <c r="GNI12" s="118"/>
      <c r="GNJ12" s="118"/>
      <c r="GNK12" s="118"/>
      <c r="GNL12" s="118"/>
      <c r="GNM12" s="118"/>
      <c r="GNN12" s="118"/>
      <c r="GNO12" s="118"/>
      <c r="GNP12" s="118"/>
      <c r="GNQ12" s="118"/>
      <c r="GNR12" s="118"/>
      <c r="GNS12" s="118"/>
      <c r="GNT12" s="118"/>
      <c r="GNU12" s="118"/>
      <c r="GNV12" s="118"/>
      <c r="GNW12" s="118"/>
      <c r="GNX12" s="118"/>
      <c r="GNY12" s="118"/>
      <c r="GNZ12" s="118"/>
      <c r="GOA12" s="118"/>
      <c r="GOB12" s="118"/>
      <c r="GOC12" s="118"/>
      <c r="GOD12" s="118"/>
      <c r="GOE12" s="118"/>
      <c r="GOF12" s="118"/>
      <c r="GOG12" s="118"/>
      <c r="GOH12" s="118"/>
      <c r="GOI12" s="118"/>
      <c r="GOJ12" s="118"/>
      <c r="GOK12" s="118"/>
      <c r="GOL12" s="118"/>
      <c r="GOM12" s="118"/>
      <c r="GON12" s="118"/>
      <c r="GOO12" s="118"/>
      <c r="GOP12" s="118"/>
      <c r="GOQ12" s="118"/>
      <c r="GOR12" s="118"/>
      <c r="GOS12" s="118"/>
      <c r="GOT12" s="118"/>
      <c r="GOU12" s="118"/>
      <c r="GOV12" s="118"/>
      <c r="GOW12" s="118"/>
      <c r="GOX12" s="118"/>
      <c r="GOY12" s="118"/>
      <c r="GOZ12" s="118"/>
      <c r="GPA12" s="118"/>
      <c r="GPB12" s="118"/>
      <c r="GPC12" s="118"/>
      <c r="GPD12" s="118"/>
      <c r="GPE12" s="118"/>
      <c r="GPF12" s="118"/>
      <c r="GPG12" s="118"/>
      <c r="GPH12" s="118"/>
      <c r="GPI12" s="118"/>
      <c r="GPJ12" s="118"/>
      <c r="GPK12" s="118"/>
      <c r="GPL12" s="118"/>
      <c r="GPM12" s="118"/>
      <c r="GPN12" s="118"/>
      <c r="GPO12" s="118"/>
      <c r="GPP12" s="118"/>
      <c r="GPQ12" s="118"/>
      <c r="GPR12" s="118"/>
      <c r="GPS12" s="118"/>
      <c r="GPT12" s="118"/>
      <c r="GPU12" s="118"/>
      <c r="GPV12" s="118"/>
      <c r="GPW12" s="118"/>
      <c r="GPX12" s="118"/>
      <c r="GPY12" s="118"/>
      <c r="GPZ12" s="118"/>
      <c r="GQA12" s="118"/>
      <c r="GQB12" s="118"/>
      <c r="GQC12" s="118"/>
      <c r="GQD12" s="118"/>
      <c r="GQE12" s="118"/>
      <c r="GQF12" s="118"/>
      <c r="GQG12" s="118"/>
      <c r="GQH12" s="118"/>
      <c r="GQI12" s="118"/>
      <c r="GQJ12" s="118"/>
      <c r="GQK12" s="118"/>
      <c r="GQL12" s="118"/>
      <c r="GQM12" s="118"/>
      <c r="GQN12" s="118"/>
      <c r="GQO12" s="118"/>
      <c r="GQP12" s="118"/>
      <c r="GQQ12" s="118"/>
      <c r="GQR12" s="118"/>
      <c r="GQS12" s="118"/>
      <c r="GQT12" s="118"/>
      <c r="GQU12" s="118"/>
      <c r="GQV12" s="118"/>
      <c r="GQW12" s="118"/>
      <c r="GQX12" s="118"/>
      <c r="GQY12" s="118"/>
      <c r="GQZ12" s="118"/>
      <c r="GRA12" s="118"/>
      <c r="GRB12" s="118"/>
      <c r="GRC12" s="118"/>
      <c r="GRD12" s="118"/>
      <c r="GRE12" s="118"/>
      <c r="GRF12" s="118"/>
      <c r="GRG12" s="118"/>
      <c r="GRH12" s="118"/>
      <c r="GRI12" s="118"/>
      <c r="GRJ12" s="118"/>
      <c r="GRK12" s="118"/>
      <c r="GRL12" s="118"/>
      <c r="GRM12" s="118"/>
      <c r="GRN12" s="118"/>
      <c r="GRO12" s="118"/>
      <c r="GRP12" s="118"/>
      <c r="GRQ12" s="118"/>
      <c r="GRR12" s="118"/>
      <c r="GRS12" s="118"/>
      <c r="GRT12" s="118"/>
      <c r="GRU12" s="118"/>
      <c r="GRV12" s="118"/>
      <c r="GRW12" s="118"/>
      <c r="GRX12" s="118"/>
      <c r="GRY12" s="118"/>
      <c r="GRZ12" s="118"/>
      <c r="GSA12" s="118"/>
      <c r="GSB12" s="118"/>
      <c r="GSC12" s="118"/>
      <c r="GSD12" s="118"/>
      <c r="GSE12" s="118"/>
      <c r="GSF12" s="118"/>
      <c r="GSG12" s="118"/>
      <c r="GSH12" s="118"/>
      <c r="GSI12" s="118"/>
      <c r="GSJ12" s="118"/>
      <c r="GSK12" s="118"/>
      <c r="GSL12" s="118"/>
      <c r="GSM12" s="118"/>
      <c r="GSN12" s="118"/>
      <c r="GSO12" s="118"/>
      <c r="GSP12" s="118"/>
      <c r="GSQ12" s="118"/>
      <c r="GSR12" s="118"/>
      <c r="GSS12" s="118"/>
      <c r="GST12" s="118"/>
      <c r="GSU12" s="118"/>
      <c r="GSV12" s="118"/>
      <c r="GSW12" s="118"/>
      <c r="GSX12" s="118"/>
      <c r="GSY12" s="118"/>
      <c r="GSZ12" s="118"/>
      <c r="GTA12" s="118"/>
      <c r="GTB12" s="118"/>
      <c r="GTC12" s="118"/>
      <c r="GTD12" s="118"/>
      <c r="GTE12" s="118"/>
      <c r="GTF12" s="118"/>
      <c r="GTG12" s="118"/>
      <c r="GTH12" s="118"/>
      <c r="GTI12" s="118"/>
      <c r="GTJ12" s="118"/>
      <c r="GTK12" s="118"/>
      <c r="GTL12" s="118"/>
      <c r="GTM12" s="118"/>
      <c r="GTN12" s="118"/>
      <c r="GTO12" s="118"/>
      <c r="GTP12" s="118"/>
      <c r="GTQ12" s="118"/>
      <c r="GTR12" s="118"/>
      <c r="GTS12" s="118"/>
      <c r="GTT12" s="118"/>
      <c r="GTU12" s="118"/>
      <c r="GTV12" s="118"/>
      <c r="GTW12" s="118"/>
      <c r="GTX12" s="118"/>
      <c r="GTY12" s="118"/>
      <c r="GTZ12" s="118"/>
      <c r="GUA12" s="118"/>
      <c r="GUB12" s="118"/>
      <c r="GUC12" s="118"/>
      <c r="GUD12" s="118"/>
      <c r="GUE12" s="118"/>
      <c r="GUF12" s="118"/>
      <c r="GUG12" s="118"/>
      <c r="GUH12" s="118"/>
      <c r="GUI12" s="118"/>
      <c r="GUJ12" s="118"/>
      <c r="GUK12" s="118"/>
      <c r="GUL12" s="118"/>
      <c r="GUM12" s="118"/>
      <c r="GUN12" s="118"/>
      <c r="GUO12" s="118"/>
      <c r="GUP12" s="118"/>
      <c r="GUQ12" s="118"/>
      <c r="GUR12" s="118"/>
      <c r="GUS12" s="118"/>
      <c r="GUT12" s="118"/>
      <c r="GUU12" s="118"/>
      <c r="GUV12" s="118"/>
      <c r="GUW12" s="118"/>
      <c r="GUX12" s="118"/>
      <c r="GUY12" s="118"/>
      <c r="GUZ12" s="118"/>
      <c r="GVA12" s="118"/>
      <c r="GVB12" s="118"/>
      <c r="GVC12" s="118"/>
      <c r="GVD12" s="118"/>
      <c r="GVE12" s="118"/>
      <c r="GVF12" s="118"/>
      <c r="GVG12" s="118"/>
      <c r="GVH12" s="118"/>
      <c r="GVI12" s="118"/>
      <c r="GVJ12" s="118"/>
      <c r="GVK12" s="118"/>
      <c r="GVL12" s="118"/>
      <c r="GVM12" s="118"/>
      <c r="GVN12" s="118"/>
      <c r="GVO12" s="118"/>
      <c r="GVP12" s="118"/>
      <c r="GVQ12" s="118"/>
      <c r="GVR12" s="118"/>
      <c r="GVS12" s="118"/>
      <c r="GVT12" s="118"/>
      <c r="GVU12" s="118"/>
      <c r="GVV12" s="118"/>
      <c r="GVW12" s="118"/>
      <c r="GVX12" s="118"/>
      <c r="GVY12" s="118"/>
      <c r="GVZ12" s="118"/>
      <c r="GWA12" s="118"/>
      <c r="GWB12" s="118"/>
      <c r="GWC12" s="118"/>
      <c r="GWD12" s="118"/>
      <c r="GWE12" s="118"/>
      <c r="GWF12" s="118"/>
      <c r="GWG12" s="118"/>
      <c r="GWH12" s="118"/>
      <c r="GWI12" s="118"/>
      <c r="GWJ12" s="118"/>
      <c r="GWK12" s="118"/>
      <c r="GWL12" s="118"/>
      <c r="GWM12" s="118"/>
      <c r="GWN12" s="118"/>
      <c r="GWO12" s="118"/>
      <c r="GWP12" s="118"/>
      <c r="GWQ12" s="118"/>
      <c r="GWR12" s="118"/>
      <c r="GWS12" s="118"/>
      <c r="GWT12" s="118"/>
      <c r="GWU12" s="118"/>
      <c r="GWV12" s="118"/>
      <c r="GWW12" s="118"/>
      <c r="GWX12" s="118"/>
      <c r="GWY12" s="118"/>
      <c r="GWZ12" s="118"/>
      <c r="GXA12" s="118"/>
      <c r="GXB12" s="118"/>
      <c r="GXC12" s="118"/>
      <c r="GXD12" s="118"/>
      <c r="GXE12" s="118"/>
      <c r="GXF12" s="118"/>
      <c r="GXG12" s="118"/>
      <c r="GXH12" s="118"/>
      <c r="GXI12" s="118"/>
      <c r="GXJ12" s="118"/>
      <c r="GXK12" s="118"/>
      <c r="GXL12" s="118"/>
      <c r="GXM12" s="118"/>
      <c r="GXN12" s="118"/>
      <c r="GXO12" s="118"/>
      <c r="GXP12" s="118"/>
      <c r="GXQ12" s="118"/>
      <c r="GXR12" s="118"/>
      <c r="GXS12" s="118"/>
      <c r="GXT12" s="118"/>
      <c r="GXU12" s="118"/>
      <c r="GXV12" s="118"/>
      <c r="GXW12" s="118"/>
      <c r="GXX12" s="118"/>
      <c r="GXY12" s="118"/>
      <c r="GXZ12" s="118"/>
      <c r="GYA12" s="118"/>
      <c r="GYB12" s="118"/>
      <c r="GYC12" s="118"/>
      <c r="GYD12" s="118"/>
      <c r="GYE12" s="118"/>
      <c r="GYF12" s="118"/>
      <c r="GYG12" s="118"/>
      <c r="GYH12" s="118"/>
      <c r="GYI12" s="118"/>
      <c r="GYJ12" s="118"/>
      <c r="GYK12" s="118"/>
      <c r="GYL12" s="118"/>
      <c r="GYM12" s="118"/>
      <c r="GYN12" s="118"/>
      <c r="GYO12" s="118"/>
      <c r="GYP12" s="118"/>
      <c r="GYQ12" s="118"/>
      <c r="GYR12" s="118"/>
      <c r="GYS12" s="118"/>
      <c r="GYT12" s="118"/>
      <c r="GYU12" s="118"/>
      <c r="GYV12" s="118"/>
      <c r="GYW12" s="118"/>
      <c r="GYX12" s="118"/>
      <c r="GYY12" s="118"/>
      <c r="GYZ12" s="118"/>
      <c r="GZA12" s="118"/>
      <c r="GZB12" s="118"/>
      <c r="GZC12" s="118"/>
      <c r="GZD12" s="118"/>
      <c r="GZE12" s="118"/>
      <c r="GZF12" s="118"/>
      <c r="GZG12" s="118"/>
      <c r="GZH12" s="118"/>
      <c r="GZI12" s="118"/>
      <c r="GZJ12" s="118"/>
      <c r="GZK12" s="118"/>
      <c r="GZL12" s="118"/>
      <c r="GZM12" s="118"/>
      <c r="GZN12" s="118"/>
      <c r="GZO12" s="118"/>
      <c r="GZP12" s="118"/>
      <c r="GZQ12" s="118"/>
      <c r="GZR12" s="118"/>
      <c r="GZS12" s="118"/>
      <c r="GZT12" s="118"/>
      <c r="GZU12" s="118"/>
      <c r="GZV12" s="118"/>
      <c r="GZW12" s="118"/>
      <c r="GZX12" s="118"/>
      <c r="GZY12" s="118"/>
      <c r="GZZ12" s="118"/>
      <c r="HAA12" s="118"/>
      <c r="HAB12" s="118"/>
      <c r="HAC12" s="118"/>
      <c r="HAD12" s="118"/>
      <c r="HAE12" s="118"/>
      <c r="HAF12" s="118"/>
      <c r="HAG12" s="118"/>
      <c r="HAH12" s="118"/>
      <c r="HAI12" s="118"/>
      <c r="HAJ12" s="118"/>
      <c r="HAK12" s="118"/>
      <c r="HAL12" s="118"/>
      <c r="HAM12" s="118"/>
      <c r="HAN12" s="118"/>
      <c r="HAO12" s="118"/>
      <c r="HAP12" s="118"/>
      <c r="HAQ12" s="118"/>
      <c r="HAR12" s="118"/>
      <c r="HAS12" s="118"/>
      <c r="HAT12" s="118"/>
      <c r="HAU12" s="118"/>
      <c r="HAV12" s="118"/>
      <c r="HAW12" s="118"/>
      <c r="HAX12" s="118"/>
      <c r="HAY12" s="118"/>
      <c r="HAZ12" s="118"/>
      <c r="HBA12" s="118"/>
      <c r="HBB12" s="118"/>
      <c r="HBC12" s="118"/>
      <c r="HBD12" s="118"/>
      <c r="HBE12" s="118"/>
      <c r="HBF12" s="118"/>
      <c r="HBG12" s="118"/>
      <c r="HBH12" s="118"/>
      <c r="HBI12" s="118"/>
      <c r="HBJ12" s="118"/>
      <c r="HBK12" s="118"/>
      <c r="HBL12" s="118"/>
      <c r="HBM12" s="118"/>
      <c r="HBN12" s="118"/>
      <c r="HBO12" s="118"/>
      <c r="HBP12" s="118"/>
      <c r="HBQ12" s="118"/>
      <c r="HBR12" s="118"/>
      <c r="HBS12" s="118"/>
      <c r="HBT12" s="118"/>
      <c r="HBU12" s="118"/>
      <c r="HBV12" s="118"/>
      <c r="HBW12" s="118"/>
      <c r="HBX12" s="118"/>
      <c r="HBY12" s="118"/>
      <c r="HBZ12" s="118"/>
      <c r="HCA12" s="118"/>
      <c r="HCB12" s="118"/>
      <c r="HCC12" s="118"/>
      <c r="HCD12" s="118"/>
      <c r="HCE12" s="118"/>
      <c r="HCF12" s="118"/>
      <c r="HCG12" s="118"/>
      <c r="HCH12" s="118"/>
      <c r="HCI12" s="118"/>
      <c r="HCJ12" s="118"/>
      <c r="HCK12" s="118"/>
      <c r="HCL12" s="118"/>
      <c r="HCM12" s="118"/>
      <c r="HCN12" s="118"/>
      <c r="HCO12" s="118"/>
      <c r="HCP12" s="118"/>
      <c r="HCQ12" s="118"/>
      <c r="HCR12" s="118"/>
      <c r="HCS12" s="118"/>
      <c r="HCT12" s="118"/>
      <c r="HCU12" s="118"/>
      <c r="HCV12" s="118"/>
      <c r="HCW12" s="118"/>
      <c r="HCX12" s="118"/>
      <c r="HCY12" s="118"/>
      <c r="HCZ12" s="118"/>
      <c r="HDA12" s="118"/>
      <c r="HDB12" s="118"/>
      <c r="HDC12" s="118"/>
      <c r="HDD12" s="118"/>
      <c r="HDE12" s="118"/>
      <c r="HDF12" s="118"/>
      <c r="HDG12" s="118"/>
      <c r="HDH12" s="118"/>
      <c r="HDI12" s="118"/>
      <c r="HDJ12" s="118"/>
      <c r="HDK12" s="118"/>
      <c r="HDL12" s="118"/>
      <c r="HDM12" s="118"/>
      <c r="HDN12" s="118"/>
      <c r="HDO12" s="118"/>
      <c r="HDP12" s="118"/>
      <c r="HDQ12" s="118"/>
      <c r="HDR12" s="118"/>
      <c r="HDS12" s="118"/>
      <c r="HDT12" s="118"/>
      <c r="HDU12" s="118"/>
      <c r="HDV12" s="118"/>
      <c r="HDW12" s="118"/>
      <c r="HDX12" s="118"/>
      <c r="HDY12" s="118"/>
      <c r="HDZ12" s="118"/>
      <c r="HEA12" s="118"/>
      <c r="HEB12" s="118"/>
      <c r="HEC12" s="118"/>
      <c r="HED12" s="118"/>
      <c r="HEE12" s="118"/>
      <c r="HEF12" s="118"/>
      <c r="HEG12" s="118"/>
      <c r="HEH12" s="118"/>
      <c r="HEI12" s="118"/>
      <c r="HEJ12" s="118"/>
      <c r="HEK12" s="118"/>
      <c r="HEL12" s="118"/>
      <c r="HEM12" s="118"/>
      <c r="HEN12" s="118"/>
      <c r="HEO12" s="118"/>
      <c r="HEP12" s="118"/>
      <c r="HEQ12" s="118"/>
      <c r="HER12" s="118"/>
      <c r="HES12" s="118"/>
      <c r="HET12" s="118"/>
      <c r="HEU12" s="118"/>
      <c r="HEV12" s="118"/>
      <c r="HEW12" s="118"/>
      <c r="HEX12" s="118"/>
      <c r="HEY12" s="118"/>
      <c r="HEZ12" s="118"/>
      <c r="HFA12" s="118"/>
      <c r="HFB12" s="118"/>
      <c r="HFC12" s="118"/>
      <c r="HFD12" s="118"/>
      <c r="HFE12" s="118"/>
      <c r="HFF12" s="118"/>
      <c r="HFG12" s="118"/>
      <c r="HFH12" s="118"/>
      <c r="HFI12" s="118"/>
      <c r="HFJ12" s="118"/>
      <c r="HFK12" s="118"/>
      <c r="HFL12" s="118"/>
      <c r="HFM12" s="118"/>
      <c r="HFN12" s="118"/>
      <c r="HFO12" s="118"/>
      <c r="HFP12" s="118"/>
      <c r="HFQ12" s="118"/>
      <c r="HFR12" s="118"/>
      <c r="HFS12" s="118"/>
      <c r="HFT12" s="118"/>
      <c r="HFU12" s="118"/>
      <c r="HFV12" s="118"/>
      <c r="HFW12" s="118"/>
      <c r="HFX12" s="118"/>
      <c r="HFY12" s="118"/>
      <c r="HFZ12" s="118"/>
      <c r="HGA12" s="118"/>
      <c r="HGB12" s="118"/>
      <c r="HGC12" s="118"/>
      <c r="HGD12" s="118"/>
      <c r="HGE12" s="118"/>
      <c r="HGF12" s="118"/>
      <c r="HGG12" s="118"/>
      <c r="HGH12" s="118"/>
      <c r="HGI12" s="118"/>
      <c r="HGJ12" s="118"/>
      <c r="HGK12" s="118"/>
      <c r="HGL12" s="118"/>
      <c r="HGM12" s="118"/>
      <c r="HGN12" s="118"/>
      <c r="HGO12" s="118"/>
      <c r="HGP12" s="118"/>
      <c r="HGQ12" s="118"/>
      <c r="HGR12" s="118"/>
      <c r="HGS12" s="118"/>
      <c r="HGT12" s="118"/>
      <c r="HGU12" s="118"/>
      <c r="HGV12" s="118"/>
      <c r="HGW12" s="118"/>
      <c r="HGX12" s="118"/>
      <c r="HGY12" s="118"/>
      <c r="HGZ12" s="118"/>
      <c r="HHA12" s="118"/>
      <c r="HHB12" s="118"/>
      <c r="HHC12" s="118"/>
      <c r="HHD12" s="118"/>
      <c r="HHE12" s="118"/>
      <c r="HHF12" s="118"/>
      <c r="HHG12" s="118"/>
      <c r="HHH12" s="118"/>
      <c r="HHI12" s="118"/>
      <c r="HHJ12" s="118"/>
      <c r="HHK12" s="118"/>
      <c r="HHL12" s="118"/>
      <c r="HHM12" s="118"/>
      <c r="HHN12" s="118"/>
      <c r="HHO12" s="118"/>
      <c r="HHP12" s="118"/>
      <c r="HHQ12" s="118"/>
      <c r="HHR12" s="118"/>
      <c r="HHS12" s="118"/>
      <c r="HHT12" s="118"/>
      <c r="HHU12" s="118"/>
      <c r="HHV12" s="118"/>
      <c r="HHW12" s="118"/>
      <c r="HHX12" s="118"/>
      <c r="HHY12" s="118"/>
      <c r="HHZ12" s="118"/>
      <c r="HIA12" s="118"/>
      <c r="HIB12" s="118"/>
      <c r="HIC12" s="118"/>
      <c r="HID12" s="118"/>
      <c r="HIE12" s="118"/>
      <c r="HIF12" s="118"/>
      <c r="HIG12" s="118"/>
      <c r="HIH12" s="118"/>
      <c r="HII12" s="118"/>
      <c r="HIJ12" s="118"/>
      <c r="HIK12" s="118"/>
      <c r="HIL12" s="118"/>
      <c r="HIM12" s="118"/>
      <c r="HIN12" s="118"/>
      <c r="HIO12" s="118"/>
      <c r="HIP12" s="118"/>
      <c r="HIQ12" s="118"/>
      <c r="HIR12" s="118"/>
      <c r="HIS12" s="118"/>
      <c r="HIT12" s="118"/>
      <c r="HIU12" s="118"/>
      <c r="HIV12" s="118"/>
      <c r="HIW12" s="118"/>
      <c r="HIX12" s="118"/>
      <c r="HIY12" s="118"/>
      <c r="HIZ12" s="118"/>
      <c r="HJA12" s="118"/>
      <c r="HJB12" s="118"/>
      <c r="HJC12" s="118"/>
      <c r="HJD12" s="118"/>
      <c r="HJE12" s="118"/>
      <c r="HJF12" s="118"/>
      <c r="HJG12" s="118"/>
      <c r="HJH12" s="118"/>
      <c r="HJI12" s="118"/>
      <c r="HJJ12" s="118"/>
      <c r="HJK12" s="118"/>
      <c r="HJL12" s="118"/>
      <c r="HJM12" s="118"/>
      <c r="HJN12" s="118"/>
      <c r="HJO12" s="118"/>
      <c r="HJP12" s="118"/>
      <c r="HJQ12" s="118"/>
      <c r="HJR12" s="118"/>
      <c r="HJS12" s="118"/>
      <c r="HJT12" s="118"/>
      <c r="HJU12" s="118"/>
      <c r="HJV12" s="118"/>
      <c r="HJW12" s="118"/>
      <c r="HJX12" s="118"/>
      <c r="HJY12" s="118"/>
      <c r="HJZ12" s="118"/>
      <c r="HKA12" s="118"/>
      <c r="HKB12" s="118"/>
      <c r="HKC12" s="118"/>
      <c r="HKD12" s="118"/>
      <c r="HKE12" s="118"/>
      <c r="HKF12" s="118"/>
      <c r="HKG12" s="118"/>
      <c r="HKH12" s="118"/>
      <c r="HKI12" s="118"/>
      <c r="HKJ12" s="118"/>
      <c r="HKK12" s="118"/>
      <c r="HKL12" s="118"/>
      <c r="HKM12" s="118"/>
      <c r="HKN12" s="118"/>
      <c r="HKO12" s="118"/>
      <c r="HKP12" s="118"/>
      <c r="HKQ12" s="118"/>
      <c r="HKR12" s="118"/>
      <c r="HKS12" s="118"/>
      <c r="HKT12" s="118"/>
      <c r="HKU12" s="118"/>
      <c r="HKV12" s="118"/>
      <c r="HKW12" s="118"/>
      <c r="HKX12" s="118"/>
      <c r="HKY12" s="118"/>
      <c r="HKZ12" s="118"/>
      <c r="HLA12" s="118"/>
      <c r="HLB12" s="118"/>
      <c r="HLC12" s="118"/>
      <c r="HLD12" s="118"/>
      <c r="HLE12" s="118"/>
      <c r="HLF12" s="118"/>
      <c r="HLG12" s="118"/>
      <c r="HLH12" s="118"/>
      <c r="HLI12" s="118"/>
      <c r="HLJ12" s="118"/>
      <c r="HLK12" s="118"/>
      <c r="HLL12" s="118"/>
      <c r="HLM12" s="118"/>
      <c r="HLN12" s="118"/>
      <c r="HLO12" s="118"/>
      <c r="HLP12" s="118"/>
      <c r="HLQ12" s="118"/>
      <c r="HLR12" s="118"/>
      <c r="HLS12" s="118"/>
      <c r="HLT12" s="118"/>
      <c r="HLU12" s="118"/>
      <c r="HLV12" s="118"/>
      <c r="HLW12" s="118"/>
      <c r="HLX12" s="118"/>
      <c r="HLY12" s="118"/>
      <c r="HLZ12" s="118"/>
      <c r="HMA12" s="118"/>
      <c r="HMB12" s="118"/>
      <c r="HMC12" s="118"/>
      <c r="HMD12" s="118"/>
      <c r="HME12" s="118"/>
      <c r="HMF12" s="118"/>
      <c r="HMG12" s="118"/>
      <c r="HMH12" s="118"/>
      <c r="HMI12" s="118"/>
      <c r="HMJ12" s="118"/>
      <c r="HMK12" s="118"/>
      <c r="HML12" s="118"/>
      <c r="HMM12" s="118"/>
      <c r="HMN12" s="118"/>
      <c r="HMO12" s="118"/>
      <c r="HMP12" s="118"/>
      <c r="HMQ12" s="118"/>
      <c r="HMR12" s="118"/>
      <c r="HMS12" s="118"/>
      <c r="HMT12" s="118"/>
      <c r="HMU12" s="118"/>
      <c r="HMV12" s="118"/>
      <c r="HMW12" s="118"/>
      <c r="HMX12" s="118"/>
      <c r="HMY12" s="118"/>
      <c r="HMZ12" s="118"/>
      <c r="HNA12" s="118"/>
      <c r="HNB12" s="118"/>
      <c r="HNC12" s="118"/>
      <c r="HND12" s="118"/>
      <c r="HNE12" s="118"/>
      <c r="HNF12" s="118"/>
      <c r="HNG12" s="118"/>
      <c r="HNH12" s="118"/>
      <c r="HNI12" s="118"/>
      <c r="HNJ12" s="118"/>
      <c r="HNK12" s="118"/>
      <c r="HNL12" s="118"/>
      <c r="HNM12" s="118"/>
      <c r="HNN12" s="118"/>
      <c r="HNO12" s="118"/>
      <c r="HNP12" s="118"/>
      <c r="HNQ12" s="118"/>
      <c r="HNR12" s="118"/>
      <c r="HNS12" s="118"/>
      <c r="HNT12" s="118"/>
      <c r="HNU12" s="118"/>
      <c r="HNV12" s="118"/>
      <c r="HNW12" s="118"/>
      <c r="HNX12" s="118"/>
      <c r="HNY12" s="118"/>
      <c r="HNZ12" s="118"/>
      <c r="HOA12" s="118"/>
      <c r="HOB12" s="118"/>
      <c r="HOC12" s="118"/>
      <c r="HOD12" s="118"/>
      <c r="HOE12" s="118"/>
      <c r="HOF12" s="118"/>
      <c r="HOG12" s="118"/>
      <c r="HOH12" s="118"/>
      <c r="HOI12" s="118"/>
      <c r="HOJ12" s="118"/>
      <c r="HOK12" s="118"/>
      <c r="HOL12" s="118"/>
      <c r="HOM12" s="118"/>
      <c r="HON12" s="118"/>
      <c r="HOO12" s="118"/>
      <c r="HOP12" s="118"/>
      <c r="HOQ12" s="118"/>
      <c r="HOR12" s="118"/>
      <c r="HOS12" s="118"/>
      <c r="HOT12" s="118"/>
      <c r="HOU12" s="118"/>
      <c r="HOV12" s="118"/>
      <c r="HOW12" s="118"/>
      <c r="HOX12" s="118"/>
      <c r="HOY12" s="118"/>
      <c r="HOZ12" s="118"/>
      <c r="HPA12" s="118"/>
      <c r="HPB12" s="118"/>
      <c r="HPC12" s="118"/>
      <c r="HPD12" s="118"/>
      <c r="HPE12" s="118"/>
      <c r="HPF12" s="118"/>
      <c r="HPG12" s="118"/>
      <c r="HPH12" s="118"/>
      <c r="HPI12" s="118"/>
      <c r="HPJ12" s="118"/>
      <c r="HPK12" s="118"/>
      <c r="HPL12" s="118"/>
      <c r="HPM12" s="118"/>
      <c r="HPN12" s="118"/>
      <c r="HPO12" s="118"/>
      <c r="HPP12" s="118"/>
      <c r="HPQ12" s="118"/>
      <c r="HPR12" s="118"/>
      <c r="HPS12" s="118"/>
      <c r="HPT12" s="118"/>
      <c r="HPU12" s="118"/>
      <c r="HPV12" s="118"/>
      <c r="HPW12" s="118"/>
      <c r="HPX12" s="118"/>
      <c r="HPY12" s="118"/>
      <c r="HPZ12" s="118"/>
      <c r="HQA12" s="118"/>
      <c r="HQB12" s="118"/>
      <c r="HQC12" s="118"/>
      <c r="HQD12" s="118"/>
      <c r="HQE12" s="118"/>
      <c r="HQF12" s="118"/>
      <c r="HQG12" s="118"/>
      <c r="HQH12" s="118"/>
      <c r="HQI12" s="118"/>
      <c r="HQJ12" s="118"/>
      <c r="HQK12" s="118"/>
      <c r="HQL12" s="118"/>
      <c r="HQM12" s="118"/>
      <c r="HQN12" s="118"/>
      <c r="HQO12" s="118"/>
      <c r="HQP12" s="118"/>
      <c r="HQQ12" s="118"/>
      <c r="HQR12" s="118"/>
      <c r="HQS12" s="118"/>
      <c r="HQT12" s="118"/>
      <c r="HQU12" s="118"/>
      <c r="HQV12" s="118"/>
      <c r="HQW12" s="118"/>
      <c r="HQX12" s="118"/>
      <c r="HQY12" s="118"/>
      <c r="HQZ12" s="118"/>
      <c r="HRA12" s="118"/>
      <c r="HRB12" s="118"/>
      <c r="HRC12" s="118"/>
      <c r="HRD12" s="118"/>
      <c r="HRE12" s="118"/>
      <c r="HRF12" s="118"/>
      <c r="HRG12" s="118"/>
      <c r="HRH12" s="118"/>
      <c r="HRI12" s="118"/>
      <c r="HRJ12" s="118"/>
      <c r="HRK12" s="118"/>
      <c r="HRL12" s="118"/>
      <c r="HRM12" s="118"/>
      <c r="HRN12" s="118"/>
      <c r="HRO12" s="118"/>
      <c r="HRP12" s="118"/>
      <c r="HRQ12" s="118"/>
      <c r="HRR12" s="118"/>
      <c r="HRS12" s="118"/>
      <c r="HRT12" s="118"/>
      <c r="HRU12" s="118"/>
      <c r="HRV12" s="118"/>
      <c r="HRW12" s="118"/>
      <c r="HRX12" s="118"/>
      <c r="HRY12" s="118"/>
      <c r="HRZ12" s="118"/>
      <c r="HSA12" s="118"/>
      <c r="HSB12" s="118"/>
      <c r="HSC12" s="118"/>
      <c r="HSD12" s="118"/>
      <c r="HSE12" s="118"/>
      <c r="HSF12" s="118"/>
      <c r="HSG12" s="118"/>
      <c r="HSH12" s="118"/>
      <c r="HSI12" s="118"/>
      <c r="HSJ12" s="118"/>
      <c r="HSK12" s="118"/>
      <c r="HSL12" s="118"/>
      <c r="HSM12" s="118"/>
      <c r="HSN12" s="118"/>
      <c r="HSO12" s="118"/>
      <c r="HSP12" s="118"/>
      <c r="HSQ12" s="118"/>
      <c r="HSR12" s="118"/>
      <c r="HSS12" s="118"/>
      <c r="HST12" s="118"/>
      <c r="HSU12" s="118"/>
      <c r="HSV12" s="118"/>
      <c r="HSW12" s="118"/>
      <c r="HSX12" s="118"/>
      <c r="HSY12" s="118"/>
      <c r="HSZ12" s="118"/>
      <c r="HTA12" s="118"/>
      <c r="HTB12" s="118"/>
      <c r="HTC12" s="118"/>
      <c r="HTD12" s="118"/>
      <c r="HTE12" s="118"/>
      <c r="HTF12" s="118"/>
      <c r="HTG12" s="118"/>
      <c r="HTH12" s="118"/>
      <c r="HTI12" s="118"/>
      <c r="HTJ12" s="118"/>
      <c r="HTK12" s="118"/>
      <c r="HTL12" s="118"/>
      <c r="HTM12" s="118"/>
      <c r="HTN12" s="118"/>
      <c r="HTO12" s="118"/>
      <c r="HTP12" s="118"/>
      <c r="HTQ12" s="118"/>
      <c r="HTR12" s="118"/>
      <c r="HTS12" s="118"/>
      <c r="HTT12" s="118"/>
      <c r="HTU12" s="118"/>
      <c r="HTV12" s="118"/>
      <c r="HTW12" s="118"/>
      <c r="HTX12" s="118"/>
      <c r="HTY12" s="118"/>
      <c r="HTZ12" s="118"/>
      <c r="HUA12" s="118"/>
      <c r="HUB12" s="118"/>
      <c r="HUC12" s="118"/>
      <c r="HUD12" s="118"/>
      <c r="HUE12" s="118"/>
      <c r="HUF12" s="118"/>
      <c r="HUG12" s="118"/>
      <c r="HUH12" s="118"/>
      <c r="HUI12" s="118"/>
      <c r="HUJ12" s="118"/>
      <c r="HUK12" s="118"/>
      <c r="HUL12" s="118"/>
      <c r="HUM12" s="118"/>
      <c r="HUN12" s="118"/>
      <c r="HUO12" s="118"/>
      <c r="HUP12" s="118"/>
      <c r="HUQ12" s="118"/>
      <c r="HUR12" s="118"/>
      <c r="HUS12" s="118"/>
      <c r="HUT12" s="118"/>
      <c r="HUU12" s="118"/>
      <c r="HUV12" s="118"/>
      <c r="HUW12" s="118"/>
      <c r="HUX12" s="118"/>
      <c r="HUY12" s="118"/>
      <c r="HUZ12" s="118"/>
      <c r="HVA12" s="118"/>
      <c r="HVB12" s="118"/>
      <c r="HVC12" s="118"/>
      <c r="HVD12" s="118"/>
      <c r="HVE12" s="118"/>
      <c r="HVF12" s="118"/>
      <c r="HVG12" s="118"/>
      <c r="HVH12" s="118"/>
      <c r="HVI12" s="118"/>
      <c r="HVJ12" s="118"/>
      <c r="HVK12" s="118"/>
      <c r="HVL12" s="118"/>
      <c r="HVM12" s="118"/>
      <c r="HVN12" s="118"/>
      <c r="HVO12" s="118"/>
      <c r="HVP12" s="118"/>
      <c r="HVQ12" s="118"/>
      <c r="HVR12" s="118"/>
      <c r="HVS12" s="118"/>
      <c r="HVT12" s="118"/>
      <c r="HVU12" s="118"/>
      <c r="HVV12" s="118"/>
      <c r="HVW12" s="118"/>
      <c r="HVX12" s="118"/>
      <c r="HVY12" s="118"/>
      <c r="HVZ12" s="118"/>
      <c r="HWA12" s="118"/>
      <c r="HWB12" s="118"/>
      <c r="HWC12" s="118"/>
      <c r="HWD12" s="118"/>
      <c r="HWE12" s="118"/>
      <c r="HWF12" s="118"/>
      <c r="HWG12" s="118"/>
      <c r="HWH12" s="118"/>
      <c r="HWI12" s="118"/>
      <c r="HWJ12" s="118"/>
      <c r="HWK12" s="118"/>
      <c r="HWL12" s="118"/>
      <c r="HWM12" s="118"/>
      <c r="HWN12" s="118"/>
      <c r="HWO12" s="118"/>
      <c r="HWP12" s="118"/>
      <c r="HWQ12" s="118"/>
      <c r="HWR12" s="118"/>
      <c r="HWS12" s="118"/>
      <c r="HWT12" s="118"/>
      <c r="HWU12" s="118"/>
      <c r="HWV12" s="118"/>
      <c r="HWW12" s="118"/>
      <c r="HWX12" s="118"/>
      <c r="HWY12" s="118"/>
      <c r="HWZ12" s="118"/>
      <c r="HXA12" s="118"/>
      <c r="HXB12" s="118"/>
      <c r="HXC12" s="118"/>
      <c r="HXD12" s="118"/>
      <c r="HXE12" s="118"/>
      <c r="HXF12" s="118"/>
      <c r="HXG12" s="118"/>
      <c r="HXH12" s="118"/>
      <c r="HXI12" s="118"/>
      <c r="HXJ12" s="118"/>
      <c r="HXK12" s="118"/>
      <c r="HXL12" s="118"/>
      <c r="HXM12" s="118"/>
      <c r="HXN12" s="118"/>
      <c r="HXO12" s="118"/>
      <c r="HXP12" s="118"/>
      <c r="HXQ12" s="118"/>
      <c r="HXR12" s="118"/>
      <c r="HXS12" s="118"/>
      <c r="HXT12" s="118"/>
      <c r="HXU12" s="118"/>
      <c r="HXV12" s="118"/>
      <c r="HXW12" s="118"/>
      <c r="HXX12" s="118"/>
      <c r="HXY12" s="118"/>
      <c r="HXZ12" s="118"/>
      <c r="HYA12" s="118"/>
      <c r="HYB12" s="118"/>
      <c r="HYC12" s="118"/>
      <c r="HYD12" s="118"/>
      <c r="HYE12" s="118"/>
      <c r="HYF12" s="118"/>
      <c r="HYG12" s="118"/>
      <c r="HYH12" s="118"/>
      <c r="HYI12" s="118"/>
      <c r="HYJ12" s="118"/>
      <c r="HYK12" s="118"/>
      <c r="HYL12" s="118"/>
      <c r="HYM12" s="118"/>
      <c r="HYN12" s="118"/>
      <c r="HYO12" s="118"/>
      <c r="HYP12" s="118"/>
      <c r="HYQ12" s="118"/>
      <c r="HYR12" s="118"/>
      <c r="HYS12" s="118"/>
      <c r="HYT12" s="118"/>
      <c r="HYU12" s="118"/>
      <c r="HYV12" s="118"/>
      <c r="HYW12" s="118"/>
      <c r="HYX12" s="118"/>
      <c r="HYY12" s="118"/>
      <c r="HYZ12" s="118"/>
      <c r="HZA12" s="118"/>
      <c r="HZB12" s="118"/>
      <c r="HZC12" s="118"/>
      <c r="HZD12" s="118"/>
      <c r="HZE12" s="118"/>
      <c r="HZF12" s="118"/>
      <c r="HZG12" s="118"/>
      <c r="HZH12" s="118"/>
      <c r="HZI12" s="118"/>
      <c r="HZJ12" s="118"/>
      <c r="HZK12" s="118"/>
      <c r="HZL12" s="118"/>
      <c r="HZM12" s="118"/>
      <c r="HZN12" s="118"/>
      <c r="HZO12" s="118"/>
      <c r="HZP12" s="118"/>
      <c r="HZQ12" s="118"/>
      <c r="HZR12" s="118"/>
      <c r="HZS12" s="118"/>
      <c r="HZT12" s="118"/>
      <c r="HZU12" s="118"/>
      <c r="HZV12" s="118"/>
      <c r="HZW12" s="118"/>
      <c r="HZX12" s="118"/>
      <c r="HZY12" s="118"/>
      <c r="HZZ12" s="118"/>
      <c r="IAA12" s="118"/>
      <c r="IAB12" s="118"/>
      <c r="IAC12" s="118"/>
      <c r="IAD12" s="118"/>
      <c r="IAE12" s="118"/>
      <c r="IAF12" s="118"/>
      <c r="IAG12" s="118"/>
      <c r="IAH12" s="118"/>
      <c r="IAI12" s="118"/>
      <c r="IAJ12" s="118"/>
      <c r="IAK12" s="118"/>
      <c r="IAL12" s="118"/>
      <c r="IAM12" s="118"/>
      <c r="IAN12" s="118"/>
      <c r="IAO12" s="118"/>
      <c r="IAP12" s="118"/>
      <c r="IAQ12" s="118"/>
      <c r="IAR12" s="118"/>
      <c r="IAS12" s="118"/>
      <c r="IAT12" s="118"/>
      <c r="IAU12" s="118"/>
      <c r="IAV12" s="118"/>
      <c r="IAW12" s="118"/>
      <c r="IAX12" s="118"/>
      <c r="IAY12" s="118"/>
      <c r="IAZ12" s="118"/>
      <c r="IBA12" s="118"/>
      <c r="IBB12" s="118"/>
      <c r="IBC12" s="118"/>
      <c r="IBD12" s="118"/>
      <c r="IBE12" s="118"/>
      <c r="IBF12" s="118"/>
      <c r="IBG12" s="118"/>
      <c r="IBH12" s="118"/>
      <c r="IBI12" s="118"/>
      <c r="IBJ12" s="118"/>
      <c r="IBK12" s="118"/>
      <c r="IBL12" s="118"/>
      <c r="IBM12" s="118"/>
      <c r="IBN12" s="118"/>
      <c r="IBO12" s="118"/>
      <c r="IBP12" s="118"/>
      <c r="IBQ12" s="118"/>
      <c r="IBR12" s="118"/>
      <c r="IBS12" s="118"/>
      <c r="IBT12" s="118"/>
      <c r="IBU12" s="118"/>
      <c r="IBV12" s="118"/>
      <c r="IBW12" s="118"/>
      <c r="IBX12" s="118"/>
      <c r="IBY12" s="118"/>
      <c r="IBZ12" s="118"/>
      <c r="ICA12" s="118"/>
      <c r="ICB12" s="118"/>
      <c r="ICC12" s="118"/>
      <c r="ICD12" s="118"/>
      <c r="ICE12" s="118"/>
      <c r="ICF12" s="118"/>
      <c r="ICG12" s="118"/>
      <c r="ICH12" s="118"/>
      <c r="ICI12" s="118"/>
      <c r="ICJ12" s="118"/>
      <c r="ICK12" s="118"/>
      <c r="ICL12" s="118"/>
      <c r="ICM12" s="118"/>
      <c r="ICN12" s="118"/>
      <c r="ICO12" s="118"/>
      <c r="ICP12" s="118"/>
      <c r="ICQ12" s="118"/>
      <c r="ICR12" s="118"/>
      <c r="ICS12" s="118"/>
      <c r="ICT12" s="118"/>
      <c r="ICU12" s="118"/>
      <c r="ICV12" s="118"/>
      <c r="ICW12" s="118"/>
      <c r="ICX12" s="118"/>
      <c r="ICY12" s="118"/>
      <c r="ICZ12" s="118"/>
      <c r="IDA12" s="118"/>
      <c r="IDB12" s="118"/>
      <c r="IDC12" s="118"/>
      <c r="IDD12" s="118"/>
      <c r="IDE12" s="118"/>
      <c r="IDF12" s="118"/>
      <c r="IDG12" s="118"/>
      <c r="IDH12" s="118"/>
      <c r="IDI12" s="118"/>
      <c r="IDJ12" s="118"/>
      <c r="IDK12" s="118"/>
      <c r="IDL12" s="118"/>
      <c r="IDM12" s="118"/>
      <c r="IDN12" s="118"/>
      <c r="IDO12" s="118"/>
      <c r="IDP12" s="118"/>
      <c r="IDQ12" s="118"/>
      <c r="IDR12" s="118"/>
      <c r="IDS12" s="118"/>
      <c r="IDT12" s="118"/>
      <c r="IDU12" s="118"/>
      <c r="IDV12" s="118"/>
      <c r="IDW12" s="118"/>
      <c r="IDX12" s="118"/>
      <c r="IDY12" s="118"/>
      <c r="IDZ12" s="118"/>
      <c r="IEA12" s="118"/>
      <c r="IEB12" s="118"/>
      <c r="IEC12" s="118"/>
      <c r="IED12" s="118"/>
      <c r="IEE12" s="118"/>
      <c r="IEF12" s="118"/>
      <c r="IEG12" s="118"/>
      <c r="IEH12" s="118"/>
      <c r="IEI12" s="118"/>
      <c r="IEJ12" s="118"/>
      <c r="IEK12" s="118"/>
      <c r="IEL12" s="118"/>
      <c r="IEM12" s="118"/>
      <c r="IEN12" s="118"/>
      <c r="IEO12" s="118"/>
      <c r="IEP12" s="118"/>
      <c r="IEQ12" s="118"/>
      <c r="IER12" s="118"/>
      <c r="IES12" s="118"/>
      <c r="IET12" s="118"/>
      <c r="IEU12" s="118"/>
      <c r="IEV12" s="118"/>
      <c r="IEW12" s="118"/>
      <c r="IEX12" s="118"/>
      <c r="IEY12" s="118"/>
      <c r="IEZ12" s="118"/>
      <c r="IFA12" s="118"/>
      <c r="IFB12" s="118"/>
      <c r="IFC12" s="118"/>
      <c r="IFD12" s="118"/>
      <c r="IFE12" s="118"/>
      <c r="IFF12" s="118"/>
      <c r="IFG12" s="118"/>
      <c r="IFH12" s="118"/>
      <c r="IFI12" s="118"/>
      <c r="IFJ12" s="118"/>
      <c r="IFK12" s="118"/>
      <c r="IFL12" s="118"/>
      <c r="IFM12" s="118"/>
      <c r="IFN12" s="118"/>
      <c r="IFO12" s="118"/>
      <c r="IFP12" s="118"/>
      <c r="IFQ12" s="118"/>
      <c r="IFR12" s="118"/>
      <c r="IFS12" s="118"/>
      <c r="IFT12" s="118"/>
      <c r="IFU12" s="118"/>
      <c r="IFV12" s="118"/>
      <c r="IFW12" s="118"/>
      <c r="IFX12" s="118"/>
      <c r="IFY12" s="118"/>
      <c r="IFZ12" s="118"/>
      <c r="IGA12" s="118"/>
      <c r="IGB12" s="118"/>
      <c r="IGC12" s="118"/>
      <c r="IGD12" s="118"/>
      <c r="IGE12" s="118"/>
      <c r="IGF12" s="118"/>
      <c r="IGG12" s="118"/>
      <c r="IGH12" s="118"/>
      <c r="IGI12" s="118"/>
      <c r="IGJ12" s="118"/>
      <c r="IGK12" s="118"/>
      <c r="IGL12" s="118"/>
      <c r="IGM12" s="118"/>
      <c r="IGN12" s="118"/>
      <c r="IGO12" s="118"/>
      <c r="IGP12" s="118"/>
      <c r="IGQ12" s="118"/>
      <c r="IGR12" s="118"/>
      <c r="IGS12" s="118"/>
      <c r="IGT12" s="118"/>
      <c r="IGU12" s="118"/>
      <c r="IGV12" s="118"/>
      <c r="IGW12" s="118"/>
      <c r="IGX12" s="118"/>
      <c r="IGY12" s="118"/>
      <c r="IGZ12" s="118"/>
      <c r="IHA12" s="118"/>
      <c r="IHB12" s="118"/>
      <c r="IHC12" s="118"/>
      <c r="IHD12" s="118"/>
      <c r="IHE12" s="118"/>
      <c r="IHF12" s="118"/>
      <c r="IHG12" s="118"/>
      <c r="IHH12" s="118"/>
      <c r="IHI12" s="118"/>
      <c r="IHJ12" s="118"/>
      <c r="IHK12" s="118"/>
      <c r="IHL12" s="118"/>
      <c r="IHM12" s="118"/>
      <c r="IHN12" s="118"/>
      <c r="IHO12" s="118"/>
      <c r="IHP12" s="118"/>
      <c r="IHQ12" s="118"/>
      <c r="IHR12" s="118"/>
      <c r="IHS12" s="118"/>
      <c r="IHT12" s="118"/>
      <c r="IHU12" s="118"/>
      <c r="IHV12" s="118"/>
      <c r="IHW12" s="118"/>
      <c r="IHX12" s="118"/>
      <c r="IHY12" s="118"/>
      <c r="IHZ12" s="118"/>
      <c r="IIA12" s="118"/>
      <c r="IIB12" s="118"/>
      <c r="IIC12" s="118"/>
      <c r="IID12" s="118"/>
      <c r="IIE12" s="118"/>
      <c r="IIF12" s="118"/>
      <c r="IIG12" s="118"/>
      <c r="IIH12" s="118"/>
      <c r="III12" s="118"/>
      <c r="IIJ12" s="118"/>
      <c r="IIK12" s="118"/>
      <c r="IIL12" s="118"/>
      <c r="IIM12" s="118"/>
      <c r="IIN12" s="118"/>
      <c r="IIO12" s="118"/>
      <c r="IIP12" s="118"/>
      <c r="IIQ12" s="118"/>
      <c r="IIR12" s="118"/>
      <c r="IIS12" s="118"/>
      <c r="IIT12" s="118"/>
      <c r="IIU12" s="118"/>
      <c r="IIV12" s="118"/>
      <c r="IIW12" s="118"/>
      <c r="IIX12" s="118"/>
      <c r="IIY12" s="118"/>
      <c r="IIZ12" s="118"/>
      <c r="IJA12" s="118"/>
      <c r="IJB12" s="118"/>
      <c r="IJC12" s="118"/>
      <c r="IJD12" s="118"/>
      <c r="IJE12" s="118"/>
      <c r="IJF12" s="118"/>
      <c r="IJG12" s="118"/>
      <c r="IJH12" s="118"/>
      <c r="IJI12" s="118"/>
      <c r="IJJ12" s="118"/>
      <c r="IJK12" s="118"/>
      <c r="IJL12" s="118"/>
      <c r="IJM12" s="118"/>
      <c r="IJN12" s="118"/>
      <c r="IJO12" s="118"/>
      <c r="IJP12" s="118"/>
      <c r="IJQ12" s="118"/>
      <c r="IJR12" s="118"/>
      <c r="IJS12" s="118"/>
      <c r="IJT12" s="118"/>
      <c r="IJU12" s="118"/>
      <c r="IJV12" s="118"/>
      <c r="IJW12" s="118"/>
      <c r="IJX12" s="118"/>
      <c r="IJY12" s="118"/>
      <c r="IJZ12" s="118"/>
      <c r="IKA12" s="118"/>
      <c r="IKB12" s="118"/>
      <c r="IKC12" s="118"/>
      <c r="IKD12" s="118"/>
      <c r="IKE12" s="118"/>
      <c r="IKF12" s="118"/>
      <c r="IKG12" s="118"/>
      <c r="IKH12" s="118"/>
      <c r="IKI12" s="118"/>
      <c r="IKJ12" s="118"/>
      <c r="IKK12" s="118"/>
      <c r="IKL12" s="118"/>
      <c r="IKM12" s="118"/>
      <c r="IKN12" s="118"/>
      <c r="IKO12" s="118"/>
      <c r="IKP12" s="118"/>
      <c r="IKQ12" s="118"/>
      <c r="IKR12" s="118"/>
      <c r="IKS12" s="118"/>
      <c r="IKT12" s="118"/>
      <c r="IKU12" s="118"/>
      <c r="IKV12" s="118"/>
      <c r="IKW12" s="118"/>
      <c r="IKX12" s="118"/>
      <c r="IKY12" s="118"/>
      <c r="IKZ12" s="118"/>
      <c r="ILA12" s="118"/>
      <c r="ILB12" s="118"/>
      <c r="ILC12" s="118"/>
      <c r="ILD12" s="118"/>
      <c r="ILE12" s="118"/>
      <c r="ILF12" s="118"/>
      <c r="ILG12" s="118"/>
      <c r="ILH12" s="118"/>
      <c r="ILI12" s="118"/>
      <c r="ILJ12" s="118"/>
      <c r="ILK12" s="118"/>
      <c r="ILL12" s="118"/>
      <c r="ILM12" s="118"/>
      <c r="ILN12" s="118"/>
      <c r="ILO12" s="118"/>
      <c r="ILP12" s="118"/>
      <c r="ILQ12" s="118"/>
      <c r="ILR12" s="118"/>
      <c r="ILS12" s="118"/>
      <c r="ILT12" s="118"/>
      <c r="ILU12" s="118"/>
      <c r="ILV12" s="118"/>
      <c r="ILW12" s="118"/>
      <c r="ILX12" s="118"/>
      <c r="ILY12" s="118"/>
      <c r="ILZ12" s="118"/>
      <c r="IMA12" s="118"/>
      <c r="IMB12" s="118"/>
      <c r="IMC12" s="118"/>
      <c r="IMD12" s="118"/>
      <c r="IME12" s="118"/>
      <c r="IMF12" s="118"/>
      <c r="IMG12" s="118"/>
      <c r="IMH12" s="118"/>
      <c r="IMI12" s="118"/>
      <c r="IMJ12" s="118"/>
      <c r="IMK12" s="118"/>
      <c r="IML12" s="118"/>
      <c r="IMM12" s="118"/>
      <c r="IMN12" s="118"/>
      <c r="IMO12" s="118"/>
      <c r="IMP12" s="118"/>
      <c r="IMQ12" s="118"/>
      <c r="IMR12" s="118"/>
      <c r="IMS12" s="118"/>
      <c r="IMT12" s="118"/>
      <c r="IMU12" s="118"/>
      <c r="IMV12" s="118"/>
      <c r="IMW12" s="118"/>
      <c r="IMX12" s="118"/>
      <c r="IMY12" s="118"/>
      <c r="IMZ12" s="118"/>
      <c r="INA12" s="118"/>
      <c r="INB12" s="118"/>
      <c r="INC12" s="118"/>
      <c r="IND12" s="118"/>
      <c r="INE12" s="118"/>
      <c r="INF12" s="118"/>
      <c r="ING12" s="118"/>
      <c r="INH12" s="118"/>
      <c r="INI12" s="118"/>
      <c r="INJ12" s="118"/>
      <c r="INK12" s="118"/>
      <c r="INL12" s="118"/>
      <c r="INM12" s="118"/>
      <c r="INN12" s="118"/>
      <c r="INO12" s="118"/>
      <c r="INP12" s="118"/>
      <c r="INQ12" s="118"/>
      <c r="INR12" s="118"/>
      <c r="INS12" s="118"/>
      <c r="INT12" s="118"/>
      <c r="INU12" s="118"/>
      <c r="INV12" s="118"/>
      <c r="INW12" s="118"/>
      <c r="INX12" s="118"/>
      <c r="INY12" s="118"/>
      <c r="INZ12" s="118"/>
      <c r="IOA12" s="118"/>
      <c r="IOB12" s="118"/>
      <c r="IOC12" s="118"/>
      <c r="IOD12" s="118"/>
      <c r="IOE12" s="118"/>
      <c r="IOF12" s="118"/>
      <c r="IOG12" s="118"/>
      <c r="IOH12" s="118"/>
      <c r="IOI12" s="118"/>
      <c r="IOJ12" s="118"/>
      <c r="IOK12" s="118"/>
      <c r="IOL12" s="118"/>
      <c r="IOM12" s="118"/>
      <c r="ION12" s="118"/>
      <c r="IOO12" s="118"/>
      <c r="IOP12" s="118"/>
      <c r="IOQ12" s="118"/>
      <c r="IOR12" s="118"/>
      <c r="IOS12" s="118"/>
      <c r="IOT12" s="118"/>
      <c r="IOU12" s="118"/>
      <c r="IOV12" s="118"/>
      <c r="IOW12" s="118"/>
      <c r="IOX12" s="118"/>
      <c r="IOY12" s="118"/>
      <c r="IOZ12" s="118"/>
      <c r="IPA12" s="118"/>
      <c r="IPB12" s="118"/>
      <c r="IPC12" s="118"/>
      <c r="IPD12" s="118"/>
      <c r="IPE12" s="118"/>
      <c r="IPF12" s="118"/>
      <c r="IPG12" s="118"/>
      <c r="IPH12" s="118"/>
      <c r="IPI12" s="118"/>
      <c r="IPJ12" s="118"/>
      <c r="IPK12" s="118"/>
      <c r="IPL12" s="118"/>
      <c r="IPM12" s="118"/>
      <c r="IPN12" s="118"/>
      <c r="IPO12" s="118"/>
      <c r="IPP12" s="118"/>
      <c r="IPQ12" s="118"/>
      <c r="IPR12" s="118"/>
      <c r="IPS12" s="118"/>
      <c r="IPT12" s="118"/>
      <c r="IPU12" s="118"/>
      <c r="IPV12" s="118"/>
      <c r="IPW12" s="118"/>
      <c r="IPX12" s="118"/>
      <c r="IPY12" s="118"/>
      <c r="IPZ12" s="118"/>
      <c r="IQA12" s="118"/>
      <c r="IQB12" s="118"/>
      <c r="IQC12" s="118"/>
      <c r="IQD12" s="118"/>
      <c r="IQE12" s="118"/>
      <c r="IQF12" s="118"/>
      <c r="IQG12" s="118"/>
      <c r="IQH12" s="118"/>
      <c r="IQI12" s="118"/>
      <c r="IQJ12" s="118"/>
      <c r="IQK12" s="118"/>
      <c r="IQL12" s="118"/>
      <c r="IQM12" s="118"/>
      <c r="IQN12" s="118"/>
      <c r="IQO12" s="118"/>
      <c r="IQP12" s="118"/>
      <c r="IQQ12" s="118"/>
      <c r="IQR12" s="118"/>
      <c r="IQS12" s="118"/>
      <c r="IQT12" s="118"/>
      <c r="IQU12" s="118"/>
      <c r="IQV12" s="118"/>
      <c r="IQW12" s="118"/>
      <c r="IQX12" s="118"/>
      <c r="IQY12" s="118"/>
      <c r="IQZ12" s="118"/>
      <c r="IRA12" s="118"/>
      <c r="IRB12" s="118"/>
      <c r="IRC12" s="118"/>
      <c r="IRD12" s="118"/>
      <c r="IRE12" s="118"/>
      <c r="IRF12" s="118"/>
      <c r="IRG12" s="118"/>
      <c r="IRH12" s="118"/>
      <c r="IRI12" s="118"/>
      <c r="IRJ12" s="118"/>
      <c r="IRK12" s="118"/>
      <c r="IRL12" s="118"/>
      <c r="IRM12" s="118"/>
      <c r="IRN12" s="118"/>
      <c r="IRO12" s="118"/>
      <c r="IRP12" s="118"/>
      <c r="IRQ12" s="118"/>
      <c r="IRR12" s="118"/>
      <c r="IRS12" s="118"/>
      <c r="IRT12" s="118"/>
      <c r="IRU12" s="118"/>
      <c r="IRV12" s="118"/>
      <c r="IRW12" s="118"/>
      <c r="IRX12" s="118"/>
      <c r="IRY12" s="118"/>
      <c r="IRZ12" s="118"/>
      <c r="ISA12" s="118"/>
      <c r="ISB12" s="118"/>
      <c r="ISC12" s="118"/>
      <c r="ISD12" s="118"/>
      <c r="ISE12" s="118"/>
      <c r="ISF12" s="118"/>
      <c r="ISG12" s="118"/>
      <c r="ISH12" s="118"/>
      <c r="ISI12" s="118"/>
      <c r="ISJ12" s="118"/>
      <c r="ISK12" s="118"/>
      <c r="ISL12" s="118"/>
      <c r="ISM12" s="118"/>
      <c r="ISN12" s="118"/>
      <c r="ISO12" s="118"/>
      <c r="ISP12" s="118"/>
      <c r="ISQ12" s="118"/>
      <c r="ISR12" s="118"/>
      <c r="ISS12" s="118"/>
      <c r="IST12" s="118"/>
      <c r="ISU12" s="118"/>
      <c r="ISV12" s="118"/>
      <c r="ISW12" s="118"/>
      <c r="ISX12" s="118"/>
      <c r="ISY12" s="118"/>
      <c r="ISZ12" s="118"/>
      <c r="ITA12" s="118"/>
      <c r="ITB12" s="118"/>
      <c r="ITC12" s="118"/>
      <c r="ITD12" s="118"/>
      <c r="ITE12" s="118"/>
      <c r="ITF12" s="118"/>
      <c r="ITG12" s="118"/>
      <c r="ITH12" s="118"/>
      <c r="ITI12" s="118"/>
      <c r="ITJ12" s="118"/>
      <c r="ITK12" s="118"/>
      <c r="ITL12" s="118"/>
      <c r="ITM12" s="118"/>
      <c r="ITN12" s="118"/>
      <c r="ITO12" s="118"/>
      <c r="ITP12" s="118"/>
      <c r="ITQ12" s="118"/>
      <c r="ITR12" s="118"/>
      <c r="ITS12" s="118"/>
      <c r="ITT12" s="118"/>
      <c r="ITU12" s="118"/>
      <c r="ITV12" s="118"/>
      <c r="ITW12" s="118"/>
      <c r="ITX12" s="118"/>
      <c r="ITY12" s="118"/>
      <c r="ITZ12" s="118"/>
      <c r="IUA12" s="118"/>
      <c r="IUB12" s="118"/>
      <c r="IUC12" s="118"/>
      <c r="IUD12" s="118"/>
      <c r="IUE12" s="118"/>
      <c r="IUF12" s="118"/>
      <c r="IUG12" s="118"/>
      <c r="IUH12" s="118"/>
      <c r="IUI12" s="118"/>
      <c r="IUJ12" s="118"/>
      <c r="IUK12" s="118"/>
      <c r="IUL12" s="118"/>
      <c r="IUM12" s="118"/>
      <c r="IUN12" s="118"/>
      <c r="IUO12" s="118"/>
      <c r="IUP12" s="118"/>
      <c r="IUQ12" s="118"/>
      <c r="IUR12" s="118"/>
      <c r="IUS12" s="118"/>
      <c r="IUT12" s="118"/>
      <c r="IUU12" s="118"/>
      <c r="IUV12" s="118"/>
      <c r="IUW12" s="118"/>
      <c r="IUX12" s="118"/>
      <c r="IUY12" s="118"/>
      <c r="IUZ12" s="118"/>
      <c r="IVA12" s="118"/>
      <c r="IVB12" s="118"/>
      <c r="IVC12" s="118"/>
      <c r="IVD12" s="118"/>
      <c r="IVE12" s="118"/>
      <c r="IVF12" s="118"/>
      <c r="IVG12" s="118"/>
      <c r="IVH12" s="118"/>
      <c r="IVI12" s="118"/>
      <c r="IVJ12" s="118"/>
      <c r="IVK12" s="118"/>
      <c r="IVL12" s="118"/>
      <c r="IVM12" s="118"/>
      <c r="IVN12" s="118"/>
      <c r="IVO12" s="118"/>
      <c r="IVP12" s="118"/>
      <c r="IVQ12" s="118"/>
      <c r="IVR12" s="118"/>
      <c r="IVS12" s="118"/>
      <c r="IVT12" s="118"/>
      <c r="IVU12" s="118"/>
      <c r="IVV12" s="118"/>
      <c r="IVW12" s="118"/>
      <c r="IVX12" s="118"/>
      <c r="IVY12" s="118"/>
      <c r="IVZ12" s="118"/>
      <c r="IWA12" s="118"/>
      <c r="IWB12" s="118"/>
      <c r="IWC12" s="118"/>
      <c r="IWD12" s="118"/>
      <c r="IWE12" s="118"/>
      <c r="IWF12" s="118"/>
      <c r="IWG12" s="118"/>
      <c r="IWH12" s="118"/>
      <c r="IWI12" s="118"/>
      <c r="IWJ12" s="118"/>
      <c r="IWK12" s="118"/>
      <c r="IWL12" s="118"/>
      <c r="IWM12" s="118"/>
      <c r="IWN12" s="118"/>
      <c r="IWO12" s="118"/>
      <c r="IWP12" s="118"/>
      <c r="IWQ12" s="118"/>
      <c r="IWR12" s="118"/>
      <c r="IWS12" s="118"/>
      <c r="IWT12" s="118"/>
      <c r="IWU12" s="118"/>
      <c r="IWV12" s="118"/>
      <c r="IWW12" s="118"/>
      <c r="IWX12" s="118"/>
      <c r="IWY12" s="118"/>
      <c r="IWZ12" s="118"/>
      <c r="IXA12" s="118"/>
      <c r="IXB12" s="118"/>
      <c r="IXC12" s="118"/>
      <c r="IXD12" s="118"/>
      <c r="IXE12" s="118"/>
      <c r="IXF12" s="118"/>
      <c r="IXG12" s="118"/>
      <c r="IXH12" s="118"/>
      <c r="IXI12" s="118"/>
      <c r="IXJ12" s="118"/>
      <c r="IXK12" s="118"/>
      <c r="IXL12" s="118"/>
      <c r="IXM12" s="118"/>
      <c r="IXN12" s="118"/>
      <c r="IXO12" s="118"/>
      <c r="IXP12" s="118"/>
      <c r="IXQ12" s="118"/>
      <c r="IXR12" s="118"/>
      <c r="IXS12" s="118"/>
      <c r="IXT12" s="118"/>
      <c r="IXU12" s="118"/>
      <c r="IXV12" s="118"/>
      <c r="IXW12" s="118"/>
      <c r="IXX12" s="118"/>
      <c r="IXY12" s="118"/>
      <c r="IXZ12" s="118"/>
      <c r="IYA12" s="118"/>
      <c r="IYB12" s="118"/>
      <c r="IYC12" s="118"/>
      <c r="IYD12" s="118"/>
      <c r="IYE12" s="118"/>
      <c r="IYF12" s="118"/>
      <c r="IYG12" s="118"/>
      <c r="IYH12" s="118"/>
      <c r="IYI12" s="118"/>
      <c r="IYJ12" s="118"/>
      <c r="IYK12" s="118"/>
      <c r="IYL12" s="118"/>
      <c r="IYM12" s="118"/>
      <c r="IYN12" s="118"/>
      <c r="IYO12" s="118"/>
      <c r="IYP12" s="118"/>
      <c r="IYQ12" s="118"/>
      <c r="IYR12" s="118"/>
      <c r="IYS12" s="118"/>
      <c r="IYT12" s="118"/>
      <c r="IYU12" s="118"/>
      <c r="IYV12" s="118"/>
      <c r="IYW12" s="118"/>
      <c r="IYX12" s="118"/>
      <c r="IYY12" s="118"/>
      <c r="IYZ12" s="118"/>
      <c r="IZA12" s="118"/>
      <c r="IZB12" s="118"/>
      <c r="IZC12" s="118"/>
      <c r="IZD12" s="118"/>
      <c r="IZE12" s="118"/>
      <c r="IZF12" s="118"/>
      <c r="IZG12" s="118"/>
      <c r="IZH12" s="118"/>
      <c r="IZI12" s="118"/>
      <c r="IZJ12" s="118"/>
      <c r="IZK12" s="118"/>
      <c r="IZL12" s="118"/>
      <c r="IZM12" s="118"/>
      <c r="IZN12" s="118"/>
      <c r="IZO12" s="118"/>
      <c r="IZP12" s="118"/>
      <c r="IZQ12" s="118"/>
      <c r="IZR12" s="118"/>
      <c r="IZS12" s="118"/>
      <c r="IZT12" s="118"/>
      <c r="IZU12" s="118"/>
      <c r="IZV12" s="118"/>
      <c r="IZW12" s="118"/>
      <c r="IZX12" s="118"/>
      <c r="IZY12" s="118"/>
      <c r="IZZ12" s="118"/>
      <c r="JAA12" s="118"/>
      <c r="JAB12" s="118"/>
      <c r="JAC12" s="118"/>
      <c r="JAD12" s="118"/>
      <c r="JAE12" s="118"/>
      <c r="JAF12" s="118"/>
      <c r="JAG12" s="118"/>
      <c r="JAH12" s="118"/>
      <c r="JAI12" s="118"/>
      <c r="JAJ12" s="118"/>
      <c r="JAK12" s="118"/>
      <c r="JAL12" s="118"/>
      <c r="JAM12" s="118"/>
      <c r="JAN12" s="118"/>
      <c r="JAO12" s="118"/>
      <c r="JAP12" s="118"/>
      <c r="JAQ12" s="118"/>
      <c r="JAR12" s="118"/>
      <c r="JAS12" s="118"/>
      <c r="JAT12" s="118"/>
      <c r="JAU12" s="118"/>
      <c r="JAV12" s="118"/>
      <c r="JAW12" s="118"/>
      <c r="JAX12" s="118"/>
      <c r="JAY12" s="118"/>
      <c r="JAZ12" s="118"/>
      <c r="JBA12" s="118"/>
      <c r="JBB12" s="118"/>
      <c r="JBC12" s="118"/>
      <c r="JBD12" s="118"/>
      <c r="JBE12" s="118"/>
      <c r="JBF12" s="118"/>
      <c r="JBG12" s="118"/>
      <c r="JBH12" s="118"/>
      <c r="JBI12" s="118"/>
      <c r="JBJ12" s="118"/>
      <c r="JBK12" s="118"/>
      <c r="JBL12" s="118"/>
      <c r="JBM12" s="118"/>
      <c r="JBN12" s="118"/>
      <c r="JBO12" s="118"/>
      <c r="JBP12" s="118"/>
      <c r="JBQ12" s="118"/>
      <c r="JBR12" s="118"/>
      <c r="JBS12" s="118"/>
      <c r="JBT12" s="118"/>
      <c r="JBU12" s="118"/>
      <c r="JBV12" s="118"/>
      <c r="JBW12" s="118"/>
      <c r="JBX12" s="118"/>
      <c r="JBY12" s="118"/>
      <c r="JBZ12" s="118"/>
      <c r="JCA12" s="118"/>
      <c r="JCB12" s="118"/>
      <c r="JCC12" s="118"/>
      <c r="JCD12" s="118"/>
      <c r="JCE12" s="118"/>
      <c r="JCF12" s="118"/>
      <c r="JCG12" s="118"/>
      <c r="JCH12" s="118"/>
      <c r="JCI12" s="118"/>
      <c r="JCJ12" s="118"/>
      <c r="JCK12" s="118"/>
      <c r="JCL12" s="118"/>
      <c r="JCM12" s="118"/>
      <c r="JCN12" s="118"/>
      <c r="JCO12" s="118"/>
      <c r="JCP12" s="118"/>
      <c r="JCQ12" s="118"/>
      <c r="JCR12" s="118"/>
      <c r="JCS12" s="118"/>
      <c r="JCT12" s="118"/>
      <c r="JCU12" s="118"/>
      <c r="JCV12" s="118"/>
      <c r="JCW12" s="118"/>
      <c r="JCX12" s="118"/>
      <c r="JCY12" s="118"/>
      <c r="JCZ12" s="118"/>
      <c r="JDA12" s="118"/>
      <c r="JDB12" s="118"/>
      <c r="JDC12" s="118"/>
      <c r="JDD12" s="118"/>
      <c r="JDE12" s="118"/>
      <c r="JDF12" s="118"/>
      <c r="JDG12" s="118"/>
      <c r="JDH12" s="118"/>
      <c r="JDI12" s="118"/>
      <c r="JDJ12" s="118"/>
      <c r="JDK12" s="118"/>
      <c r="JDL12" s="118"/>
      <c r="JDM12" s="118"/>
      <c r="JDN12" s="118"/>
      <c r="JDO12" s="118"/>
      <c r="JDP12" s="118"/>
      <c r="JDQ12" s="118"/>
      <c r="JDR12" s="118"/>
      <c r="JDS12" s="118"/>
      <c r="JDT12" s="118"/>
      <c r="JDU12" s="118"/>
      <c r="JDV12" s="118"/>
      <c r="JDW12" s="118"/>
      <c r="JDX12" s="118"/>
      <c r="JDY12" s="118"/>
      <c r="JDZ12" s="118"/>
      <c r="JEA12" s="118"/>
      <c r="JEB12" s="118"/>
      <c r="JEC12" s="118"/>
      <c r="JED12" s="118"/>
      <c r="JEE12" s="118"/>
      <c r="JEF12" s="118"/>
      <c r="JEG12" s="118"/>
      <c r="JEH12" s="118"/>
      <c r="JEI12" s="118"/>
      <c r="JEJ12" s="118"/>
      <c r="JEK12" s="118"/>
      <c r="JEL12" s="118"/>
      <c r="JEM12" s="118"/>
      <c r="JEN12" s="118"/>
      <c r="JEO12" s="118"/>
      <c r="JEP12" s="118"/>
      <c r="JEQ12" s="118"/>
      <c r="JER12" s="118"/>
      <c r="JES12" s="118"/>
      <c r="JET12" s="118"/>
      <c r="JEU12" s="118"/>
      <c r="JEV12" s="118"/>
      <c r="JEW12" s="118"/>
      <c r="JEX12" s="118"/>
      <c r="JEY12" s="118"/>
      <c r="JEZ12" s="118"/>
      <c r="JFA12" s="118"/>
      <c r="JFB12" s="118"/>
      <c r="JFC12" s="118"/>
      <c r="JFD12" s="118"/>
      <c r="JFE12" s="118"/>
      <c r="JFF12" s="118"/>
      <c r="JFG12" s="118"/>
      <c r="JFH12" s="118"/>
      <c r="JFI12" s="118"/>
      <c r="JFJ12" s="118"/>
      <c r="JFK12" s="118"/>
      <c r="JFL12" s="118"/>
      <c r="JFM12" s="118"/>
      <c r="JFN12" s="118"/>
      <c r="JFO12" s="118"/>
      <c r="JFP12" s="118"/>
      <c r="JFQ12" s="118"/>
      <c r="JFR12" s="118"/>
      <c r="JFS12" s="118"/>
      <c r="JFT12" s="118"/>
      <c r="JFU12" s="118"/>
      <c r="JFV12" s="118"/>
      <c r="JFW12" s="118"/>
      <c r="JFX12" s="118"/>
      <c r="JFY12" s="118"/>
      <c r="JFZ12" s="118"/>
      <c r="JGA12" s="118"/>
      <c r="JGB12" s="118"/>
      <c r="JGC12" s="118"/>
      <c r="JGD12" s="118"/>
      <c r="JGE12" s="118"/>
      <c r="JGF12" s="118"/>
      <c r="JGG12" s="118"/>
      <c r="JGH12" s="118"/>
      <c r="JGI12" s="118"/>
      <c r="JGJ12" s="118"/>
      <c r="JGK12" s="118"/>
      <c r="JGL12" s="118"/>
      <c r="JGM12" s="118"/>
      <c r="JGN12" s="118"/>
      <c r="JGO12" s="118"/>
      <c r="JGP12" s="118"/>
      <c r="JGQ12" s="118"/>
      <c r="JGR12" s="118"/>
      <c r="JGS12" s="118"/>
      <c r="JGT12" s="118"/>
      <c r="JGU12" s="118"/>
      <c r="JGV12" s="118"/>
      <c r="JGW12" s="118"/>
      <c r="JGX12" s="118"/>
      <c r="JGY12" s="118"/>
      <c r="JGZ12" s="118"/>
      <c r="JHA12" s="118"/>
      <c r="JHB12" s="118"/>
      <c r="JHC12" s="118"/>
      <c r="JHD12" s="118"/>
      <c r="JHE12" s="118"/>
      <c r="JHF12" s="118"/>
      <c r="JHG12" s="118"/>
      <c r="JHH12" s="118"/>
      <c r="JHI12" s="118"/>
      <c r="JHJ12" s="118"/>
      <c r="JHK12" s="118"/>
      <c r="JHL12" s="118"/>
      <c r="JHM12" s="118"/>
      <c r="JHN12" s="118"/>
      <c r="JHO12" s="118"/>
      <c r="JHP12" s="118"/>
      <c r="JHQ12" s="118"/>
      <c r="JHR12" s="118"/>
      <c r="JHS12" s="118"/>
      <c r="JHT12" s="118"/>
      <c r="JHU12" s="118"/>
      <c r="JHV12" s="118"/>
      <c r="JHW12" s="118"/>
      <c r="JHX12" s="118"/>
      <c r="JHY12" s="118"/>
      <c r="JHZ12" s="118"/>
      <c r="JIA12" s="118"/>
      <c r="JIB12" s="118"/>
      <c r="JIC12" s="118"/>
      <c r="JID12" s="118"/>
      <c r="JIE12" s="118"/>
      <c r="JIF12" s="118"/>
      <c r="JIG12" s="118"/>
      <c r="JIH12" s="118"/>
      <c r="JII12" s="118"/>
      <c r="JIJ12" s="118"/>
      <c r="JIK12" s="118"/>
      <c r="JIL12" s="118"/>
      <c r="JIM12" s="118"/>
      <c r="JIN12" s="118"/>
      <c r="JIO12" s="118"/>
      <c r="JIP12" s="118"/>
      <c r="JIQ12" s="118"/>
      <c r="JIR12" s="118"/>
      <c r="JIS12" s="118"/>
      <c r="JIT12" s="118"/>
      <c r="JIU12" s="118"/>
      <c r="JIV12" s="118"/>
      <c r="JIW12" s="118"/>
      <c r="JIX12" s="118"/>
      <c r="JIY12" s="118"/>
      <c r="JIZ12" s="118"/>
      <c r="JJA12" s="118"/>
      <c r="JJB12" s="118"/>
      <c r="JJC12" s="118"/>
      <c r="JJD12" s="118"/>
      <c r="JJE12" s="118"/>
      <c r="JJF12" s="118"/>
      <c r="JJG12" s="118"/>
      <c r="JJH12" s="118"/>
      <c r="JJI12" s="118"/>
      <c r="JJJ12" s="118"/>
      <c r="JJK12" s="118"/>
      <c r="JJL12" s="118"/>
      <c r="JJM12" s="118"/>
      <c r="JJN12" s="118"/>
      <c r="JJO12" s="118"/>
      <c r="JJP12" s="118"/>
      <c r="JJQ12" s="118"/>
      <c r="JJR12" s="118"/>
      <c r="JJS12" s="118"/>
      <c r="JJT12" s="118"/>
      <c r="JJU12" s="118"/>
      <c r="JJV12" s="118"/>
      <c r="JJW12" s="118"/>
      <c r="JJX12" s="118"/>
      <c r="JJY12" s="118"/>
      <c r="JJZ12" s="118"/>
      <c r="JKA12" s="118"/>
      <c r="JKB12" s="118"/>
      <c r="JKC12" s="118"/>
      <c r="JKD12" s="118"/>
      <c r="JKE12" s="118"/>
      <c r="JKF12" s="118"/>
      <c r="JKG12" s="118"/>
      <c r="JKH12" s="118"/>
      <c r="JKI12" s="118"/>
      <c r="JKJ12" s="118"/>
      <c r="JKK12" s="118"/>
      <c r="JKL12" s="118"/>
      <c r="JKM12" s="118"/>
      <c r="JKN12" s="118"/>
      <c r="JKO12" s="118"/>
      <c r="JKP12" s="118"/>
      <c r="JKQ12" s="118"/>
      <c r="JKR12" s="118"/>
      <c r="JKS12" s="118"/>
      <c r="JKT12" s="118"/>
      <c r="JKU12" s="118"/>
      <c r="JKV12" s="118"/>
      <c r="JKW12" s="118"/>
      <c r="JKX12" s="118"/>
      <c r="JKY12" s="118"/>
      <c r="JKZ12" s="118"/>
      <c r="JLA12" s="118"/>
      <c r="JLB12" s="118"/>
      <c r="JLC12" s="118"/>
      <c r="JLD12" s="118"/>
      <c r="JLE12" s="118"/>
      <c r="JLF12" s="118"/>
      <c r="JLG12" s="118"/>
      <c r="JLH12" s="118"/>
      <c r="JLI12" s="118"/>
      <c r="JLJ12" s="118"/>
      <c r="JLK12" s="118"/>
      <c r="JLL12" s="118"/>
      <c r="JLM12" s="118"/>
      <c r="JLN12" s="118"/>
      <c r="JLO12" s="118"/>
      <c r="JLP12" s="118"/>
      <c r="JLQ12" s="118"/>
      <c r="JLR12" s="118"/>
      <c r="JLS12" s="118"/>
      <c r="JLT12" s="118"/>
      <c r="JLU12" s="118"/>
      <c r="JLV12" s="118"/>
      <c r="JLW12" s="118"/>
      <c r="JLX12" s="118"/>
      <c r="JLY12" s="118"/>
      <c r="JLZ12" s="118"/>
      <c r="JMA12" s="118"/>
      <c r="JMB12" s="118"/>
      <c r="JMC12" s="118"/>
      <c r="JMD12" s="118"/>
      <c r="JME12" s="118"/>
      <c r="JMF12" s="118"/>
      <c r="JMG12" s="118"/>
      <c r="JMH12" s="118"/>
      <c r="JMI12" s="118"/>
      <c r="JMJ12" s="118"/>
      <c r="JMK12" s="118"/>
      <c r="JML12" s="118"/>
      <c r="JMM12" s="118"/>
      <c r="JMN12" s="118"/>
      <c r="JMO12" s="118"/>
      <c r="JMP12" s="118"/>
      <c r="JMQ12" s="118"/>
      <c r="JMR12" s="118"/>
      <c r="JMS12" s="118"/>
      <c r="JMT12" s="118"/>
      <c r="JMU12" s="118"/>
      <c r="JMV12" s="118"/>
      <c r="JMW12" s="118"/>
      <c r="JMX12" s="118"/>
      <c r="JMY12" s="118"/>
      <c r="JMZ12" s="118"/>
      <c r="JNA12" s="118"/>
      <c r="JNB12" s="118"/>
      <c r="JNC12" s="118"/>
      <c r="JND12" s="118"/>
      <c r="JNE12" s="118"/>
      <c r="JNF12" s="118"/>
      <c r="JNG12" s="118"/>
      <c r="JNH12" s="118"/>
      <c r="JNI12" s="118"/>
      <c r="JNJ12" s="118"/>
      <c r="JNK12" s="118"/>
      <c r="JNL12" s="118"/>
      <c r="JNM12" s="118"/>
      <c r="JNN12" s="118"/>
      <c r="JNO12" s="118"/>
      <c r="JNP12" s="118"/>
      <c r="JNQ12" s="118"/>
      <c r="JNR12" s="118"/>
      <c r="JNS12" s="118"/>
      <c r="JNT12" s="118"/>
      <c r="JNU12" s="118"/>
      <c r="JNV12" s="118"/>
      <c r="JNW12" s="118"/>
      <c r="JNX12" s="118"/>
      <c r="JNY12" s="118"/>
      <c r="JNZ12" s="118"/>
      <c r="JOA12" s="118"/>
      <c r="JOB12" s="118"/>
      <c r="JOC12" s="118"/>
      <c r="JOD12" s="118"/>
      <c r="JOE12" s="118"/>
      <c r="JOF12" s="118"/>
      <c r="JOG12" s="118"/>
      <c r="JOH12" s="118"/>
      <c r="JOI12" s="118"/>
      <c r="JOJ12" s="118"/>
      <c r="JOK12" s="118"/>
      <c r="JOL12" s="118"/>
      <c r="JOM12" s="118"/>
      <c r="JON12" s="118"/>
      <c r="JOO12" s="118"/>
      <c r="JOP12" s="118"/>
      <c r="JOQ12" s="118"/>
      <c r="JOR12" s="118"/>
      <c r="JOS12" s="118"/>
      <c r="JOT12" s="118"/>
      <c r="JOU12" s="118"/>
      <c r="JOV12" s="118"/>
      <c r="JOW12" s="118"/>
      <c r="JOX12" s="118"/>
      <c r="JOY12" s="118"/>
      <c r="JOZ12" s="118"/>
      <c r="JPA12" s="118"/>
      <c r="JPB12" s="118"/>
      <c r="JPC12" s="118"/>
      <c r="JPD12" s="118"/>
      <c r="JPE12" s="118"/>
      <c r="JPF12" s="118"/>
      <c r="JPG12" s="118"/>
      <c r="JPH12" s="118"/>
      <c r="JPI12" s="118"/>
      <c r="JPJ12" s="118"/>
      <c r="JPK12" s="118"/>
      <c r="JPL12" s="118"/>
      <c r="JPM12" s="118"/>
      <c r="JPN12" s="118"/>
      <c r="JPO12" s="118"/>
      <c r="JPP12" s="118"/>
      <c r="JPQ12" s="118"/>
      <c r="JPR12" s="118"/>
      <c r="JPS12" s="118"/>
      <c r="JPT12" s="118"/>
      <c r="JPU12" s="118"/>
      <c r="JPV12" s="118"/>
      <c r="JPW12" s="118"/>
      <c r="JPX12" s="118"/>
      <c r="JPY12" s="118"/>
      <c r="JPZ12" s="118"/>
      <c r="JQA12" s="118"/>
      <c r="JQB12" s="118"/>
      <c r="JQC12" s="118"/>
      <c r="JQD12" s="118"/>
      <c r="JQE12" s="118"/>
      <c r="JQF12" s="118"/>
      <c r="JQG12" s="118"/>
      <c r="JQH12" s="118"/>
      <c r="JQI12" s="118"/>
      <c r="JQJ12" s="118"/>
      <c r="JQK12" s="118"/>
      <c r="JQL12" s="118"/>
      <c r="JQM12" s="118"/>
      <c r="JQN12" s="118"/>
      <c r="JQO12" s="118"/>
      <c r="JQP12" s="118"/>
      <c r="JQQ12" s="118"/>
      <c r="JQR12" s="118"/>
      <c r="JQS12" s="118"/>
      <c r="JQT12" s="118"/>
      <c r="JQU12" s="118"/>
      <c r="JQV12" s="118"/>
      <c r="JQW12" s="118"/>
      <c r="JQX12" s="118"/>
      <c r="JQY12" s="118"/>
      <c r="JQZ12" s="118"/>
      <c r="JRA12" s="118"/>
      <c r="JRB12" s="118"/>
      <c r="JRC12" s="118"/>
      <c r="JRD12" s="118"/>
      <c r="JRE12" s="118"/>
      <c r="JRF12" s="118"/>
      <c r="JRG12" s="118"/>
      <c r="JRH12" s="118"/>
      <c r="JRI12" s="118"/>
      <c r="JRJ12" s="118"/>
      <c r="JRK12" s="118"/>
      <c r="JRL12" s="118"/>
      <c r="JRM12" s="118"/>
      <c r="JRN12" s="118"/>
      <c r="JRO12" s="118"/>
      <c r="JRP12" s="118"/>
      <c r="JRQ12" s="118"/>
      <c r="JRR12" s="118"/>
      <c r="JRS12" s="118"/>
      <c r="JRT12" s="118"/>
      <c r="JRU12" s="118"/>
      <c r="JRV12" s="118"/>
      <c r="JRW12" s="118"/>
      <c r="JRX12" s="118"/>
      <c r="JRY12" s="118"/>
      <c r="JRZ12" s="118"/>
      <c r="JSA12" s="118"/>
      <c r="JSB12" s="118"/>
      <c r="JSC12" s="118"/>
      <c r="JSD12" s="118"/>
      <c r="JSE12" s="118"/>
      <c r="JSF12" s="118"/>
      <c r="JSG12" s="118"/>
      <c r="JSH12" s="118"/>
      <c r="JSI12" s="118"/>
      <c r="JSJ12" s="118"/>
      <c r="JSK12" s="118"/>
      <c r="JSL12" s="118"/>
      <c r="JSM12" s="118"/>
      <c r="JSN12" s="118"/>
      <c r="JSO12" s="118"/>
      <c r="JSP12" s="118"/>
      <c r="JSQ12" s="118"/>
      <c r="JSR12" s="118"/>
      <c r="JSS12" s="118"/>
      <c r="JST12" s="118"/>
      <c r="JSU12" s="118"/>
      <c r="JSV12" s="118"/>
      <c r="JSW12" s="118"/>
      <c r="JSX12" s="118"/>
      <c r="JSY12" s="118"/>
      <c r="JSZ12" s="118"/>
      <c r="JTA12" s="118"/>
      <c r="JTB12" s="118"/>
      <c r="JTC12" s="118"/>
      <c r="JTD12" s="118"/>
      <c r="JTE12" s="118"/>
      <c r="JTF12" s="118"/>
      <c r="JTG12" s="118"/>
      <c r="JTH12" s="118"/>
      <c r="JTI12" s="118"/>
      <c r="JTJ12" s="118"/>
      <c r="JTK12" s="118"/>
      <c r="JTL12" s="118"/>
      <c r="JTM12" s="118"/>
      <c r="JTN12" s="118"/>
      <c r="JTO12" s="118"/>
      <c r="JTP12" s="118"/>
      <c r="JTQ12" s="118"/>
      <c r="JTR12" s="118"/>
      <c r="JTS12" s="118"/>
      <c r="JTT12" s="118"/>
      <c r="JTU12" s="118"/>
      <c r="JTV12" s="118"/>
      <c r="JTW12" s="118"/>
      <c r="JTX12" s="118"/>
      <c r="JTY12" s="118"/>
      <c r="JTZ12" s="118"/>
      <c r="JUA12" s="118"/>
      <c r="JUB12" s="118"/>
      <c r="JUC12" s="118"/>
      <c r="JUD12" s="118"/>
      <c r="JUE12" s="118"/>
      <c r="JUF12" s="118"/>
      <c r="JUG12" s="118"/>
      <c r="JUH12" s="118"/>
      <c r="JUI12" s="118"/>
      <c r="JUJ12" s="118"/>
      <c r="JUK12" s="118"/>
      <c r="JUL12" s="118"/>
      <c r="JUM12" s="118"/>
      <c r="JUN12" s="118"/>
      <c r="JUO12" s="118"/>
      <c r="JUP12" s="118"/>
      <c r="JUQ12" s="118"/>
      <c r="JUR12" s="118"/>
      <c r="JUS12" s="118"/>
      <c r="JUT12" s="118"/>
      <c r="JUU12" s="118"/>
      <c r="JUV12" s="118"/>
      <c r="JUW12" s="118"/>
      <c r="JUX12" s="118"/>
      <c r="JUY12" s="118"/>
      <c r="JUZ12" s="118"/>
      <c r="JVA12" s="118"/>
      <c r="JVB12" s="118"/>
      <c r="JVC12" s="118"/>
      <c r="JVD12" s="118"/>
      <c r="JVE12" s="118"/>
      <c r="JVF12" s="118"/>
      <c r="JVG12" s="118"/>
      <c r="JVH12" s="118"/>
      <c r="JVI12" s="118"/>
      <c r="JVJ12" s="118"/>
      <c r="JVK12" s="118"/>
      <c r="JVL12" s="118"/>
      <c r="JVM12" s="118"/>
      <c r="JVN12" s="118"/>
      <c r="JVO12" s="118"/>
      <c r="JVP12" s="118"/>
      <c r="JVQ12" s="118"/>
      <c r="JVR12" s="118"/>
      <c r="JVS12" s="118"/>
      <c r="JVT12" s="118"/>
      <c r="JVU12" s="118"/>
      <c r="JVV12" s="118"/>
      <c r="JVW12" s="118"/>
      <c r="JVX12" s="118"/>
      <c r="JVY12" s="118"/>
      <c r="JVZ12" s="118"/>
      <c r="JWA12" s="118"/>
      <c r="JWB12" s="118"/>
      <c r="JWC12" s="118"/>
      <c r="JWD12" s="118"/>
      <c r="JWE12" s="118"/>
      <c r="JWF12" s="118"/>
      <c r="JWG12" s="118"/>
      <c r="JWH12" s="118"/>
      <c r="JWI12" s="118"/>
      <c r="JWJ12" s="118"/>
      <c r="JWK12" s="118"/>
      <c r="JWL12" s="118"/>
      <c r="JWM12" s="118"/>
      <c r="JWN12" s="118"/>
      <c r="JWO12" s="118"/>
      <c r="JWP12" s="118"/>
      <c r="JWQ12" s="118"/>
      <c r="JWR12" s="118"/>
      <c r="JWS12" s="118"/>
      <c r="JWT12" s="118"/>
      <c r="JWU12" s="118"/>
      <c r="JWV12" s="118"/>
      <c r="JWW12" s="118"/>
      <c r="JWX12" s="118"/>
      <c r="JWY12" s="118"/>
      <c r="JWZ12" s="118"/>
      <c r="JXA12" s="118"/>
      <c r="JXB12" s="118"/>
      <c r="JXC12" s="118"/>
      <c r="JXD12" s="118"/>
      <c r="JXE12" s="118"/>
      <c r="JXF12" s="118"/>
      <c r="JXG12" s="118"/>
      <c r="JXH12" s="118"/>
      <c r="JXI12" s="118"/>
      <c r="JXJ12" s="118"/>
      <c r="JXK12" s="118"/>
      <c r="JXL12" s="118"/>
      <c r="JXM12" s="118"/>
      <c r="JXN12" s="118"/>
      <c r="JXO12" s="118"/>
      <c r="JXP12" s="118"/>
      <c r="JXQ12" s="118"/>
      <c r="JXR12" s="118"/>
      <c r="JXS12" s="118"/>
      <c r="JXT12" s="118"/>
      <c r="JXU12" s="118"/>
      <c r="JXV12" s="118"/>
      <c r="JXW12" s="118"/>
      <c r="JXX12" s="118"/>
      <c r="JXY12" s="118"/>
      <c r="JXZ12" s="118"/>
      <c r="JYA12" s="118"/>
      <c r="JYB12" s="118"/>
      <c r="JYC12" s="118"/>
      <c r="JYD12" s="118"/>
      <c r="JYE12" s="118"/>
      <c r="JYF12" s="118"/>
      <c r="JYG12" s="118"/>
      <c r="JYH12" s="118"/>
      <c r="JYI12" s="118"/>
      <c r="JYJ12" s="118"/>
      <c r="JYK12" s="118"/>
      <c r="JYL12" s="118"/>
      <c r="JYM12" s="118"/>
      <c r="JYN12" s="118"/>
      <c r="JYO12" s="118"/>
      <c r="JYP12" s="118"/>
      <c r="JYQ12" s="118"/>
      <c r="JYR12" s="118"/>
      <c r="JYS12" s="118"/>
      <c r="JYT12" s="118"/>
      <c r="JYU12" s="118"/>
      <c r="JYV12" s="118"/>
      <c r="JYW12" s="118"/>
      <c r="JYX12" s="118"/>
      <c r="JYY12" s="118"/>
      <c r="JYZ12" s="118"/>
      <c r="JZA12" s="118"/>
      <c r="JZB12" s="118"/>
      <c r="JZC12" s="118"/>
      <c r="JZD12" s="118"/>
      <c r="JZE12" s="118"/>
      <c r="JZF12" s="118"/>
      <c r="JZG12" s="118"/>
      <c r="JZH12" s="118"/>
      <c r="JZI12" s="118"/>
      <c r="JZJ12" s="118"/>
      <c r="JZK12" s="118"/>
      <c r="JZL12" s="118"/>
      <c r="JZM12" s="118"/>
      <c r="JZN12" s="118"/>
      <c r="JZO12" s="118"/>
      <c r="JZP12" s="118"/>
      <c r="JZQ12" s="118"/>
      <c r="JZR12" s="118"/>
      <c r="JZS12" s="118"/>
      <c r="JZT12" s="118"/>
      <c r="JZU12" s="118"/>
      <c r="JZV12" s="118"/>
      <c r="JZW12" s="118"/>
      <c r="JZX12" s="118"/>
      <c r="JZY12" s="118"/>
      <c r="JZZ12" s="118"/>
      <c r="KAA12" s="118"/>
      <c r="KAB12" s="118"/>
      <c r="KAC12" s="118"/>
      <c r="KAD12" s="118"/>
      <c r="KAE12" s="118"/>
      <c r="KAF12" s="118"/>
      <c r="KAG12" s="118"/>
      <c r="KAH12" s="118"/>
      <c r="KAI12" s="118"/>
      <c r="KAJ12" s="118"/>
      <c r="KAK12" s="118"/>
      <c r="KAL12" s="118"/>
      <c r="KAM12" s="118"/>
      <c r="KAN12" s="118"/>
      <c r="KAO12" s="118"/>
      <c r="KAP12" s="118"/>
      <c r="KAQ12" s="118"/>
      <c r="KAR12" s="118"/>
      <c r="KAS12" s="118"/>
      <c r="KAT12" s="118"/>
      <c r="KAU12" s="118"/>
      <c r="KAV12" s="118"/>
      <c r="KAW12" s="118"/>
      <c r="KAX12" s="118"/>
      <c r="KAY12" s="118"/>
      <c r="KAZ12" s="118"/>
      <c r="KBA12" s="118"/>
      <c r="KBB12" s="118"/>
      <c r="KBC12" s="118"/>
      <c r="KBD12" s="118"/>
      <c r="KBE12" s="118"/>
      <c r="KBF12" s="118"/>
      <c r="KBG12" s="118"/>
      <c r="KBH12" s="118"/>
      <c r="KBI12" s="118"/>
      <c r="KBJ12" s="118"/>
      <c r="KBK12" s="118"/>
      <c r="KBL12" s="118"/>
      <c r="KBM12" s="118"/>
      <c r="KBN12" s="118"/>
      <c r="KBO12" s="118"/>
      <c r="KBP12" s="118"/>
      <c r="KBQ12" s="118"/>
      <c r="KBR12" s="118"/>
      <c r="KBS12" s="118"/>
      <c r="KBT12" s="118"/>
      <c r="KBU12" s="118"/>
      <c r="KBV12" s="118"/>
      <c r="KBW12" s="118"/>
      <c r="KBX12" s="118"/>
      <c r="KBY12" s="118"/>
      <c r="KBZ12" s="118"/>
      <c r="KCA12" s="118"/>
      <c r="KCB12" s="118"/>
      <c r="KCC12" s="118"/>
      <c r="KCD12" s="118"/>
      <c r="KCE12" s="118"/>
      <c r="KCF12" s="118"/>
      <c r="KCG12" s="118"/>
      <c r="KCH12" s="118"/>
      <c r="KCI12" s="118"/>
      <c r="KCJ12" s="118"/>
      <c r="KCK12" s="118"/>
      <c r="KCL12" s="118"/>
      <c r="KCM12" s="118"/>
      <c r="KCN12" s="118"/>
      <c r="KCO12" s="118"/>
      <c r="KCP12" s="118"/>
      <c r="KCQ12" s="118"/>
      <c r="KCR12" s="118"/>
      <c r="KCS12" s="118"/>
      <c r="KCT12" s="118"/>
      <c r="KCU12" s="118"/>
      <c r="KCV12" s="118"/>
      <c r="KCW12" s="118"/>
      <c r="KCX12" s="118"/>
      <c r="KCY12" s="118"/>
      <c r="KCZ12" s="118"/>
      <c r="KDA12" s="118"/>
      <c r="KDB12" s="118"/>
      <c r="KDC12" s="118"/>
      <c r="KDD12" s="118"/>
      <c r="KDE12" s="118"/>
      <c r="KDF12" s="118"/>
      <c r="KDG12" s="118"/>
      <c r="KDH12" s="118"/>
      <c r="KDI12" s="118"/>
      <c r="KDJ12" s="118"/>
      <c r="KDK12" s="118"/>
      <c r="KDL12" s="118"/>
      <c r="KDM12" s="118"/>
      <c r="KDN12" s="118"/>
      <c r="KDO12" s="118"/>
      <c r="KDP12" s="118"/>
      <c r="KDQ12" s="118"/>
      <c r="KDR12" s="118"/>
      <c r="KDS12" s="118"/>
      <c r="KDT12" s="118"/>
      <c r="KDU12" s="118"/>
      <c r="KDV12" s="118"/>
      <c r="KDW12" s="118"/>
      <c r="KDX12" s="118"/>
      <c r="KDY12" s="118"/>
      <c r="KDZ12" s="118"/>
      <c r="KEA12" s="118"/>
      <c r="KEB12" s="118"/>
      <c r="KEC12" s="118"/>
      <c r="KED12" s="118"/>
      <c r="KEE12" s="118"/>
      <c r="KEF12" s="118"/>
      <c r="KEG12" s="118"/>
      <c r="KEH12" s="118"/>
      <c r="KEI12" s="118"/>
      <c r="KEJ12" s="118"/>
      <c r="KEK12" s="118"/>
      <c r="KEL12" s="118"/>
      <c r="KEM12" s="118"/>
      <c r="KEN12" s="118"/>
      <c r="KEO12" s="118"/>
      <c r="KEP12" s="118"/>
      <c r="KEQ12" s="118"/>
      <c r="KER12" s="118"/>
      <c r="KES12" s="118"/>
      <c r="KET12" s="118"/>
      <c r="KEU12" s="118"/>
      <c r="KEV12" s="118"/>
      <c r="KEW12" s="118"/>
      <c r="KEX12" s="118"/>
      <c r="KEY12" s="118"/>
      <c r="KEZ12" s="118"/>
      <c r="KFA12" s="118"/>
      <c r="KFB12" s="118"/>
      <c r="KFC12" s="118"/>
      <c r="KFD12" s="118"/>
      <c r="KFE12" s="118"/>
      <c r="KFF12" s="118"/>
      <c r="KFG12" s="118"/>
      <c r="KFH12" s="118"/>
      <c r="KFI12" s="118"/>
      <c r="KFJ12" s="118"/>
      <c r="KFK12" s="118"/>
      <c r="KFL12" s="118"/>
      <c r="KFM12" s="118"/>
      <c r="KFN12" s="118"/>
      <c r="KFO12" s="118"/>
      <c r="KFP12" s="118"/>
      <c r="KFQ12" s="118"/>
      <c r="KFR12" s="118"/>
      <c r="KFS12" s="118"/>
      <c r="KFT12" s="118"/>
      <c r="KFU12" s="118"/>
      <c r="KFV12" s="118"/>
      <c r="KFW12" s="118"/>
      <c r="KFX12" s="118"/>
      <c r="KFY12" s="118"/>
      <c r="KFZ12" s="118"/>
      <c r="KGA12" s="118"/>
      <c r="KGB12" s="118"/>
      <c r="KGC12" s="118"/>
      <c r="KGD12" s="118"/>
      <c r="KGE12" s="118"/>
      <c r="KGF12" s="118"/>
      <c r="KGG12" s="118"/>
      <c r="KGH12" s="118"/>
      <c r="KGI12" s="118"/>
      <c r="KGJ12" s="118"/>
      <c r="KGK12" s="118"/>
      <c r="KGL12" s="118"/>
      <c r="KGM12" s="118"/>
      <c r="KGN12" s="118"/>
      <c r="KGO12" s="118"/>
      <c r="KGP12" s="118"/>
      <c r="KGQ12" s="118"/>
      <c r="KGR12" s="118"/>
      <c r="KGS12" s="118"/>
      <c r="KGT12" s="118"/>
      <c r="KGU12" s="118"/>
      <c r="KGV12" s="118"/>
      <c r="KGW12" s="118"/>
      <c r="KGX12" s="118"/>
      <c r="KGY12" s="118"/>
      <c r="KGZ12" s="118"/>
      <c r="KHA12" s="118"/>
      <c r="KHB12" s="118"/>
      <c r="KHC12" s="118"/>
      <c r="KHD12" s="118"/>
      <c r="KHE12" s="118"/>
      <c r="KHF12" s="118"/>
      <c r="KHG12" s="118"/>
      <c r="KHH12" s="118"/>
      <c r="KHI12" s="118"/>
      <c r="KHJ12" s="118"/>
      <c r="KHK12" s="118"/>
      <c r="KHL12" s="118"/>
      <c r="KHM12" s="118"/>
      <c r="KHN12" s="118"/>
      <c r="KHO12" s="118"/>
      <c r="KHP12" s="118"/>
      <c r="KHQ12" s="118"/>
      <c r="KHR12" s="118"/>
      <c r="KHS12" s="118"/>
      <c r="KHT12" s="118"/>
      <c r="KHU12" s="118"/>
      <c r="KHV12" s="118"/>
      <c r="KHW12" s="118"/>
      <c r="KHX12" s="118"/>
      <c r="KHY12" s="118"/>
      <c r="KHZ12" s="118"/>
      <c r="KIA12" s="118"/>
      <c r="KIB12" s="118"/>
      <c r="KIC12" s="118"/>
      <c r="KID12" s="118"/>
      <c r="KIE12" s="118"/>
      <c r="KIF12" s="118"/>
      <c r="KIG12" s="118"/>
      <c r="KIH12" s="118"/>
      <c r="KII12" s="118"/>
      <c r="KIJ12" s="118"/>
      <c r="KIK12" s="118"/>
      <c r="KIL12" s="118"/>
      <c r="KIM12" s="118"/>
      <c r="KIN12" s="118"/>
      <c r="KIO12" s="118"/>
      <c r="KIP12" s="118"/>
      <c r="KIQ12" s="118"/>
      <c r="KIR12" s="118"/>
      <c r="KIS12" s="118"/>
      <c r="KIT12" s="118"/>
      <c r="KIU12" s="118"/>
      <c r="KIV12" s="118"/>
      <c r="KIW12" s="118"/>
      <c r="KIX12" s="118"/>
      <c r="KIY12" s="118"/>
      <c r="KIZ12" s="118"/>
      <c r="KJA12" s="118"/>
      <c r="KJB12" s="118"/>
      <c r="KJC12" s="118"/>
      <c r="KJD12" s="118"/>
      <c r="KJE12" s="118"/>
      <c r="KJF12" s="118"/>
      <c r="KJG12" s="118"/>
      <c r="KJH12" s="118"/>
      <c r="KJI12" s="118"/>
      <c r="KJJ12" s="118"/>
      <c r="KJK12" s="118"/>
      <c r="KJL12" s="118"/>
      <c r="KJM12" s="118"/>
      <c r="KJN12" s="118"/>
      <c r="KJO12" s="118"/>
      <c r="KJP12" s="118"/>
      <c r="KJQ12" s="118"/>
      <c r="KJR12" s="118"/>
      <c r="KJS12" s="118"/>
      <c r="KJT12" s="118"/>
      <c r="KJU12" s="118"/>
      <c r="KJV12" s="118"/>
      <c r="KJW12" s="118"/>
      <c r="KJX12" s="118"/>
      <c r="KJY12" s="118"/>
      <c r="KJZ12" s="118"/>
      <c r="KKA12" s="118"/>
      <c r="KKB12" s="118"/>
      <c r="KKC12" s="118"/>
      <c r="KKD12" s="118"/>
      <c r="KKE12" s="118"/>
      <c r="KKF12" s="118"/>
      <c r="KKG12" s="118"/>
      <c r="KKH12" s="118"/>
      <c r="KKI12" s="118"/>
      <c r="KKJ12" s="118"/>
      <c r="KKK12" s="118"/>
      <c r="KKL12" s="118"/>
      <c r="KKM12" s="118"/>
      <c r="KKN12" s="118"/>
      <c r="KKO12" s="118"/>
      <c r="KKP12" s="118"/>
      <c r="KKQ12" s="118"/>
      <c r="KKR12" s="118"/>
      <c r="KKS12" s="118"/>
      <c r="KKT12" s="118"/>
      <c r="KKU12" s="118"/>
      <c r="KKV12" s="118"/>
      <c r="KKW12" s="118"/>
      <c r="KKX12" s="118"/>
      <c r="KKY12" s="118"/>
      <c r="KKZ12" s="118"/>
      <c r="KLA12" s="118"/>
      <c r="KLB12" s="118"/>
      <c r="KLC12" s="118"/>
      <c r="KLD12" s="118"/>
      <c r="KLE12" s="118"/>
      <c r="KLF12" s="118"/>
      <c r="KLG12" s="118"/>
      <c r="KLH12" s="118"/>
      <c r="KLI12" s="118"/>
      <c r="KLJ12" s="118"/>
      <c r="KLK12" s="118"/>
      <c r="KLL12" s="118"/>
      <c r="KLM12" s="118"/>
      <c r="KLN12" s="118"/>
      <c r="KLO12" s="118"/>
      <c r="KLP12" s="118"/>
      <c r="KLQ12" s="118"/>
      <c r="KLR12" s="118"/>
      <c r="KLS12" s="118"/>
      <c r="KLT12" s="118"/>
      <c r="KLU12" s="118"/>
      <c r="KLV12" s="118"/>
      <c r="KLW12" s="118"/>
      <c r="KLX12" s="118"/>
      <c r="KLY12" s="118"/>
      <c r="KLZ12" s="118"/>
      <c r="KMA12" s="118"/>
      <c r="KMB12" s="118"/>
      <c r="KMC12" s="118"/>
      <c r="KMD12" s="118"/>
      <c r="KME12" s="118"/>
      <c r="KMF12" s="118"/>
      <c r="KMG12" s="118"/>
      <c r="KMH12" s="118"/>
      <c r="KMI12" s="118"/>
      <c r="KMJ12" s="118"/>
      <c r="KMK12" s="118"/>
      <c r="KML12" s="118"/>
      <c r="KMM12" s="118"/>
      <c r="KMN12" s="118"/>
      <c r="KMO12" s="118"/>
      <c r="KMP12" s="118"/>
      <c r="KMQ12" s="118"/>
      <c r="KMR12" s="118"/>
      <c r="KMS12" s="118"/>
      <c r="KMT12" s="118"/>
      <c r="KMU12" s="118"/>
      <c r="KMV12" s="118"/>
      <c r="KMW12" s="118"/>
      <c r="KMX12" s="118"/>
      <c r="KMY12" s="118"/>
      <c r="KMZ12" s="118"/>
      <c r="KNA12" s="118"/>
      <c r="KNB12" s="118"/>
      <c r="KNC12" s="118"/>
      <c r="KND12" s="118"/>
      <c r="KNE12" s="118"/>
      <c r="KNF12" s="118"/>
      <c r="KNG12" s="118"/>
      <c r="KNH12" s="118"/>
      <c r="KNI12" s="118"/>
      <c r="KNJ12" s="118"/>
      <c r="KNK12" s="118"/>
      <c r="KNL12" s="118"/>
      <c r="KNM12" s="118"/>
      <c r="KNN12" s="118"/>
      <c r="KNO12" s="118"/>
      <c r="KNP12" s="118"/>
      <c r="KNQ12" s="118"/>
      <c r="KNR12" s="118"/>
      <c r="KNS12" s="118"/>
      <c r="KNT12" s="118"/>
      <c r="KNU12" s="118"/>
      <c r="KNV12" s="118"/>
      <c r="KNW12" s="118"/>
      <c r="KNX12" s="118"/>
      <c r="KNY12" s="118"/>
      <c r="KNZ12" s="118"/>
      <c r="KOA12" s="118"/>
      <c r="KOB12" s="118"/>
      <c r="KOC12" s="118"/>
      <c r="KOD12" s="118"/>
      <c r="KOE12" s="118"/>
      <c r="KOF12" s="118"/>
      <c r="KOG12" s="118"/>
      <c r="KOH12" s="118"/>
      <c r="KOI12" s="118"/>
      <c r="KOJ12" s="118"/>
      <c r="KOK12" s="118"/>
      <c r="KOL12" s="118"/>
      <c r="KOM12" s="118"/>
      <c r="KON12" s="118"/>
      <c r="KOO12" s="118"/>
      <c r="KOP12" s="118"/>
      <c r="KOQ12" s="118"/>
      <c r="KOR12" s="118"/>
      <c r="KOS12" s="118"/>
      <c r="KOT12" s="118"/>
      <c r="KOU12" s="118"/>
      <c r="KOV12" s="118"/>
      <c r="KOW12" s="118"/>
      <c r="KOX12" s="118"/>
      <c r="KOY12" s="118"/>
      <c r="KOZ12" s="118"/>
      <c r="KPA12" s="118"/>
      <c r="KPB12" s="118"/>
      <c r="KPC12" s="118"/>
      <c r="KPD12" s="118"/>
      <c r="KPE12" s="118"/>
      <c r="KPF12" s="118"/>
      <c r="KPG12" s="118"/>
      <c r="KPH12" s="118"/>
      <c r="KPI12" s="118"/>
      <c r="KPJ12" s="118"/>
      <c r="KPK12" s="118"/>
      <c r="KPL12" s="118"/>
      <c r="KPM12" s="118"/>
      <c r="KPN12" s="118"/>
      <c r="KPO12" s="118"/>
      <c r="KPP12" s="118"/>
      <c r="KPQ12" s="118"/>
      <c r="KPR12" s="118"/>
      <c r="KPS12" s="118"/>
      <c r="KPT12" s="118"/>
      <c r="KPU12" s="118"/>
      <c r="KPV12" s="118"/>
      <c r="KPW12" s="118"/>
      <c r="KPX12" s="118"/>
      <c r="KPY12" s="118"/>
      <c r="KPZ12" s="118"/>
      <c r="KQA12" s="118"/>
      <c r="KQB12" s="118"/>
      <c r="KQC12" s="118"/>
      <c r="KQD12" s="118"/>
      <c r="KQE12" s="118"/>
      <c r="KQF12" s="118"/>
      <c r="KQG12" s="118"/>
      <c r="KQH12" s="118"/>
      <c r="KQI12" s="118"/>
      <c r="KQJ12" s="118"/>
      <c r="KQK12" s="118"/>
      <c r="KQL12" s="118"/>
      <c r="KQM12" s="118"/>
      <c r="KQN12" s="118"/>
      <c r="KQO12" s="118"/>
      <c r="KQP12" s="118"/>
      <c r="KQQ12" s="118"/>
      <c r="KQR12" s="118"/>
      <c r="KQS12" s="118"/>
      <c r="KQT12" s="118"/>
      <c r="KQU12" s="118"/>
      <c r="KQV12" s="118"/>
      <c r="KQW12" s="118"/>
      <c r="KQX12" s="118"/>
      <c r="KQY12" s="118"/>
      <c r="KQZ12" s="118"/>
      <c r="KRA12" s="118"/>
      <c r="KRB12" s="118"/>
      <c r="KRC12" s="118"/>
      <c r="KRD12" s="118"/>
      <c r="KRE12" s="118"/>
      <c r="KRF12" s="118"/>
      <c r="KRG12" s="118"/>
      <c r="KRH12" s="118"/>
      <c r="KRI12" s="118"/>
      <c r="KRJ12" s="118"/>
      <c r="KRK12" s="118"/>
      <c r="KRL12" s="118"/>
      <c r="KRM12" s="118"/>
      <c r="KRN12" s="118"/>
      <c r="KRO12" s="118"/>
      <c r="KRP12" s="118"/>
      <c r="KRQ12" s="118"/>
      <c r="KRR12" s="118"/>
      <c r="KRS12" s="118"/>
      <c r="KRT12" s="118"/>
      <c r="KRU12" s="118"/>
      <c r="KRV12" s="118"/>
      <c r="KRW12" s="118"/>
      <c r="KRX12" s="118"/>
      <c r="KRY12" s="118"/>
      <c r="KRZ12" s="118"/>
      <c r="KSA12" s="118"/>
      <c r="KSB12" s="118"/>
      <c r="KSC12" s="118"/>
      <c r="KSD12" s="118"/>
      <c r="KSE12" s="118"/>
      <c r="KSF12" s="118"/>
      <c r="KSG12" s="118"/>
      <c r="KSH12" s="118"/>
      <c r="KSI12" s="118"/>
      <c r="KSJ12" s="118"/>
      <c r="KSK12" s="118"/>
      <c r="KSL12" s="118"/>
      <c r="KSM12" s="118"/>
      <c r="KSN12" s="118"/>
      <c r="KSO12" s="118"/>
      <c r="KSP12" s="118"/>
      <c r="KSQ12" s="118"/>
      <c r="KSR12" s="118"/>
      <c r="KSS12" s="118"/>
      <c r="KST12" s="118"/>
      <c r="KSU12" s="118"/>
      <c r="KSV12" s="118"/>
      <c r="KSW12" s="118"/>
      <c r="KSX12" s="118"/>
      <c r="KSY12" s="118"/>
      <c r="KSZ12" s="118"/>
      <c r="KTA12" s="118"/>
      <c r="KTB12" s="118"/>
      <c r="KTC12" s="118"/>
      <c r="KTD12" s="118"/>
      <c r="KTE12" s="118"/>
      <c r="KTF12" s="118"/>
      <c r="KTG12" s="118"/>
      <c r="KTH12" s="118"/>
      <c r="KTI12" s="118"/>
      <c r="KTJ12" s="118"/>
      <c r="KTK12" s="118"/>
      <c r="KTL12" s="118"/>
      <c r="KTM12" s="118"/>
      <c r="KTN12" s="118"/>
      <c r="KTO12" s="118"/>
      <c r="KTP12" s="118"/>
      <c r="KTQ12" s="118"/>
      <c r="KTR12" s="118"/>
      <c r="KTS12" s="118"/>
      <c r="KTT12" s="118"/>
      <c r="KTU12" s="118"/>
      <c r="KTV12" s="118"/>
      <c r="KTW12" s="118"/>
      <c r="KTX12" s="118"/>
      <c r="KTY12" s="118"/>
      <c r="KTZ12" s="118"/>
      <c r="KUA12" s="118"/>
      <c r="KUB12" s="118"/>
      <c r="KUC12" s="118"/>
      <c r="KUD12" s="118"/>
      <c r="KUE12" s="118"/>
      <c r="KUF12" s="118"/>
      <c r="KUG12" s="118"/>
      <c r="KUH12" s="118"/>
      <c r="KUI12" s="118"/>
      <c r="KUJ12" s="118"/>
      <c r="KUK12" s="118"/>
      <c r="KUL12" s="118"/>
      <c r="KUM12" s="118"/>
      <c r="KUN12" s="118"/>
      <c r="KUO12" s="118"/>
      <c r="KUP12" s="118"/>
      <c r="KUQ12" s="118"/>
      <c r="KUR12" s="118"/>
      <c r="KUS12" s="118"/>
      <c r="KUT12" s="118"/>
      <c r="KUU12" s="118"/>
      <c r="KUV12" s="118"/>
      <c r="KUW12" s="118"/>
      <c r="KUX12" s="118"/>
      <c r="KUY12" s="118"/>
      <c r="KUZ12" s="118"/>
      <c r="KVA12" s="118"/>
      <c r="KVB12" s="118"/>
      <c r="KVC12" s="118"/>
      <c r="KVD12" s="118"/>
      <c r="KVE12" s="118"/>
      <c r="KVF12" s="118"/>
      <c r="KVG12" s="118"/>
      <c r="KVH12" s="118"/>
      <c r="KVI12" s="118"/>
      <c r="KVJ12" s="118"/>
      <c r="KVK12" s="118"/>
      <c r="KVL12" s="118"/>
      <c r="KVM12" s="118"/>
      <c r="KVN12" s="118"/>
      <c r="KVO12" s="118"/>
      <c r="KVP12" s="118"/>
      <c r="KVQ12" s="118"/>
      <c r="KVR12" s="118"/>
      <c r="KVS12" s="118"/>
      <c r="KVT12" s="118"/>
      <c r="KVU12" s="118"/>
      <c r="KVV12" s="118"/>
      <c r="KVW12" s="118"/>
      <c r="KVX12" s="118"/>
      <c r="KVY12" s="118"/>
      <c r="KVZ12" s="118"/>
      <c r="KWA12" s="118"/>
      <c r="KWB12" s="118"/>
      <c r="KWC12" s="118"/>
      <c r="KWD12" s="118"/>
      <c r="KWE12" s="118"/>
      <c r="KWF12" s="118"/>
      <c r="KWG12" s="118"/>
      <c r="KWH12" s="118"/>
      <c r="KWI12" s="118"/>
      <c r="KWJ12" s="118"/>
      <c r="KWK12" s="118"/>
      <c r="KWL12" s="118"/>
      <c r="KWM12" s="118"/>
      <c r="KWN12" s="118"/>
      <c r="KWO12" s="118"/>
      <c r="KWP12" s="118"/>
      <c r="KWQ12" s="118"/>
      <c r="KWR12" s="118"/>
      <c r="KWS12" s="118"/>
      <c r="KWT12" s="118"/>
      <c r="KWU12" s="118"/>
      <c r="KWV12" s="118"/>
      <c r="KWW12" s="118"/>
      <c r="KWX12" s="118"/>
      <c r="KWY12" s="118"/>
      <c r="KWZ12" s="118"/>
      <c r="KXA12" s="118"/>
      <c r="KXB12" s="118"/>
      <c r="KXC12" s="118"/>
      <c r="KXD12" s="118"/>
      <c r="KXE12" s="118"/>
      <c r="KXF12" s="118"/>
      <c r="KXG12" s="118"/>
      <c r="KXH12" s="118"/>
      <c r="KXI12" s="118"/>
      <c r="KXJ12" s="118"/>
      <c r="KXK12" s="118"/>
      <c r="KXL12" s="118"/>
      <c r="KXM12" s="118"/>
      <c r="KXN12" s="118"/>
      <c r="KXO12" s="118"/>
      <c r="KXP12" s="118"/>
      <c r="KXQ12" s="118"/>
      <c r="KXR12" s="118"/>
      <c r="KXS12" s="118"/>
      <c r="KXT12" s="118"/>
      <c r="KXU12" s="118"/>
      <c r="KXV12" s="118"/>
      <c r="KXW12" s="118"/>
      <c r="KXX12" s="118"/>
      <c r="KXY12" s="118"/>
      <c r="KXZ12" s="118"/>
      <c r="KYA12" s="118"/>
      <c r="KYB12" s="118"/>
      <c r="KYC12" s="118"/>
      <c r="KYD12" s="118"/>
      <c r="KYE12" s="118"/>
      <c r="KYF12" s="118"/>
      <c r="KYG12" s="118"/>
      <c r="KYH12" s="118"/>
      <c r="KYI12" s="118"/>
      <c r="KYJ12" s="118"/>
      <c r="KYK12" s="118"/>
      <c r="KYL12" s="118"/>
      <c r="KYM12" s="118"/>
      <c r="KYN12" s="118"/>
      <c r="KYO12" s="118"/>
      <c r="KYP12" s="118"/>
      <c r="KYQ12" s="118"/>
      <c r="KYR12" s="118"/>
      <c r="KYS12" s="118"/>
      <c r="KYT12" s="118"/>
      <c r="KYU12" s="118"/>
      <c r="KYV12" s="118"/>
      <c r="KYW12" s="118"/>
      <c r="KYX12" s="118"/>
      <c r="KYY12" s="118"/>
      <c r="KYZ12" s="118"/>
      <c r="KZA12" s="118"/>
      <c r="KZB12" s="118"/>
      <c r="KZC12" s="118"/>
      <c r="KZD12" s="118"/>
      <c r="KZE12" s="118"/>
      <c r="KZF12" s="118"/>
      <c r="KZG12" s="118"/>
      <c r="KZH12" s="118"/>
      <c r="KZI12" s="118"/>
      <c r="KZJ12" s="118"/>
      <c r="KZK12" s="118"/>
      <c r="KZL12" s="118"/>
      <c r="KZM12" s="118"/>
      <c r="KZN12" s="118"/>
      <c r="KZO12" s="118"/>
      <c r="KZP12" s="118"/>
      <c r="KZQ12" s="118"/>
      <c r="KZR12" s="118"/>
      <c r="KZS12" s="118"/>
      <c r="KZT12" s="118"/>
      <c r="KZU12" s="118"/>
      <c r="KZV12" s="118"/>
      <c r="KZW12" s="118"/>
      <c r="KZX12" s="118"/>
      <c r="KZY12" s="118"/>
      <c r="KZZ12" s="118"/>
      <c r="LAA12" s="118"/>
      <c r="LAB12" s="118"/>
      <c r="LAC12" s="118"/>
      <c r="LAD12" s="118"/>
      <c r="LAE12" s="118"/>
      <c r="LAF12" s="118"/>
      <c r="LAG12" s="118"/>
      <c r="LAH12" s="118"/>
      <c r="LAI12" s="118"/>
      <c r="LAJ12" s="118"/>
      <c r="LAK12" s="118"/>
      <c r="LAL12" s="118"/>
      <c r="LAM12" s="118"/>
      <c r="LAN12" s="118"/>
      <c r="LAO12" s="118"/>
      <c r="LAP12" s="118"/>
      <c r="LAQ12" s="118"/>
      <c r="LAR12" s="118"/>
      <c r="LAS12" s="118"/>
      <c r="LAT12" s="118"/>
      <c r="LAU12" s="118"/>
      <c r="LAV12" s="118"/>
      <c r="LAW12" s="118"/>
      <c r="LAX12" s="118"/>
      <c r="LAY12" s="118"/>
      <c r="LAZ12" s="118"/>
      <c r="LBA12" s="118"/>
      <c r="LBB12" s="118"/>
      <c r="LBC12" s="118"/>
      <c r="LBD12" s="118"/>
      <c r="LBE12" s="118"/>
      <c r="LBF12" s="118"/>
      <c r="LBG12" s="118"/>
      <c r="LBH12" s="118"/>
      <c r="LBI12" s="118"/>
      <c r="LBJ12" s="118"/>
      <c r="LBK12" s="118"/>
      <c r="LBL12" s="118"/>
      <c r="LBM12" s="118"/>
      <c r="LBN12" s="118"/>
      <c r="LBO12" s="118"/>
      <c r="LBP12" s="118"/>
      <c r="LBQ12" s="118"/>
      <c r="LBR12" s="118"/>
      <c r="LBS12" s="118"/>
      <c r="LBT12" s="118"/>
      <c r="LBU12" s="118"/>
      <c r="LBV12" s="118"/>
      <c r="LBW12" s="118"/>
      <c r="LBX12" s="118"/>
      <c r="LBY12" s="118"/>
      <c r="LBZ12" s="118"/>
      <c r="LCA12" s="118"/>
      <c r="LCB12" s="118"/>
      <c r="LCC12" s="118"/>
      <c r="LCD12" s="118"/>
      <c r="LCE12" s="118"/>
      <c r="LCF12" s="118"/>
      <c r="LCG12" s="118"/>
      <c r="LCH12" s="118"/>
      <c r="LCI12" s="118"/>
      <c r="LCJ12" s="118"/>
      <c r="LCK12" s="118"/>
      <c r="LCL12" s="118"/>
      <c r="LCM12" s="118"/>
      <c r="LCN12" s="118"/>
      <c r="LCO12" s="118"/>
      <c r="LCP12" s="118"/>
      <c r="LCQ12" s="118"/>
      <c r="LCR12" s="118"/>
      <c r="LCS12" s="118"/>
      <c r="LCT12" s="118"/>
      <c r="LCU12" s="118"/>
      <c r="LCV12" s="118"/>
      <c r="LCW12" s="118"/>
      <c r="LCX12" s="118"/>
      <c r="LCY12" s="118"/>
      <c r="LCZ12" s="118"/>
      <c r="LDA12" s="118"/>
      <c r="LDB12" s="118"/>
      <c r="LDC12" s="118"/>
      <c r="LDD12" s="118"/>
      <c r="LDE12" s="118"/>
      <c r="LDF12" s="118"/>
      <c r="LDG12" s="118"/>
      <c r="LDH12" s="118"/>
      <c r="LDI12" s="118"/>
      <c r="LDJ12" s="118"/>
      <c r="LDK12" s="118"/>
      <c r="LDL12" s="118"/>
      <c r="LDM12" s="118"/>
      <c r="LDN12" s="118"/>
      <c r="LDO12" s="118"/>
      <c r="LDP12" s="118"/>
      <c r="LDQ12" s="118"/>
      <c r="LDR12" s="118"/>
      <c r="LDS12" s="118"/>
      <c r="LDT12" s="118"/>
      <c r="LDU12" s="118"/>
      <c r="LDV12" s="118"/>
      <c r="LDW12" s="118"/>
      <c r="LDX12" s="118"/>
      <c r="LDY12" s="118"/>
      <c r="LDZ12" s="118"/>
      <c r="LEA12" s="118"/>
      <c r="LEB12" s="118"/>
      <c r="LEC12" s="118"/>
      <c r="LED12" s="118"/>
      <c r="LEE12" s="118"/>
      <c r="LEF12" s="118"/>
      <c r="LEG12" s="118"/>
      <c r="LEH12" s="118"/>
      <c r="LEI12" s="118"/>
      <c r="LEJ12" s="118"/>
      <c r="LEK12" s="118"/>
      <c r="LEL12" s="118"/>
      <c r="LEM12" s="118"/>
      <c r="LEN12" s="118"/>
      <c r="LEO12" s="118"/>
      <c r="LEP12" s="118"/>
      <c r="LEQ12" s="118"/>
      <c r="LER12" s="118"/>
      <c r="LES12" s="118"/>
      <c r="LET12" s="118"/>
      <c r="LEU12" s="118"/>
      <c r="LEV12" s="118"/>
      <c r="LEW12" s="118"/>
      <c r="LEX12" s="118"/>
      <c r="LEY12" s="118"/>
      <c r="LEZ12" s="118"/>
      <c r="LFA12" s="118"/>
      <c r="LFB12" s="118"/>
      <c r="LFC12" s="118"/>
      <c r="LFD12" s="118"/>
      <c r="LFE12" s="118"/>
      <c r="LFF12" s="118"/>
      <c r="LFG12" s="118"/>
      <c r="LFH12" s="118"/>
      <c r="LFI12" s="118"/>
      <c r="LFJ12" s="118"/>
      <c r="LFK12" s="118"/>
      <c r="LFL12" s="118"/>
      <c r="LFM12" s="118"/>
      <c r="LFN12" s="118"/>
      <c r="LFO12" s="118"/>
      <c r="LFP12" s="118"/>
      <c r="LFQ12" s="118"/>
      <c r="LFR12" s="118"/>
      <c r="LFS12" s="118"/>
      <c r="LFT12" s="118"/>
      <c r="LFU12" s="118"/>
      <c r="LFV12" s="118"/>
      <c r="LFW12" s="118"/>
      <c r="LFX12" s="118"/>
      <c r="LFY12" s="118"/>
      <c r="LFZ12" s="118"/>
      <c r="LGA12" s="118"/>
      <c r="LGB12" s="118"/>
      <c r="LGC12" s="118"/>
      <c r="LGD12" s="118"/>
      <c r="LGE12" s="118"/>
      <c r="LGF12" s="118"/>
      <c r="LGG12" s="118"/>
      <c r="LGH12" s="118"/>
      <c r="LGI12" s="118"/>
      <c r="LGJ12" s="118"/>
      <c r="LGK12" s="118"/>
      <c r="LGL12" s="118"/>
      <c r="LGM12" s="118"/>
      <c r="LGN12" s="118"/>
      <c r="LGO12" s="118"/>
      <c r="LGP12" s="118"/>
      <c r="LGQ12" s="118"/>
      <c r="LGR12" s="118"/>
      <c r="LGS12" s="118"/>
      <c r="LGT12" s="118"/>
      <c r="LGU12" s="118"/>
      <c r="LGV12" s="118"/>
      <c r="LGW12" s="118"/>
      <c r="LGX12" s="118"/>
      <c r="LGY12" s="118"/>
      <c r="LGZ12" s="118"/>
      <c r="LHA12" s="118"/>
      <c r="LHB12" s="118"/>
      <c r="LHC12" s="118"/>
      <c r="LHD12" s="118"/>
      <c r="LHE12" s="118"/>
      <c r="LHF12" s="118"/>
      <c r="LHG12" s="118"/>
      <c r="LHH12" s="118"/>
      <c r="LHI12" s="118"/>
      <c r="LHJ12" s="118"/>
      <c r="LHK12" s="118"/>
      <c r="LHL12" s="118"/>
      <c r="LHM12" s="118"/>
      <c r="LHN12" s="118"/>
      <c r="LHO12" s="118"/>
      <c r="LHP12" s="118"/>
      <c r="LHQ12" s="118"/>
      <c r="LHR12" s="118"/>
      <c r="LHS12" s="118"/>
      <c r="LHT12" s="118"/>
      <c r="LHU12" s="118"/>
      <c r="LHV12" s="118"/>
      <c r="LHW12" s="118"/>
      <c r="LHX12" s="118"/>
      <c r="LHY12" s="118"/>
      <c r="LHZ12" s="118"/>
      <c r="LIA12" s="118"/>
      <c r="LIB12" s="118"/>
      <c r="LIC12" s="118"/>
      <c r="LID12" s="118"/>
      <c r="LIE12" s="118"/>
      <c r="LIF12" s="118"/>
      <c r="LIG12" s="118"/>
      <c r="LIH12" s="118"/>
      <c r="LII12" s="118"/>
      <c r="LIJ12" s="118"/>
      <c r="LIK12" s="118"/>
      <c r="LIL12" s="118"/>
      <c r="LIM12" s="118"/>
      <c r="LIN12" s="118"/>
      <c r="LIO12" s="118"/>
      <c r="LIP12" s="118"/>
      <c r="LIQ12" s="118"/>
      <c r="LIR12" s="118"/>
      <c r="LIS12" s="118"/>
      <c r="LIT12" s="118"/>
      <c r="LIU12" s="118"/>
      <c r="LIV12" s="118"/>
      <c r="LIW12" s="118"/>
      <c r="LIX12" s="118"/>
      <c r="LIY12" s="118"/>
      <c r="LIZ12" s="118"/>
      <c r="LJA12" s="118"/>
      <c r="LJB12" s="118"/>
      <c r="LJC12" s="118"/>
      <c r="LJD12" s="118"/>
      <c r="LJE12" s="118"/>
      <c r="LJF12" s="118"/>
      <c r="LJG12" s="118"/>
      <c r="LJH12" s="118"/>
      <c r="LJI12" s="118"/>
      <c r="LJJ12" s="118"/>
      <c r="LJK12" s="118"/>
      <c r="LJL12" s="118"/>
      <c r="LJM12" s="118"/>
      <c r="LJN12" s="118"/>
      <c r="LJO12" s="118"/>
      <c r="LJP12" s="118"/>
      <c r="LJQ12" s="118"/>
      <c r="LJR12" s="118"/>
      <c r="LJS12" s="118"/>
      <c r="LJT12" s="118"/>
      <c r="LJU12" s="118"/>
      <c r="LJV12" s="118"/>
      <c r="LJW12" s="118"/>
      <c r="LJX12" s="118"/>
      <c r="LJY12" s="118"/>
      <c r="LJZ12" s="118"/>
      <c r="LKA12" s="118"/>
      <c r="LKB12" s="118"/>
      <c r="LKC12" s="118"/>
      <c r="LKD12" s="118"/>
      <c r="LKE12" s="118"/>
      <c r="LKF12" s="118"/>
      <c r="LKG12" s="118"/>
      <c r="LKH12" s="118"/>
      <c r="LKI12" s="118"/>
      <c r="LKJ12" s="118"/>
      <c r="LKK12" s="118"/>
      <c r="LKL12" s="118"/>
      <c r="LKM12" s="118"/>
      <c r="LKN12" s="118"/>
      <c r="LKO12" s="118"/>
      <c r="LKP12" s="118"/>
      <c r="LKQ12" s="118"/>
      <c r="LKR12" s="118"/>
      <c r="LKS12" s="118"/>
      <c r="LKT12" s="118"/>
      <c r="LKU12" s="118"/>
      <c r="LKV12" s="118"/>
      <c r="LKW12" s="118"/>
      <c r="LKX12" s="118"/>
      <c r="LKY12" s="118"/>
      <c r="LKZ12" s="118"/>
      <c r="LLA12" s="118"/>
      <c r="LLB12" s="118"/>
      <c r="LLC12" s="118"/>
      <c r="LLD12" s="118"/>
      <c r="LLE12" s="118"/>
      <c r="LLF12" s="118"/>
      <c r="LLG12" s="118"/>
      <c r="LLH12" s="118"/>
      <c r="LLI12" s="118"/>
      <c r="LLJ12" s="118"/>
      <c r="LLK12" s="118"/>
      <c r="LLL12" s="118"/>
      <c r="LLM12" s="118"/>
      <c r="LLN12" s="118"/>
      <c r="LLO12" s="118"/>
      <c r="LLP12" s="118"/>
      <c r="LLQ12" s="118"/>
      <c r="LLR12" s="118"/>
      <c r="LLS12" s="118"/>
      <c r="LLT12" s="118"/>
      <c r="LLU12" s="118"/>
      <c r="LLV12" s="118"/>
      <c r="LLW12" s="118"/>
      <c r="LLX12" s="118"/>
      <c r="LLY12" s="118"/>
      <c r="LLZ12" s="118"/>
      <c r="LMA12" s="118"/>
      <c r="LMB12" s="118"/>
      <c r="LMC12" s="118"/>
      <c r="LMD12" s="118"/>
      <c r="LME12" s="118"/>
      <c r="LMF12" s="118"/>
      <c r="LMG12" s="118"/>
      <c r="LMH12" s="118"/>
      <c r="LMI12" s="118"/>
      <c r="LMJ12" s="118"/>
      <c r="LMK12" s="118"/>
      <c r="LML12" s="118"/>
      <c r="LMM12" s="118"/>
      <c r="LMN12" s="118"/>
      <c r="LMO12" s="118"/>
      <c r="LMP12" s="118"/>
      <c r="LMQ12" s="118"/>
      <c r="LMR12" s="118"/>
      <c r="LMS12" s="118"/>
      <c r="LMT12" s="118"/>
      <c r="LMU12" s="118"/>
      <c r="LMV12" s="118"/>
      <c r="LMW12" s="118"/>
      <c r="LMX12" s="118"/>
      <c r="LMY12" s="118"/>
      <c r="LMZ12" s="118"/>
      <c r="LNA12" s="118"/>
      <c r="LNB12" s="118"/>
      <c r="LNC12" s="118"/>
      <c r="LND12" s="118"/>
      <c r="LNE12" s="118"/>
      <c r="LNF12" s="118"/>
      <c r="LNG12" s="118"/>
      <c r="LNH12" s="118"/>
      <c r="LNI12" s="118"/>
      <c r="LNJ12" s="118"/>
      <c r="LNK12" s="118"/>
      <c r="LNL12" s="118"/>
      <c r="LNM12" s="118"/>
      <c r="LNN12" s="118"/>
      <c r="LNO12" s="118"/>
      <c r="LNP12" s="118"/>
      <c r="LNQ12" s="118"/>
      <c r="LNR12" s="118"/>
      <c r="LNS12" s="118"/>
      <c r="LNT12" s="118"/>
      <c r="LNU12" s="118"/>
      <c r="LNV12" s="118"/>
      <c r="LNW12" s="118"/>
      <c r="LNX12" s="118"/>
      <c r="LNY12" s="118"/>
      <c r="LNZ12" s="118"/>
      <c r="LOA12" s="118"/>
      <c r="LOB12" s="118"/>
      <c r="LOC12" s="118"/>
      <c r="LOD12" s="118"/>
      <c r="LOE12" s="118"/>
      <c r="LOF12" s="118"/>
      <c r="LOG12" s="118"/>
      <c r="LOH12" s="118"/>
      <c r="LOI12" s="118"/>
      <c r="LOJ12" s="118"/>
      <c r="LOK12" s="118"/>
      <c r="LOL12" s="118"/>
      <c r="LOM12" s="118"/>
      <c r="LON12" s="118"/>
      <c r="LOO12" s="118"/>
      <c r="LOP12" s="118"/>
      <c r="LOQ12" s="118"/>
      <c r="LOR12" s="118"/>
      <c r="LOS12" s="118"/>
      <c r="LOT12" s="118"/>
      <c r="LOU12" s="118"/>
      <c r="LOV12" s="118"/>
      <c r="LOW12" s="118"/>
      <c r="LOX12" s="118"/>
      <c r="LOY12" s="118"/>
      <c r="LOZ12" s="118"/>
      <c r="LPA12" s="118"/>
      <c r="LPB12" s="118"/>
      <c r="LPC12" s="118"/>
      <c r="LPD12" s="118"/>
      <c r="LPE12" s="118"/>
      <c r="LPF12" s="118"/>
      <c r="LPG12" s="118"/>
      <c r="LPH12" s="118"/>
      <c r="LPI12" s="118"/>
      <c r="LPJ12" s="118"/>
      <c r="LPK12" s="118"/>
      <c r="LPL12" s="118"/>
      <c r="LPM12" s="118"/>
      <c r="LPN12" s="118"/>
      <c r="LPO12" s="118"/>
      <c r="LPP12" s="118"/>
      <c r="LPQ12" s="118"/>
      <c r="LPR12" s="118"/>
      <c r="LPS12" s="118"/>
      <c r="LPT12" s="118"/>
      <c r="LPU12" s="118"/>
      <c r="LPV12" s="118"/>
      <c r="LPW12" s="118"/>
      <c r="LPX12" s="118"/>
      <c r="LPY12" s="118"/>
      <c r="LPZ12" s="118"/>
      <c r="LQA12" s="118"/>
      <c r="LQB12" s="118"/>
      <c r="LQC12" s="118"/>
      <c r="LQD12" s="118"/>
      <c r="LQE12" s="118"/>
      <c r="LQF12" s="118"/>
      <c r="LQG12" s="118"/>
      <c r="LQH12" s="118"/>
      <c r="LQI12" s="118"/>
      <c r="LQJ12" s="118"/>
      <c r="LQK12" s="118"/>
      <c r="LQL12" s="118"/>
      <c r="LQM12" s="118"/>
      <c r="LQN12" s="118"/>
      <c r="LQO12" s="118"/>
      <c r="LQP12" s="118"/>
      <c r="LQQ12" s="118"/>
      <c r="LQR12" s="118"/>
      <c r="LQS12" s="118"/>
      <c r="LQT12" s="118"/>
      <c r="LQU12" s="118"/>
      <c r="LQV12" s="118"/>
      <c r="LQW12" s="118"/>
      <c r="LQX12" s="118"/>
      <c r="LQY12" s="118"/>
      <c r="LQZ12" s="118"/>
      <c r="LRA12" s="118"/>
      <c r="LRB12" s="118"/>
      <c r="LRC12" s="118"/>
      <c r="LRD12" s="118"/>
      <c r="LRE12" s="118"/>
      <c r="LRF12" s="118"/>
      <c r="LRG12" s="118"/>
      <c r="LRH12" s="118"/>
      <c r="LRI12" s="118"/>
      <c r="LRJ12" s="118"/>
      <c r="LRK12" s="118"/>
      <c r="LRL12" s="118"/>
      <c r="LRM12" s="118"/>
      <c r="LRN12" s="118"/>
      <c r="LRO12" s="118"/>
      <c r="LRP12" s="118"/>
      <c r="LRQ12" s="118"/>
      <c r="LRR12" s="118"/>
      <c r="LRS12" s="118"/>
      <c r="LRT12" s="118"/>
      <c r="LRU12" s="118"/>
      <c r="LRV12" s="118"/>
      <c r="LRW12" s="118"/>
      <c r="LRX12" s="118"/>
      <c r="LRY12" s="118"/>
      <c r="LRZ12" s="118"/>
      <c r="LSA12" s="118"/>
      <c r="LSB12" s="118"/>
      <c r="LSC12" s="118"/>
      <c r="LSD12" s="118"/>
      <c r="LSE12" s="118"/>
      <c r="LSF12" s="118"/>
      <c r="LSG12" s="118"/>
      <c r="LSH12" s="118"/>
      <c r="LSI12" s="118"/>
      <c r="LSJ12" s="118"/>
      <c r="LSK12" s="118"/>
      <c r="LSL12" s="118"/>
      <c r="LSM12" s="118"/>
      <c r="LSN12" s="118"/>
      <c r="LSO12" s="118"/>
      <c r="LSP12" s="118"/>
      <c r="LSQ12" s="118"/>
      <c r="LSR12" s="118"/>
      <c r="LSS12" s="118"/>
      <c r="LST12" s="118"/>
      <c r="LSU12" s="118"/>
      <c r="LSV12" s="118"/>
      <c r="LSW12" s="118"/>
      <c r="LSX12" s="118"/>
      <c r="LSY12" s="118"/>
      <c r="LSZ12" s="118"/>
      <c r="LTA12" s="118"/>
      <c r="LTB12" s="118"/>
      <c r="LTC12" s="118"/>
      <c r="LTD12" s="118"/>
      <c r="LTE12" s="118"/>
      <c r="LTF12" s="118"/>
      <c r="LTG12" s="118"/>
      <c r="LTH12" s="118"/>
      <c r="LTI12" s="118"/>
      <c r="LTJ12" s="118"/>
      <c r="LTK12" s="118"/>
      <c r="LTL12" s="118"/>
      <c r="LTM12" s="118"/>
      <c r="LTN12" s="118"/>
      <c r="LTO12" s="118"/>
      <c r="LTP12" s="118"/>
      <c r="LTQ12" s="118"/>
      <c r="LTR12" s="118"/>
      <c r="LTS12" s="118"/>
      <c r="LTT12" s="118"/>
      <c r="LTU12" s="118"/>
      <c r="LTV12" s="118"/>
      <c r="LTW12" s="118"/>
      <c r="LTX12" s="118"/>
      <c r="LTY12" s="118"/>
      <c r="LTZ12" s="118"/>
      <c r="LUA12" s="118"/>
      <c r="LUB12" s="118"/>
      <c r="LUC12" s="118"/>
      <c r="LUD12" s="118"/>
      <c r="LUE12" s="118"/>
      <c r="LUF12" s="118"/>
      <c r="LUG12" s="118"/>
      <c r="LUH12" s="118"/>
      <c r="LUI12" s="118"/>
      <c r="LUJ12" s="118"/>
      <c r="LUK12" s="118"/>
      <c r="LUL12" s="118"/>
      <c r="LUM12" s="118"/>
      <c r="LUN12" s="118"/>
      <c r="LUO12" s="118"/>
      <c r="LUP12" s="118"/>
      <c r="LUQ12" s="118"/>
      <c r="LUR12" s="118"/>
      <c r="LUS12" s="118"/>
      <c r="LUT12" s="118"/>
      <c r="LUU12" s="118"/>
      <c r="LUV12" s="118"/>
      <c r="LUW12" s="118"/>
      <c r="LUX12" s="118"/>
      <c r="LUY12" s="118"/>
      <c r="LUZ12" s="118"/>
      <c r="LVA12" s="118"/>
      <c r="LVB12" s="118"/>
      <c r="LVC12" s="118"/>
      <c r="LVD12" s="118"/>
      <c r="LVE12" s="118"/>
      <c r="LVF12" s="118"/>
      <c r="LVG12" s="118"/>
      <c r="LVH12" s="118"/>
      <c r="LVI12" s="118"/>
      <c r="LVJ12" s="118"/>
      <c r="LVK12" s="118"/>
      <c r="LVL12" s="118"/>
      <c r="LVM12" s="118"/>
      <c r="LVN12" s="118"/>
      <c r="LVO12" s="118"/>
      <c r="LVP12" s="118"/>
      <c r="LVQ12" s="118"/>
      <c r="LVR12" s="118"/>
      <c r="LVS12" s="118"/>
      <c r="LVT12" s="118"/>
      <c r="LVU12" s="118"/>
      <c r="LVV12" s="118"/>
      <c r="LVW12" s="118"/>
      <c r="LVX12" s="118"/>
      <c r="LVY12" s="118"/>
      <c r="LVZ12" s="118"/>
      <c r="LWA12" s="118"/>
      <c r="LWB12" s="118"/>
      <c r="LWC12" s="118"/>
      <c r="LWD12" s="118"/>
      <c r="LWE12" s="118"/>
      <c r="LWF12" s="118"/>
      <c r="LWG12" s="118"/>
      <c r="LWH12" s="118"/>
      <c r="LWI12" s="118"/>
      <c r="LWJ12" s="118"/>
      <c r="LWK12" s="118"/>
      <c r="LWL12" s="118"/>
      <c r="LWM12" s="118"/>
      <c r="LWN12" s="118"/>
      <c r="LWO12" s="118"/>
      <c r="LWP12" s="118"/>
      <c r="LWQ12" s="118"/>
      <c r="LWR12" s="118"/>
      <c r="LWS12" s="118"/>
      <c r="LWT12" s="118"/>
      <c r="LWU12" s="118"/>
      <c r="LWV12" s="118"/>
      <c r="LWW12" s="118"/>
      <c r="LWX12" s="118"/>
      <c r="LWY12" s="118"/>
      <c r="LWZ12" s="118"/>
      <c r="LXA12" s="118"/>
      <c r="LXB12" s="118"/>
      <c r="LXC12" s="118"/>
      <c r="LXD12" s="118"/>
      <c r="LXE12" s="118"/>
      <c r="LXF12" s="118"/>
      <c r="LXG12" s="118"/>
      <c r="LXH12" s="118"/>
      <c r="LXI12" s="118"/>
      <c r="LXJ12" s="118"/>
      <c r="LXK12" s="118"/>
      <c r="LXL12" s="118"/>
      <c r="LXM12" s="118"/>
      <c r="LXN12" s="118"/>
      <c r="LXO12" s="118"/>
      <c r="LXP12" s="118"/>
      <c r="LXQ12" s="118"/>
      <c r="LXR12" s="118"/>
      <c r="LXS12" s="118"/>
      <c r="LXT12" s="118"/>
      <c r="LXU12" s="118"/>
      <c r="LXV12" s="118"/>
      <c r="LXW12" s="118"/>
      <c r="LXX12" s="118"/>
      <c r="LXY12" s="118"/>
      <c r="LXZ12" s="118"/>
      <c r="LYA12" s="118"/>
      <c r="LYB12" s="118"/>
      <c r="LYC12" s="118"/>
      <c r="LYD12" s="118"/>
      <c r="LYE12" s="118"/>
      <c r="LYF12" s="118"/>
      <c r="LYG12" s="118"/>
      <c r="LYH12" s="118"/>
      <c r="LYI12" s="118"/>
      <c r="LYJ12" s="118"/>
      <c r="LYK12" s="118"/>
      <c r="LYL12" s="118"/>
      <c r="LYM12" s="118"/>
      <c r="LYN12" s="118"/>
      <c r="LYO12" s="118"/>
      <c r="LYP12" s="118"/>
      <c r="LYQ12" s="118"/>
      <c r="LYR12" s="118"/>
      <c r="LYS12" s="118"/>
      <c r="LYT12" s="118"/>
      <c r="LYU12" s="118"/>
      <c r="LYV12" s="118"/>
      <c r="LYW12" s="118"/>
      <c r="LYX12" s="118"/>
      <c r="LYY12" s="118"/>
      <c r="LYZ12" s="118"/>
      <c r="LZA12" s="118"/>
      <c r="LZB12" s="118"/>
      <c r="LZC12" s="118"/>
      <c r="LZD12" s="118"/>
      <c r="LZE12" s="118"/>
      <c r="LZF12" s="118"/>
      <c r="LZG12" s="118"/>
      <c r="LZH12" s="118"/>
      <c r="LZI12" s="118"/>
      <c r="LZJ12" s="118"/>
      <c r="LZK12" s="118"/>
      <c r="LZL12" s="118"/>
      <c r="LZM12" s="118"/>
      <c r="LZN12" s="118"/>
      <c r="LZO12" s="118"/>
      <c r="LZP12" s="118"/>
      <c r="LZQ12" s="118"/>
      <c r="LZR12" s="118"/>
      <c r="LZS12" s="118"/>
      <c r="LZT12" s="118"/>
      <c r="LZU12" s="118"/>
      <c r="LZV12" s="118"/>
      <c r="LZW12" s="118"/>
      <c r="LZX12" s="118"/>
      <c r="LZY12" s="118"/>
      <c r="LZZ12" s="118"/>
      <c r="MAA12" s="118"/>
      <c r="MAB12" s="118"/>
      <c r="MAC12" s="118"/>
      <c r="MAD12" s="118"/>
      <c r="MAE12" s="118"/>
      <c r="MAF12" s="118"/>
      <c r="MAG12" s="118"/>
      <c r="MAH12" s="118"/>
      <c r="MAI12" s="118"/>
      <c r="MAJ12" s="118"/>
      <c r="MAK12" s="118"/>
      <c r="MAL12" s="118"/>
      <c r="MAM12" s="118"/>
      <c r="MAN12" s="118"/>
      <c r="MAO12" s="118"/>
      <c r="MAP12" s="118"/>
      <c r="MAQ12" s="118"/>
      <c r="MAR12" s="118"/>
      <c r="MAS12" s="118"/>
      <c r="MAT12" s="118"/>
      <c r="MAU12" s="118"/>
      <c r="MAV12" s="118"/>
      <c r="MAW12" s="118"/>
      <c r="MAX12" s="118"/>
      <c r="MAY12" s="118"/>
      <c r="MAZ12" s="118"/>
      <c r="MBA12" s="118"/>
      <c r="MBB12" s="118"/>
      <c r="MBC12" s="118"/>
      <c r="MBD12" s="118"/>
      <c r="MBE12" s="118"/>
      <c r="MBF12" s="118"/>
      <c r="MBG12" s="118"/>
      <c r="MBH12" s="118"/>
      <c r="MBI12" s="118"/>
      <c r="MBJ12" s="118"/>
      <c r="MBK12" s="118"/>
      <c r="MBL12" s="118"/>
      <c r="MBM12" s="118"/>
      <c r="MBN12" s="118"/>
      <c r="MBO12" s="118"/>
      <c r="MBP12" s="118"/>
      <c r="MBQ12" s="118"/>
      <c r="MBR12" s="118"/>
      <c r="MBS12" s="118"/>
      <c r="MBT12" s="118"/>
      <c r="MBU12" s="118"/>
      <c r="MBV12" s="118"/>
      <c r="MBW12" s="118"/>
      <c r="MBX12" s="118"/>
      <c r="MBY12" s="118"/>
      <c r="MBZ12" s="118"/>
      <c r="MCA12" s="118"/>
      <c r="MCB12" s="118"/>
      <c r="MCC12" s="118"/>
      <c r="MCD12" s="118"/>
      <c r="MCE12" s="118"/>
      <c r="MCF12" s="118"/>
      <c r="MCG12" s="118"/>
      <c r="MCH12" s="118"/>
      <c r="MCI12" s="118"/>
      <c r="MCJ12" s="118"/>
      <c r="MCK12" s="118"/>
      <c r="MCL12" s="118"/>
      <c r="MCM12" s="118"/>
      <c r="MCN12" s="118"/>
      <c r="MCO12" s="118"/>
      <c r="MCP12" s="118"/>
      <c r="MCQ12" s="118"/>
      <c r="MCR12" s="118"/>
      <c r="MCS12" s="118"/>
      <c r="MCT12" s="118"/>
      <c r="MCU12" s="118"/>
      <c r="MCV12" s="118"/>
      <c r="MCW12" s="118"/>
      <c r="MCX12" s="118"/>
      <c r="MCY12" s="118"/>
      <c r="MCZ12" s="118"/>
      <c r="MDA12" s="118"/>
      <c r="MDB12" s="118"/>
      <c r="MDC12" s="118"/>
      <c r="MDD12" s="118"/>
      <c r="MDE12" s="118"/>
      <c r="MDF12" s="118"/>
      <c r="MDG12" s="118"/>
      <c r="MDH12" s="118"/>
      <c r="MDI12" s="118"/>
      <c r="MDJ12" s="118"/>
      <c r="MDK12" s="118"/>
      <c r="MDL12" s="118"/>
      <c r="MDM12" s="118"/>
      <c r="MDN12" s="118"/>
      <c r="MDO12" s="118"/>
      <c r="MDP12" s="118"/>
      <c r="MDQ12" s="118"/>
      <c r="MDR12" s="118"/>
      <c r="MDS12" s="118"/>
      <c r="MDT12" s="118"/>
      <c r="MDU12" s="118"/>
      <c r="MDV12" s="118"/>
      <c r="MDW12" s="118"/>
      <c r="MDX12" s="118"/>
      <c r="MDY12" s="118"/>
      <c r="MDZ12" s="118"/>
      <c r="MEA12" s="118"/>
      <c r="MEB12" s="118"/>
      <c r="MEC12" s="118"/>
      <c r="MED12" s="118"/>
      <c r="MEE12" s="118"/>
      <c r="MEF12" s="118"/>
      <c r="MEG12" s="118"/>
      <c r="MEH12" s="118"/>
      <c r="MEI12" s="118"/>
      <c r="MEJ12" s="118"/>
      <c r="MEK12" s="118"/>
      <c r="MEL12" s="118"/>
      <c r="MEM12" s="118"/>
      <c r="MEN12" s="118"/>
      <c r="MEO12" s="118"/>
      <c r="MEP12" s="118"/>
      <c r="MEQ12" s="118"/>
      <c r="MER12" s="118"/>
      <c r="MES12" s="118"/>
      <c r="MET12" s="118"/>
      <c r="MEU12" s="118"/>
      <c r="MEV12" s="118"/>
      <c r="MEW12" s="118"/>
      <c r="MEX12" s="118"/>
      <c r="MEY12" s="118"/>
      <c r="MEZ12" s="118"/>
      <c r="MFA12" s="118"/>
      <c r="MFB12" s="118"/>
      <c r="MFC12" s="118"/>
      <c r="MFD12" s="118"/>
      <c r="MFE12" s="118"/>
      <c r="MFF12" s="118"/>
      <c r="MFG12" s="118"/>
      <c r="MFH12" s="118"/>
      <c r="MFI12" s="118"/>
      <c r="MFJ12" s="118"/>
      <c r="MFK12" s="118"/>
      <c r="MFL12" s="118"/>
      <c r="MFM12" s="118"/>
      <c r="MFN12" s="118"/>
      <c r="MFO12" s="118"/>
      <c r="MFP12" s="118"/>
      <c r="MFQ12" s="118"/>
      <c r="MFR12" s="118"/>
      <c r="MFS12" s="118"/>
      <c r="MFT12" s="118"/>
      <c r="MFU12" s="118"/>
      <c r="MFV12" s="118"/>
      <c r="MFW12" s="118"/>
      <c r="MFX12" s="118"/>
      <c r="MFY12" s="118"/>
      <c r="MFZ12" s="118"/>
      <c r="MGA12" s="118"/>
      <c r="MGB12" s="118"/>
      <c r="MGC12" s="118"/>
      <c r="MGD12" s="118"/>
      <c r="MGE12" s="118"/>
      <c r="MGF12" s="118"/>
      <c r="MGG12" s="118"/>
      <c r="MGH12" s="118"/>
      <c r="MGI12" s="118"/>
      <c r="MGJ12" s="118"/>
      <c r="MGK12" s="118"/>
      <c r="MGL12" s="118"/>
      <c r="MGM12" s="118"/>
      <c r="MGN12" s="118"/>
      <c r="MGO12" s="118"/>
      <c r="MGP12" s="118"/>
      <c r="MGQ12" s="118"/>
      <c r="MGR12" s="118"/>
      <c r="MGS12" s="118"/>
      <c r="MGT12" s="118"/>
      <c r="MGU12" s="118"/>
      <c r="MGV12" s="118"/>
      <c r="MGW12" s="118"/>
      <c r="MGX12" s="118"/>
      <c r="MGY12" s="118"/>
      <c r="MGZ12" s="118"/>
      <c r="MHA12" s="118"/>
      <c r="MHB12" s="118"/>
      <c r="MHC12" s="118"/>
      <c r="MHD12" s="118"/>
      <c r="MHE12" s="118"/>
      <c r="MHF12" s="118"/>
      <c r="MHG12" s="118"/>
      <c r="MHH12" s="118"/>
      <c r="MHI12" s="118"/>
      <c r="MHJ12" s="118"/>
      <c r="MHK12" s="118"/>
      <c r="MHL12" s="118"/>
      <c r="MHM12" s="118"/>
      <c r="MHN12" s="118"/>
      <c r="MHO12" s="118"/>
      <c r="MHP12" s="118"/>
      <c r="MHQ12" s="118"/>
      <c r="MHR12" s="118"/>
      <c r="MHS12" s="118"/>
      <c r="MHT12" s="118"/>
      <c r="MHU12" s="118"/>
      <c r="MHV12" s="118"/>
      <c r="MHW12" s="118"/>
      <c r="MHX12" s="118"/>
      <c r="MHY12" s="118"/>
      <c r="MHZ12" s="118"/>
      <c r="MIA12" s="118"/>
      <c r="MIB12" s="118"/>
      <c r="MIC12" s="118"/>
      <c r="MID12" s="118"/>
      <c r="MIE12" s="118"/>
      <c r="MIF12" s="118"/>
      <c r="MIG12" s="118"/>
      <c r="MIH12" s="118"/>
      <c r="MII12" s="118"/>
      <c r="MIJ12" s="118"/>
      <c r="MIK12" s="118"/>
      <c r="MIL12" s="118"/>
      <c r="MIM12" s="118"/>
      <c r="MIN12" s="118"/>
      <c r="MIO12" s="118"/>
      <c r="MIP12" s="118"/>
      <c r="MIQ12" s="118"/>
      <c r="MIR12" s="118"/>
      <c r="MIS12" s="118"/>
      <c r="MIT12" s="118"/>
      <c r="MIU12" s="118"/>
      <c r="MIV12" s="118"/>
      <c r="MIW12" s="118"/>
      <c r="MIX12" s="118"/>
      <c r="MIY12" s="118"/>
      <c r="MIZ12" s="118"/>
      <c r="MJA12" s="118"/>
      <c r="MJB12" s="118"/>
      <c r="MJC12" s="118"/>
      <c r="MJD12" s="118"/>
      <c r="MJE12" s="118"/>
      <c r="MJF12" s="118"/>
      <c r="MJG12" s="118"/>
      <c r="MJH12" s="118"/>
      <c r="MJI12" s="118"/>
      <c r="MJJ12" s="118"/>
      <c r="MJK12" s="118"/>
      <c r="MJL12" s="118"/>
      <c r="MJM12" s="118"/>
      <c r="MJN12" s="118"/>
      <c r="MJO12" s="118"/>
      <c r="MJP12" s="118"/>
      <c r="MJQ12" s="118"/>
      <c r="MJR12" s="118"/>
      <c r="MJS12" s="118"/>
      <c r="MJT12" s="118"/>
      <c r="MJU12" s="118"/>
      <c r="MJV12" s="118"/>
      <c r="MJW12" s="118"/>
      <c r="MJX12" s="118"/>
      <c r="MJY12" s="118"/>
      <c r="MJZ12" s="118"/>
      <c r="MKA12" s="118"/>
      <c r="MKB12" s="118"/>
      <c r="MKC12" s="118"/>
      <c r="MKD12" s="118"/>
      <c r="MKE12" s="118"/>
      <c r="MKF12" s="118"/>
      <c r="MKG12" s="118"/>
      <c r="MKH12" s="118"/>
      <c r="MKI12" s="118"/>
      <c r="MKJ12" s="118"/>
      <c r="MKK12" s="118"/>
      <c r="MKL12" s="118"/>
      <c r="MKM12" s="118"/>
      <c r="MKN12" s="118"/>
      <c r="MKO12" s="118"/>
      <c r="MKP12" s="118"/>
      <c r="MKQ12" s="118"/>
      <c r="MKR12" s="118"/>
      <c r="MKS12" s="118"/>
      <c r="MKT12" s="118"/>
      <c r="MKU12" s="118"/>
      <c r="MKV12" s="118"/>
      <c r="MKW12" s="118"/>
      <c r="MKX12" s="118"/>
      <c r="MKY12" s="118"/>
      <c r="MKZ12" s="118"/>
      <c r="MLA12" s="118"/>
      <c r="MLB12" s="118"/>
      <c r="MLC12" s="118"/>
      <c r="MLD12" s="118"/>
      <c r="MLE12" s="118"/>
      <c r="MLF12" s="118"/>
      <c r="MLG12" s="118"/>
      <c r="MLH12" s="118"/>
      <c r="MLI12" s="118"/>
      <c r="MLJ12" s="118"/>
      <c r="MLK12" s="118"/>
      <c r="MLL12" s="118"/>
      <c r="MLM12" s="118"/>
      <c r="MLN12" s="118"/>
      <c r="MLO12" s="118"/>
      <c r="MLP12" s="118"/>
      <c r="MLQ12" s="118"/>
      <c r="MLR12" s="118"/>
      <c r="MLS12" s="118"/>
      <c r="MLT12" s="118"/>
      <c r="MLU12" s="118"/>
      <c r="MLV12" s="118"/>
      <c r="MLW12" s="118"/>
      <c r="MLX12" s="118"/>
      <c r="MLY12" s="118"/>
      <c r="MLZ12" s="118"/>
      <c r="MMA12" s="118"/>
      <c r="MMB12" s="118"/>
      <c r="MMC12" s="118"/>
      <c r="MMD12" s="118"/>
      <c r="MME12" s="118"/>
      <c r="MMF12" s="118"/>
      <c r="MMG12" s="118"/>
      <c r="MMH12" s="118"/>
      <c r="MMI12" s="118"/>
      <c r="MMJ12" s="118"/>
      <c r="MMK12" s="118"/>
      <c r="MML12" s="118"/>
      <c r="MMM12" s="118"/>
      <c r="MMN12" s="118"/>
      <c r="MMO12" s="118"/>
      <c r="MMP12" s="118"/>
      <c r="MMQ12" s="118"/>
      <c r="MMR12" s="118"/>
      <c r="MMS12" s="118"/>
      <c r="MMT12" s="118"/>
      <c r="MMU12" s="118"/>
      <c r="MMV12" s="118"/>
      <c r="MMW12" s="118"/>
      <c r="MMX12" s="118"/>
      <c r="MMY12" s="118"/>
      <c r="MMZ12" s="118"/>
      <c r="MNA12" s="118"/>
      <c r="MNB12" s="118"/>
      <c r="MNC12" s="118"/>
      <c r="MND12" s="118"/>
      <c r="MNE12" s="118"/>
      <c r="MNF12" s="118"/>
      <c r="MNG12" s="118"/>
      <c r="MNH12" s="118"/>
      <c r="MNI12" s="118"/>
      <c r="MNJ12" s="118"/>
      <c r="MNK12" s="118"/>
      <c r="MNL12" s="118"/>
      <c r="MNM12" s="118"/>
      <c r="MNN12" s="118"/>
      <c r="MNO12" s="118"/>
      <c r="MNP12" s="118"/>
      <c r="MNQ12" s="118"/>
      <c r="MNR12" s="118"/>
      <c r="MNS12" s="118"/>
      <c r="MNT12" s="118"/>
      <c r="MNU12" s="118"/>
      <c r="MNV12" s="118"/>
      <c r="MNW12" s="118"/>
      <c r="MNX12" s="118"/>
      <c r="MNY12" s="118"/>
      <c r="MNZ12" s="118"/>
      <c r="MOA12" s="118"/>
      <c r="MOB12" s="118"/>
      <c r="MOC12" s="118"/>
      <c r="MOD12" s="118"/>
      <c r="MOE12" s="118"/>
      <c r="MOF12" s="118"/>
      <c r="MOG12" s="118"/>
      <c r="MOH12" s="118"/>
      <c r="MOI12" s="118"/>
      <c r="MOJ12" s="118"/>
      <c r="MOK12" s="118"/>
      <c r="MOL12" s="118"/>
      <c r="MOM12" s="118"/>
      <c r="MON12" s="118"/>
      <c r="MOO12" s="118"/>
      <c r="MOP12" s="118"/>
      <c r="MOQ12" s="118"/>
      <c r="MOR12" s="118"/>
      <c r="MOS12" s="118"/>
      <c r="MOT12" s="118"/>
      <c r="MOU12" s="118"/>
      <c r="MOV12" s="118"/>
      <c r="MOW12" s="118"/>
      <c r="MOX12" s="118"/>
      <c r="MOY12" s="118"/>
      <c r="MOZ12" s="118"/>
      <c r="MPA12" s="118"/>
      <c r="MPB12" s="118"/>
      <c r="MPC12" s="118"/>
      <c r="MPD12" s="118"/>
      <c r="MPE12" s="118"/>
      <c r="MPF12" s="118"/>
      <c r="MPG12" s="118"/>
      <c r="MPH12" s="118"/>
      <c r="MPI12" s="118"/>
      <c r="MPJ12" s="118"/>
      <c r="MPK12" s="118"/>
      <c r="MPL12" s="118"/>
      <c r="MPM12" s="118"/>
      <c r="MPN12" s="118"/>
      <c r="MPO12" s="118"/>
      <c r="MPP12" s="118"/>
      <c r="MPQ12" s="118"/>
      <c r="MPR12" s="118"/>
      <c r="MPS12" s="118"/>
      <c r="MPT12" s="118"/>
      <c r="MPU12" s="118"/>
      <c r="MPV12" s="118"/>
      <c r="MPW12" s="118"/>
      <c r="MPX12" s="118"/>
      <c r="MPY12" s="118"/>
      <c r="MPZ12" s="118"/>
      <c r="MQA12" s="118"/>
      <c r="MQB12" s="118"/>
      <c r="MQC12" s="118"/>
      <c r="MQD12" s="118"/>
      <c r="MQE12" s="118"/>
      <c r="MQF12" s="118"/>
      <c r="MQG12" s="118"/>
      <c r="MQH12" s="118"/>
      <c r="MQI12" s="118"/>
      <c r="MQJ12" s="118"/>
      <c r="MQK12" s="118"/>
      <c r="MQL12" s="118"/>
      <c r="MQM12" s="118"/>
      <c r="MQN12" s="118"/>
      <c r="MQO12" s="118"/>
      <c r="MQP12" s="118"/>
      <c r="MQQ12" s="118"/>
      <c r="MQR12" s="118"/>
      <c r="MQS12" s="118"/>
      <c r="MQT12" s="118"/>
      <c r="MQU12" s="118"/>
      <c r="MQV12" s="118"/>
      <c r="MQW12" s="118"/>
      <c r="MQX12" s="118"/>
      <c r="MQY12" s="118"/>
      <c r="MQZ12" s="118"/>
      <c r="MRA12" s="118"/>
      <c r="MRB12" s="118"/>
      <c r="MRC12" s="118"/>
      <c r="MRD12" s="118"/>
      <c r="MRE12" s="118"/>
      <c r="MRF12" s="118"/>
      <c r="MRG12" s="118"/>
      <c r="MRH12" s="118"/>
      <c r="MRI12" s="118"/>
      <c r="MRJ12" s="118"/>
      <c r="MRK12" s="118"/>
      <c r="MRL12" s="118"/>
      <c r="MRM12" s="118"/>
      <c r="MRN12" s="118"/>
      <c r="MRO12" s="118"/>
      <c r="MRP12" s="118"/>
      <c r="MRQ12" s="118"/>
      <c r="MRR12" s="118"/>
      <c r="MRS12" s="118"/>
      <c r="MRT12" s="118"/>
      <c r="MRU12" s="118"/>
      <c r="MRV12" s="118"/>
      <c r="MRW12" s="118"/>
      <c r="MRX12" s="118"/>
      <c r="MRY12" s="118"/>
      <c r="MRZ12" s="118"/>
      <c r="MSA12" s="118"/>
      <c r="MSB12" s="118"/>
      <c r="MSC12" s="118"/>
      <c r="MSD12" s="118"/>
      <c r="MSE12" s="118"/>
      <c r="MSF12" s="118"/>
      <c r="MSG12" s="118"/>
      <c r="MSH12" s="118"/>
      <c r="MSI12" s="118"/>
      <c r="MSJ12" s="118"/>
      <c r="MSK12" s="118"/>
      <c r="MSL12" s="118"/>
      <c r="MSM12" s="118"/>
      <c r="MSN12" s="118"/>
      <c r="MSO12" s="118"/>
      <c r="MSP12" s="118"/>
      <c r="MSQ12" s="118"/>
      <c r="MSR12" s="118"/>
      <c r="MSS12" s="118"/>
      <c r="MST12" s="118"/>
      <c r="MSU12" s="118"/>
      <c r="MSV12" s="118"/>
      <c r="MSW12" s="118"/>
      <c r="MSX12" s="118"/>
      <c r="MSY12" s="118"/>
      <c r="MSZ12" s="118"/>
      <c r="MTA12" s="118"/>
      <c r="MTB12" s="118"/>
      <c r="MTC12" s="118"/>
      <c r="MTD12" s="118"/>
      <c r="MTE12" s="118"/>
      <c r="MTF12" s="118"/>
      <c r="MTG12" s="118"/>
      <c r="MTH12" s="118"/>
      <c r="MTI12" s="118"/>
      <c r="MTJ12" s="118"/>
      <c r="MTK12" s="118"/>
      <c r="MTL12" s="118"/>
      <c r="MTM12" s="118"/>
      <c r="MTN12" s="118"/>
      <c r="MTO12" s="118"/>
      <c r="MTP12" s="118"/>
      <c r="MTQ12" s="118"/>
      <c r="MTR12" s="118"/>
      <c r="MTS12" s="118"/>
      <c r="MTT12" s="118"/>
      <c r="MTU12" s="118"/>
      <c r="MTV12" s="118"/>
      <c r="MTW12" s="118"/>
      <c r="MTX12" s="118"/>
      <c r="MTY12" s="118"/>
      <c r="MTZ12" s="118"/>
      <c r="MUA12" s="118"/>
      <c r="MUB12" s="118"/>
      <c r="MUC12" s="118"/>
      <c r="MUD12" s="118"/>
      <c r="MUE12" s="118"/>
      <c r="MUF12" s="118"/>
      <c r="MUG12" s="118"/>
      <c r="MUH12" s="118"/>
      <c r="MUI12" s="118"/>
      <c r="MUJ12" s="118"/>
      <c r="MUK12" s="118"/>
      <c r="MUL12" s="118"/>
      <c r="MUM12" s="118"/>
      <c r="MUN12" s="118"/>
      <c r="MUO12" s="118"/>
      <c r="MUP12" s="118"/>
      <c r="MUQ12" s="118"/>
      <c r="MUR12" s="118"/>
      <c r="MUS12" s="118"/>
      <c r="MUT12" s="118"/>
      <c r="MUU12" s="118"/>
      <c r="MUV12" s="118"/>
      <c r="MUW12" s="118"/>
      <c r="MUX12" s="118"/>
      <c r="MUY12" s="118"/>
      <c r="MUZ12" s="118"/>
      <c r="MVA12" s="118"/>
      <c r="MVB12" s="118"/>
      <c r="MVC12" s="118"/>
      <c r="MVD12" s="118"/>
      <c r="MVE12" s="118"/>
      <c r="MVF12" s="118"/>
      <c r="MVG12" s="118"/>
      <c r="MVH12" s="118"/>
      <c r="MVI12" s="118"/>
      <c r="MVJ12" s="118"/>
      <c r="MVK12" s="118"/>
      <c r="MVL12" s="118"/>
      <c r="MVM12" s="118"/>
      <c r="MVN12" s="118"/>
      <c r="MVO12" s="118"/>
      <c r="MVP12" s="118"/>
      <c r="MVQ12" s="118"/>
      <c r="MVR12" s="118"/>
      <c r="MVS12" s="118"/>
      <c r="MVT12" s="118"/>
      <c r="MVU12" s="118"/>
      <c r="MVV12" s="118"/>
      <c r="MVW12" s="118"/>
      <c r="MVX12" s="118"/>
      <c r="MVY12" s="118"/>
      <c r="MVZ12" s="118"/>
      <c r="MWA12" s="118"/>
      <c r="MWB12" s="118"/>
      <c r="MWC12" s="118"/>
      <c r="MWD12" s="118"/>
      <c r="MWE12" s="118"/>
      <c r="MWF12" s="118"/>
      <c r="MWG12" s="118"/>
      <c r="MWH12" s="118"/>
      <c r="MWI12" s="118"/>
      <c r="MWJ12" s="118"/>
      <c r="MWK12" s="118"/>
      <c r="MWL12" s="118"/>
      <c r="MWM12" s="118"/>
      <c r="MWN12" s="118"/>
      <c r="MWO12" s="118"/>
      <c r="MWP12" s="118"/>
      <c r="MWQ12" s="118"/>
      <c r="MWR12" s="118"/>
      <c r="MWS12" s="118"/>
      <c r="MWT12" s="118"/>
      <c r="MWU12" s="118"/>
      <c r="MWV12" s="118"/>
      <c r="MWW12" s="118"/>
      <c r="MWX12" s="118"/>
      <c r="MWY12" s="118"/>
      <c r="MWZ12" s="118"/>
      <c r="MXA12" s="118"/>
      <c r="MXB12" s="118"/>
      <c r="MXC12" s="118"/>
      <c r="MXD12" s="118"/>
      <c r="MXE12" s="118"/>
      <c r="MXF12" s="118"/>
      <c r="MXG12" s="118"/>
      <c r="MXH12" s="118"/>
      <c r="MXI12" s="118"/>
      <c r="MXJ12" s="118"/>
      <c r="MXK12" s="118"/>
      <c r="MXL12" s="118"/>
      <c r="MXM12" s="118"/>
      <c r="MXN12" s="118"/>
      <c r="MXO12" s="118"/>
      <c r="MXP12" s="118"/>
      <c r="MXQ12" s="118"/>
      <c r="MXR12" s="118"/>
      <c r="MXS12" s="118"/>
      <c r="MXT12" s="118"/>
      <c r="MXU12" s="118"/>
      <c r="MXV12" s="118"/>
      <c r="MXW12" s="118"/>
      <c r="MXX12" s="118"/>
      <c r="MXY12" s="118"/>
      <c r="MXZ12" s="118"/>
      <c r="MYA12" s="118"/>
      <c r="MYB12" s="118"/>
      <c r="MYC12" s="118"/>
      <c r="MYD12" s="118"/>
      <c r="MYE12" s="118"/>
      <c r="MYF12" s="118"/>
      <c r="MYG12" s="118"/>
      <c r="MYH12" s="118"/>
      <c r="MYI12" s="118"/>
      <c r="MYJ12" s="118"/>
      <c r="MYK12" s="118"/>
      <c r="MYL12" s="118"/>
      <c r="MYM12" s="118"/>
      <c r="MYN12" s="118"/>
      <c r="MYO12" s="118"/>
      <c r="MYP12" s="118"/>
      <c r="MYQ12" s="118"/>
      <c r="MYR12" s="118"/>
      <c r="MYS12" s="118"/>
      <c r="MYT12" s="118"/>
      <c r="MYU12" s="118"/>
      <c r="MYV12" s="118"/>
      <c r="MYW12" s="118"/>
      <c r="MYX12" s="118"/>
      <c r="MYY12" s="118"/>
      <c r="MYZ12" s="118"/>
      <c r="MZA12" s="118"/>
      <c r="MZB12" s="118"/>
      <c r="MZC12" s="118"/>
      <c r="MZD12" s="118"/>
      <c r="MZE12" s="118"/>
      <c r="MZF12" s="118"/>
      <c r="MZG12" s="118"/>
      <c r="MZH12" s="118"/>
      <c r="MZI12" s="118"/>
      <c r="MZJ12" s="118"/>
      <c r="MZK12" s="118"/>
      <c r="MZL12" s="118"/>
      <c r="MZM12" s="118"/>
      <c r="MZN12" s="118"/>
      <c r="MZO12" s="118"/>
      <c r="MZP12" s="118"/>
      <c r="MZQ12" s="118"/>
      <c r="MZR12" s="118"/>
      <c r="MZS12" s="118"/>
      <c r="MZT12" s="118"/>
      <c r="MZU12" s="118"/>
      <c r="MZV12" s="118"/>
      <c r="MZW12" s="118"/>
      <c r="MZX12" s="118"/>
      <c r="MZY12" s="118"/>
      <c r="MZZ12" s="118"/>
      <c r="NAA12" s="118"/>
      <c r="NAB12" s="118"/>
      <c r="NAC12" s="118"/>
      <c r="NAD12" s="118"/>
      <c r="NAE12" s="118"/>
      <c r="NAF12" s="118"/>
      <c r="NAG12" s="118"/>
      <c r="NAH12" s="118"/>
      <c r="NAI12" s="118"/>
      <c r="NAJ12" s="118"/>
      <c r="NAK12" s="118"/>
      <c r="NAL12" s="118"/>
      <c r="NAM12" s="118"/>
      <c r="NAN12" s="118"/>
      <c r="NAO12" s="118"/>
      <c r="NAP12" s="118"/>
      <c r="NAQ12" s="118"/>
      <c r="NAR12" s="118"/>
      <c r="NAS12" s="118"/>
      <c r="NAT12" s="118"/>
      <c r="NAU12" s="118"/>
      <c r="NAV12" s="118"/>
      <c r="NAW12" s="118"/>
      <c r="NAX12" s="118"/>
      <c r="NAY12" s="118"/>
      <c r="NAZ12" s="118"/>
      <c r="NBA12" s="118"/>
      <c r="NBB12" s="118"/>
      <c r="NBC12" s="118"/>
      <c r="NBD12" s="118"/>
      <c r="NBE12" s="118"/>
      <c r="NBF12" s="118"/>
      <c r="NBG12" s="118"/>
      <c r="NBH12" s="118"/>
      <c r="NBI12" s="118"/>
      <c r="NBJ12" s="118"/>
      <c r="NBK12" s="118"/>
      <c r="NBL12" s="118"/>
      <c r="NBM12" s="118"/>
      <c r="NBN12" s="118"/>
      <c r="NBO12" s="118"/>
      <c r="NBP12" s="118"/>
      <c r="NBQ12" s="118"/>
      <c r="NBR12" s="118"/>
      <c r="NBS12" s="118"/>
      <c r="NBT12" s="118"/>
      <c r="NBU12" s="118"/>
      <c r="NBV12" s="118"/>
      <c r="NBW12" s="118"/>
      <c r="NBX12" s="118"/>
      <c r="NBY12" s="118"/>
      <c r="NBZ12" s="118"/>
      <c r="NCA12" s="118"/>
      <c r="NCB12" s="118"/>
      <c r="NCC12" s="118"/>
      <c r="NCD12" s="118"/>
      <c r="NCE12" s="118"/>
      <c r="NCF12" s="118"/>
      <c r="NCG12" s="118"/>
      <c r="NCH12" s="118"/>
      <c r="NCI12" s="118"/>
      <c r="NCJ12" s="118"/>
      <c r="NCK12" s="118"/>
      <c r="NCL12" s="118"/>
      <c r="NCM12" s="118"/>
      <c r="NCN12" s="118"/>
      <c r="NCO12" s="118"/>
      <c r="NCP12" s="118"/>
      <c r="NCQ12" s="118"/>
      <c r="NCR12" s="118"/>
      <c r="NCS12" s="118"/>
      <c r="NCT12" s="118"/>
      <c r="NCU12" s="118"/>
      <c r="NCV12" s="118"/>
      <c r="NCW12" s="118"/>
      <c r="NCX12" s="118"/>
      <c r="NCY12" s="118"/>
      <c r="NCZ12" s="118"/>
      <c r="NDA12" s="118"/>
      <c r="NDB12" s="118"/>
      <c r="NDC12" s="118"/>
      <c r="NDD12" s="118"/>
      <c r="NDE12" s="118"/>
      <c r="NDF12" s="118"/>
      <c r="NDG12" s="118"/>
      <c r="NDH12" s="118"/>
      <c r="NDI12" s="118"/>
      <c r="NDJ12" s="118"/>
      <c r="NDK12" s="118"/>
      <c r="NDL12" s="118"/>
      <c r="NDM12" s="118"/>
      <c r="NDN12" s="118"/>
      <c r="NDO12" s="118"/>
      <c r="NDP12" s="118"/>
      <c r="NDQ12" s="118"/>
      <c r="NDR12" s="118"/>
      <c r="NDS12" s="118"/>
      <c r="NDT12" s="118"/>
      <c r="NDU12" s="118"/>
      <c r="NDV12" s="118"/>
      <c r="NDW12" s="118"/>
      <c r="NDX12" s="118"/>
      <c r="NDY12" s="118"/>
      <c r="NDZ12" s="118"/>
      <c r="NEA12" s="118"/>
      <c r="NEB12" s="118"/>
      <c r="NEC12" s="118"/>
      <c r="NED12" s="118"/>
      <c r="NEE12" s="118"/>
      <c r="NEF12" s="118"/>
      <c r="NEG12" s="118"/>
      <c r="NEH12" s="118"/>
      <c r="NEI12" s="118"/>
      <c r="NEJ12" s="118"/>
      <c r="NEK12" s="118"/>
      <c r="NEL12" s="118"/>
      <c r="NEM12" s="118"/>
      <c r="NEN12" s="118"/>
      <c r="NEO12" s="118"/>
      <c r="NEP12" s="118"/>
      <c r="NEQ12" s="118"/>
      <c r="NER12" s="118"/>
      <c r="NES12" s="118"/>
      <c r="NET12" s="118"/>
      <c r="NEU12" s="118"/>
      <c r="NEV12" s="118"/>
      <c r="NEW12" s="118"/>
      <c r="NEX12" s="118"/>
      <c r="NEY12" s="118"/>
      <c r="NEZ12" s="118"/>
      <c r="NFA12" s="118"/>
      <c r="NFB12" s="118"/>
      <c r="NFC12" s="118"/>
      <c r="NFD12" s="118"/>
      <c r="NFE12" s="118"/>
      <c r="NFF12" s="118"/>
      <c r="NFG12" s="118"/>
      <c r="NFH12" s="118"/>
      <c r="NFI12" s="118"/>
      <c r="NFJ12" s="118"/>
      <c r="NFK12" s="118"/>
      <c r="NFL12" s="118"/>
      <c r="NFM12" s="118"/>
      <c r="NFN12" s="118"/>
      <c r="NFO12" s="118"/>
      <c r="NFP12" s="118"/>
      <c r="NFQ12" s="118"/>
      <c r="NFR12" s="118"/>
      <c r="NFS12" s="118"/>
      <c r="NFT12" s="118"/>
      <c r="NFU12" s="118"/>
      <c r="NFV12" s="118"/>
      <c r="NFW12" s="118"/>
      <c r="NFX12" s="118"/>
      <c r="NFY12" s="118"/>
      <c r="NFZ12" s="118"/>
      <c r="NGA12" s="118"/>
      <c r="NGB12" s="118"/>
      <c r="NGC12" s="118"/>
      <c r="NGD12" s="118"/>
      <c r="NGE12" s="118"/>
      <c r="NGF12" s="118"/>
      <c r="NGG12" s="118"/>
      <c r="NGH12" s="118"/>
      <c r="NGI12" s="118"/>
      <c r="NGJ12" s="118"/>
      <c r="NGK12" s="118"/>
      <c r="NGL12" s="118"/>
      <c r="NGM12" s="118"/>
      <c r="NGN12" s="118"/>
      <c r="NGO12" s="118"/>
      <c r="NGP12" s="118"/>
      <c r="NGQ12" s="118"/>
      <c r="NGR12" s="118"/>
      <c r="NGS12" s="118"/>
      <c r="NGT12" s="118"/>
      <c r="NGU12" s="118"/>
      <c r="NGV12" s="118"/>
      <c r="NGW12" s="118"/>
      <c r="NGX12" s="118"/>
      <c r="NGY12" s="118"/>
      <c r="NGZ12" s="118"/>
      <c r="NHA12" s="118"/>
      <c r="NHB12" s="118"/>
      <c r="NHC12" s="118"/>
      <c r="NHD12" s="118"/>
      <c r="NHE12" s="118"/>
      <c r="NHF12" s="118"/>
      <c r="NHG12" s="118"/>
      <c r="NHH12" s="118"/>
      <c r="NHI12" s="118"/>
      <c r="NHJ12" s="118"/>
      <c r="NHK12" s="118"/>
      <c r="NHL12" s="118"/>
      <c r="NHM12" s="118"/>
      <c r="NHN12" s="118"/>
      <c r="NHO12" s="118"/>
      <c r="NHP12" s="118"/>
      <c r="NHQ12" s="118"/>
      <c r="NHR12" s="118"/>
      <c r="NHS12" s="118"/>
      <c r="NHT12" s="118"/>
      <c r="NHU12" s="118"/>
      <c r="NHV12" s="118"/>
      <c r="NHW12" s="118"/>
      <c r="NHX12" s="118"/>
      <c r="NHY12" s="118"/>
      <c r="NHZ12" s="118"/>
      <c r="NIA12" s="118"/>
      <c r="NIB12" s="118"/>
      <c r="NIC12" s="118"/>
      <c r="NID12" s="118"/>
      <c r="NIE12" s="118"/>
      <c r="NIF12" s="118"/>
      <c r="NIG12" s="118"/>
      <c r="NIH12" s="118"/>
      <c r="NII12" s="118"/>
      <c r="NIJ12" s="118"/>
      <c r="NIK12" s="118"/>
      <c r="NIL12" s="118"/>
      <c r="NIM12" s="118"/>
      <c r="NIN12" s="118"/>
      <c r="NIO12" s="118"/>
      <c r="NIP12" s="118"/>
      <c r="NIQ12" s="118"/>
      <c r="NIR12" s="118"/>
      <c r="NIS12" s="118"/>
      <c r="NIT12" s="118"/>
      <c r="NIU12" s="118"/>
      <c r="NIV12" s="118"/>
      <c r="NIW12" s="118"/>
      <c r="NIX12" s="118"/>
      <c r="NIY12" s="118"/>
      <c r="NIZ12" s="118"/>
      <c r="NJA12" s="118"/>
      <c r="NJB12" s="118"/>
      <c r="NJC12" s="118"/>
      <c r="NJD12" s="118"/>
      <c r="NJE12" s="118"/>
      <c r="NJF12" s="118"/>
      <c r="NJG12" s="118"/>
      <c r="NJH12" s="118"/>
      <c r="NJI12" s="118"/>
      <c r="NJJ12" s="118"/>
      <c r="NJK12" s="118"/>
      <c r="NJL12" s="118"/>
      <c r="NJM12" s="118"/>
      <c r="NJN12" s="118"/>
      <c r="NJO12" s="118"/>
      <c r="NJP12" s="118"/>
      <c r="NJQ12" s="118"/>
      <c r="NJR12" s="118"/>
      <c r="NJS12" s="118"/>
      <c r="NJT12" s="118"/>
      <c r="NJU12" s="118"/>
      <c r="NJV12" s="118"/>
      <c r="NJW12" s="118"/>
      <c r="NJX12" s="118"/>
      <c r="NJY12" s="118"/>
      <c r="NJZ12" s="118"/>
      <c r="NKA12" s="118"/>
      <c r="NKB12" s="118"/>
      <c r="NKC12" s="118"/>
      <c r="NKD12" s="118"/>
      <c r="NKE12" s="118"/>
      <c r="NKF12" s="118"/>
      <c r="NKG12" s="118"/>
      <c r="NKH12" s="118"/>
      <c r="NKI12" s="118"/>
      <c r="NKJ12" s="118"/>
      <c r="NKK12" s="118"/>
      <c r="NKL12" s="118"/>
      <c r="NKM12" s="118"/>
      <c r="NKN12" s="118"/>
      <c r="NKO12" s="118"/>
      <c r="NKP12" s="118"/>
      <c r="NKQ12" s="118"/>
      <c r="NKR12" s="118"/>
      <c r="NKS12" s="118"/>
      <c r="NKT12" s="118"/>
      <c r="NKU12" s="118"/>
      <c r="NKV12" s="118"/>
      <c r="NKW12" s="118"/>
      <c r="NKX12" s="118"/>
      <c r="NKY12" s="118"/>
      <c r="NKZ12" s="118"/>
      <c r="NLA12" s="118"/>
      <c r="NLB12" s="118"/>
      <c r="NLC12" s="118"/>
      <c r="NLD12" s="118"/>
      <c r="NLE12" s="118"/>
      <c r="NLF12" s="118"/>
      <c r="NLG12" s="118"/>
      <c r="NLH12" s="118"/>
      <c r="NLI12" s="118"/>
      <c r="NLJ12" s="118"/>
      <c r="NLK12" s="118"/>
      <c r="NLL12" s="118"/>
      <c r="NLM12" s="118"/>
      <c r="NLN12" s="118"/>
      <c r="NLO12" s="118"/>
      <c r="NLP12" s="118"/>
      <c r="NLQ12" s="118"/>
      <c r="NLR12" s="118"/>
      <c r="NLS12" s="118"/>
      <c r="NLT12" s="118"/>
      <c r="NLU12" s="118"/>
      <c r="NLV12" s="118"/>
      <c r="NLW12" s="118"/>
      <c r="NLX12" s="118"/>
      <c r="NLY12" s="118"/>
      <c r="NLZ12" s="118"/>
      <c r="NMA12" s="118"/>
      <c r="NMB12" s="118"/>
      <c r="NMC12" s="118"/>
      <c r="NMD12" s="118"/>
      <c r="NME12" s="118"/>
      <c r="NMF12" s="118"/>
      <c r="NMG12" s="118"/>
      <c r="NMH12" s="118"/>
      <c r="NMI12" s="118"/>
      <c r="NMJ12" s="118"/>
      <c r="NMK12" s="118"/>
      <c r="NML12" s="118"/>
      <c r="NMM12" s="118"/>
      <c r="NMN12" s="118"/>
      <c r="NMO12" s="118"/>
      <c r="NMP12" s="118"/>
      <c r="NMQ12" s="118"/>
      <c r="NMR12" s="118"/>
      <c r="NMS12" s="118"/>
      <c r="NMT12" s="118"/>
      <c r="NMU12" s="118"/>
      <c r="NMV12" s="118"/>
      <c r="NMW12" s="118"/>
      <c r="NMX12" s="118"/>
      <c r="NMY12" s="118"/>
      <c r="NMZ12" s="118"/>
      <c r="NNA12" s="118"/>
      <c r="NNB12" s="118"/>
      <c r="NNC12" s="118"/>
      <c r="NND12" s="118"/>
      <c r="NNE12" s="118"/>
      <c r="NNF12" s="118"/>
      <c r="NNG12" s="118"/>
      <c r="NNH12" s="118"/>
      <c r="NNI12" s="118"/>
      <c r="NNJ12" s="118"/>
      <c r="NNK12" s="118"/>
      <c r="NNL12" s="118"/>
      <c r="NNM12" s="118"/>
      <c r="NNN12" s="118"/>
      <c r="NNO12" s="118"/>
      <c r="NNP12" s="118"/>
      <c r="NNQ12" s="118"/>
      <c r="NNR12" s="118"/>
      <c r="NNS12" s="118"/>
      <c r="NNT12" s="118"/>
      <c r="NNU12" s="118"/>
      <c r="NNV12" s="118"/>
      <c r="NNW12" s="118"/>
      <c r="NNX12" s="118"/>
      <c r="NNY12" s="118"/>
      <c r="NNZ12" s="118"/>
      <c r="NOA12" s="118"/>
      <c r="NOB12" s="118"/>
      <c r="NOC12" s="118"/>
      <c r="NOD12" s="118"/>
      <c r="NOE12" s="118"/>
      <c r="NOF12" s="118"/>
      <c r="NOG12" s="118"/>
      <c r="NOH12" s="118"/>
      <c r="NOI12" s="118"/>
      <c r="NOJ12" s="118"/>
      <c r="NOK12" s="118"/>
      <c r="NOL12" s="118"/>
      <c r="NOM12" s="118"/>
      <c r="NON12" s="118"/>
      <c r="NOO12" s="118"/>
      <c r="NOP12" s="118"/>
      <c r="NOQ12" s="118"/>
      <c r="NOR12" s="118"/>
      <c r="NOS12" s="118"/>
      <c r="NOT12" s="118"/>
      <c r="NOU12" s="118"/>
      <c r="NOV12" s="118"/>
      <c r="NOW12" s="118"/>
      <c r="NOX12" s="118"/>
      <c r="NOY12" s="118"/>
      <c r="NOZ12" s="118"/>
      <c r="NPA12" s="118"/>
      <c r="NPB12" s="118"/>
      <c r="NPC12" s="118"/>
      <c r="NPD12" s="118"/>
      <c r="NPE12" s="118"/>
      <c r="NPF12" s="118"/>
      <c r="NPG12" s="118"/>
      <c r="NPH12" s="118"/>
      <c r="NPI12" s="118"/>
      <c r="NPJ12" s="118"/>
      <c r="NPK12" s="118"/>
      <c r="NPL12" s="118"/>
      <c r="NPM12" s="118"/>
      <c r="NPN12" s="118"/>
      <c r="NPO12" s="118"/>
      <c r="NPP12" s="118"/>
      <c r="NPQ12" s="118"/>
      <c r="NPR12" s="118"/>
      <c r="NPS12" s="118"/>
      <c r="NPT12" s="118"/>
      <c r="NPU12" s="118"/>
      <c r="NPV12" s="118"/>
      <c r="NPW12" s="118"/>
      <c r="NPX12" s="118"/>
      <c r="NPY12" s="118"/>
      <c r="NPZ12" s="118"/>
      <c r="NQA12" s="118"/>
      <c r="NQB12" s="118"/>
      <c r="NQC12" s="118"/>
      <c r="NQD12" s="118"/>
      <c r="NQE12" s="118"/>
      <c r="NQF12" s="118"/>
      <c r="NQG12" s="118"/>
      <c r="NQH12" s="118"/>
      <c r="NQI12" s="118"/>
      <c r="NQJ12" s="118"/>
      <c r="NQK12" s="118"/>
      <c r="NQL12" s="118"/>
      <c r="NQM12" s="118"/>
      <c r="NQN12" s="118"/>
      <c r="NQO12" s="118"/>
      <c r="NQP12" s="118"/>
      <c r="NQQ12" s="118"/>
      <c r="NQR12" s="118"/>
      <c r="NQS12" s="118"/>
      <c r="NQT12" s="118"/>
      <c r="NQU12" s="118"/>
      <c r="NQV12" s="118"/>
      <c r="NQW12" s="118"/>
      <c r="NQX12" s="118"/>
      <c r="NQY12" s="118"/>
      <c r="NQZ12" s="118"/>
      <c r="NRA12" s="118"/>
      <c r="NRB12" s="118"/>
      <c r="NRC12" s="118"/>
      <c r="NRD12" s="118"/>
      <c r="NRE12" s="118"/>
      <c r="NRF12" s="118"/>
      <c r="NRG12" s="118"/>
      <c r="NRH12" s="118"/>
      <c r="NRI12" s="118"/>
      <c r="NRJ12" s="118"/>
      <c r="NRK12" s="118"/>
      <c r="NRL12" s="118"/>
      <c r="NRM12" s="118"/>
      <c r="NRN12" s="118"/>
      <c r="NRO12" s="118"/>
      <c r="NRP12" s="118"/>
      <c r="NRQ12" s="118"/>
      <c r="NRR12" s="118"/>
      <c r="NRS12" s="118"/>
      <c r="NRT12" s="118"/>
      <c r="NRU12" s="118"/>
      <c r="NRV12" s="118"/>
      <c r="NRW12" s="118"/>
      <c r="NRX12" s="118"/>
      <c r="NRY12" s="118"/>
      <c r="NRZ12" s="118"/>
      <c r="NSA12" s="118"/>
      <c r="NSB12" s="118"/>
      <c r="NSC12" s="118"/>
      <c r="NSD12" s="118"/>
      <c r="NSE12" s="118"/>
      <c r="NSF12" s="118"/>
      <c r="NSG12" s="118"/>
      <c r="NSH12" s="118"/>
      <c r="NSI12" s="118"/>
      <c r="NSJ12" s="118"/>
      <c r="NSK12" s="118"/>
      <c r="NSL12" s="118"/>
      <c r="NSM12" s="118"/>
      <c r="NSN12" s="118"/>
      <c r="NSO12" s="118"/>
      <c r="NSP12" s="118"/>
      <c r="NSQ12" s="118"/>
      <c r="NSR12" s="118"/>
      <c r="NSS12" s="118"/>
      <c r="NST12" s="118"/>
      <c r="NSU12" s="118"/>
      <c r="NSV12" s="118"/>
      <c r="NSW12" s="118"/>
      <c r="NSX12" s="118"/>
      <c r="NSY12" s="118"/>
      <c r="NSZ12" s="118"/>
      <c r="NTA12" s="118"/>
      <c r="NTB12" s="118"/>
      <c r="NTC12" s="118"/>
      <c r="NTD12" s="118"/>
      <c r="NTE12" s="118"/>
      <c r="NTF12" s="118"/>
      <c r="NTG12" s="118"/>
      <c r="NTH12" s="118"/>
      <c r="NTI12" s="118"/>
      <c r="NTJ12" s="118"/>
      <c r="NTK12" s="118"/>
      <c r="NTL12" s="118"/>
      <c r="NTM12" s="118"/>
      <c r="NTN12" s="118"/>
      <c r="NTO12" s="118"/>
      <c r="NTP12" s="118"/>
      <c r="NTQ12" s="118"/>
      <c r="NTR12" s="118"/>
      <c r="NTS12" s="118"/>
      <c r="NTT12" s="118"/>
      <c r="NTU12" s="118"/>
      <c r="NTV12" s="118"/>
      <c r="NTW12" s="118"/>
      <c r="NTX12" s="118"/>
      <c r="NTY12" s="118"/>
      <c r="NTZ12" s="118"/>
      <c r="NUA12" s="118"/>
      <c r="NUB12" s="118"/>
      <c r="NUC12" s="118"/>
      <c r="NUD12" s="118"/>
      <c r="NUE12" s="118"/>
      <c r="NUF12" s="118"/>
      <c r="NUG12" s="118"/>
      <c r="NUH12" s="118"/>
      <c r="NUI12" s="118"/>
      <c r="NUJ12" s="118"/>
      <c r="NUK12" s="118"/>
      <c r="NUL12" s="118"/>
      <c r="NUM12" s="118"/>
      <c r="NUN12" s="118"/>
      <c r="NUO12" s="118"/>
      <c r="NUP12" s="118"/>
      <c r="NUQ12" s="118"/>
      <c r="NUR12" s="118"/>
      <c r="NUS12" s="118"/>
      <c r="NUT12" s="118"/>
      <c r="NUU12" s="118"/>
      <c r="NUV12" s="118"/>
      <c r="NUW12" s="118"/>
      <c r="NUX12" s="118"/>
      <c r="NUY12" s="118"/>
      <c r="NUZ12" s="118"/>
      <c r="NVA12" s="118"/>
      <c r="NVB12" s="118"/>
      <c r="NVC12" s="118"/>
      <c r="NVD12" s="118"/>
      <c r="NVE12" s="118"/>
      <c r="NVF12" s="118"/>
      <c r="NVG12" s="118"/>
      <c r="NVH12" s="118"/>
      <c r="NVI12" s="118"/>
      <c r="NVJ12" s="118"/>
      <c r="NVK12" s="118"/>
      <c r="NVL12" s="118"/>
      <c r="NVM12" s="118"/>
      <c r="NVN12" s="118"/>
      <c r="NVO12" s="118"/>
      <c r="NVP12" s="118"/>
      <c r="NVQ12" s="118"/>
      <c r="NVR12" s="118"/>
      <c r="NVS12" s="118"/>
      <c r="NVT12" s="118"/>
      <c r="NVU12" s="118"/>
      <c r="NVV12" s="118"/>
      <c r="NVW12" s="118"/>
      <c r="NVX12" s="118"/>
      <c r="NVY12" s="118"/>
      <c r="NVZ12" s="118"/>
      <c r="NWA12" s="118"/>
      <c r="NWB12" s="118"/>
      <c r="NWC12" s="118"/>
      <c r="NWD12" s="118"/>
      <c r="NWE12" s="118"/>
      <c r="NWF12" s="118"/>
      <c r="NWG12" s="118"/>
      <c r="NWH12" s="118"/>
      <c r="NWI12" s="118"/>
      <c r="NWJ12" s="118"/>
      <c r="NWK12" s="118"/>
      <c r="NWL12" s="118"/>
      <c r="NWM12" s="118"/>
      <c r="NWN12" s="118"/>
      <c r="NWO12" s="118"/>
      <c r="NWP12" s="118"/>
      <c r="NWQ12" s="118"/>
      <c r="NWR12" s="118"/>
      <c r="NWS12" s="118"/>
      <c r="NWT12" s="118"/>
      <c r="NWU12" s="118"/>
      <c r="NWV12" s="118"/>
      <c r="NWW12" s="118"/>
      <c r="NWX12" s="118"/>
      <c r="NWY12" s="118"/>
      <c r="NWZ12" s="118"/>
      <c r="NXA12" s="118"/>
      <c r="NXB12" s="118"/>
      <c r="NXC12" s="118"/>
      <c r="NXD12" s="118"/>
      <c r="NXE12" s="118"/>
      <c r="NXF12" s="118"/>
      <c r="NXG12" s="118"/>
      <c r="NXH12" s="118"/>
      <c r="NXI12" s="118"/>
      <c r="NXJ12" s="118"/>
      <c r="NXK12" s="118"/>
      <c r="NXL12" s="118"/>
      <c r="NXM12" s="118"/>
      <c r="NXN12" s="118"/>
      <c r="NXO12" s="118"/>
      <c r="NXP12" s="118"/>
      <c r="NXQ12" s="118"/>
      <c r="NXR12" s="118"/>
      <c r="NXS12" s="118"/>
      <c r="NXT12" s="118"/>
      <c r="NXU12" s="118"/>
      <c r="NXV12" s="118"/>
      <c r="NXW12" s="118"/>
      <c r="NXX12" s="118"/>
      <c r="NXY12" s="118"/>
      <c r="NXZ12" s="118"/>
      <c r="NYA12" s="118"/>
      <c r="NYB12" s="118"/>
      <c r="NYC12" s="118"/>
      <c r="NYD12" s="118"/>
      <c r="NYE12" s="118"/>
      <c r="NYF12" s="118"/>
      <c r="NYG12" s="118"/>
      <c r="NYH12" s="118"/>
      <c r="NYI12" s="118"/>
      <c r="NYJ12" s="118"/>
      <c r="NYK12" s="118"/>
      <c r="NYL12" s="118"/>
      <c r="NYM12" s="118"/>
      <c r="NYN12" s="118"/>
      <c r="NYO12" s="118"/>
      <c r="NYP12" s="118"/>
      <c r="NYQ12" s="118"/>
      <c r="NYR12" s="118"/>
      <c r="NYS12" s="118"/>
      <c r="NYT12" s="118"/>
      <c r="NYU12" s="118"/>
      <c r="NYV12" s="118"/>
      <c r="NYW12" s="118"/>
      <c r="NYX12" s="118"/>
      <c r="NYY12" s="118"/>
      <c r="NYZ12" s="118"/>
      <c r="NZA12" s="118"/>
      <c r="NZB12" s="118"/>
      <c r="NZC12" s="118"/>
      <c r="NZD12" s="118"/>
      <c r="NZE12" s="118"/>
      <c r="NZF12" s="118"/>
      <c r="NZG12" s="118"/>
      <c r="NZH12" s="118"/>
      <c r="NZI12" s="118"/>
      <c r="NZJ12" s="118"/>
      <c r="NZK12" s="118"/>
      <c r="NZL12" s="118"/>
      <c r="NZM12" s="118"/>
      <c r="NZN12" s="118"/>
      <c r="NZO12" s="118"/>
      <c r="NZP12" s="118"/>
      <c r="NZQ12" s="118"/>
      <c r="NZR12" s="118"/>
      <c r="NZS12" s="118"/>
      <c r="NZT12" s="118"/>
      <c r="NZU12" s="118"/>
      <c r="NZV12" s="118"/>
      <c r="NZW12" s="118"/>
      <c r="NZX12" s="118"/>
      <c r="NZY12" s="118"/>
      <c r="NZZ12" s="118"/>
      <c r="OAA12" s="118"/>
      <c r="OAB12" s="118"/>
      <c r="OAC12" s="118"/>
      <c r="OAD12" s="118"/>
      <c r="OAE12" s="118"/>
      <c r="OAF12" s="118"/>
      <c r="OAG12" s="118"/>
      <c r="OAH12" s="118"/>
      <c r="OAI12" s="118"/>
      <c r="OAJ12" s="118"/>
      <c r="OAK12" s="118"/>
      <c r="OAL12" s="118"/>
      <c r="OAM12" s="118"/>
      <c r="OAN12" s="118"/>
      <c r="OAO12" s="118"/>
      <c r="OAP12" s="118"/>
      <c r="OAQ12" s="118"/>
      <c r="OAR12" s="118"/>
      <c r="OAS12" s="118"/>
      <c r="OAT12" s="118"/>
      <c r="OAU12" s="118"/>
      <c r="OAV12" s="118"/>
      <c r="OAW12" s="118"/>
      <c r="OAX12" s="118"/>
      <c r="OAY12" s="118"/>
      <c r="OAZ12" s="118"/>
      <c r="OBA12" s="118"/>
      <c r="OBB12" s="118"/>
      <c r="OBC12" s="118"/>
      <c r="OBD12" s="118"/>
      <c r="OBE12" s="118"/>
      <c r="OBF12" s="118"/>
      <c r="OBG12" s="118"/>
      <c r="OBH12" s="118"/>
      <c r="OBI12" s="118"/>
      <c r="OBJ12" s="118"/>
      <c r="OBK12" s="118"/>
      <c r="OBL12" s="118"/>
      <c r="OBM12" s="118"/>
      <c r="OBN12" s="118"/>
      <c r="OBO12" s="118"/>
      <c r="OBP12" s="118"/>
      <c r="OBQ12" s="118"/>
      <c r="OBR12" s="118"/>
      <c r="OBS12" s="118"/>
      <c r="OBT12" s="118"/>
      <c r="OBU12" s="118"/>
      <c r="OBV12" s="118"/>
      <c r="OBW12" s="118"/>
      <c r="OBX12" s="118"/>
      <c r="OBY12" s="118"/>
      <c r="OBZ12" s="118"/>
      <c r="OCA12" s="118"/>
      <c r="OCB12" s="118"/>
      <c r="OCC12" s="118"/>
      <c r="OCD12" s="118"/>
      <c r="OCE12" s="118"/>
      <c r="OCF12" s="118"/>
      <c r="OCG12" s="118"/>
      <c r="OCH12" s="118"/>
      <c r="OCI12" s="118"/>
      <c r="OCJ12" s="118"/>
      <c r="OCK12" s="118"/>
      <c r="OCL12" s="118"/>
      <c r="OCM12" s="118"/>
      <c r="OCN12" s="118"/>
      <c r="OCO12" s="118"/>
      <c r="OCP12" s="118"/>
      <c r="OCQ12" s="118"/>
      <c r="OCR12" s="118"/>
      <c r="OCS12" s="118"/>
      <c r="OCT12" s="118"/>
      <c r="OCU12" s="118"/>
      <c r="OCV12" s="118"/>
      <c r="OCW12" s="118"/>
      <c r="OCX12" s="118"/>
      <c r="OCY12" s="118"/>
      <c r="OCZ12" s="118"/>
      <c r="ODA12" s="118"/>
      <c r="ODB12" s="118"/>
      <c r="ODC12" s="118"/>
      <c r="ODD12" s="118"/>
      <c r="ODE12" s="118"/>
      <c r="ODF12" s="118"/>
      <c r="ODG12" s="118"/>
      <c r="ODH12" s="118"/>
      <c r="ODI12" s="118"/>
      <c r="ODJ12" s="118"/>
      <c r="ODK12" s="118"/>
      <c r="ODL12" s="118"/>
      <c r="ODM12" s="118"/>
      <c r="ODN12" s="118"/>
      <c r="ODO12" s="118"/>
      <c r="ODP12" s="118"/>
      <c r="ODQ12" s="118"/>
      <c r="ODR12" s="118"/>
      <c r="ODS12" s="118"/>
      <c r="ODT12" s="118"/>
      <c r="ODU12" s="118"/>
      <c r="ODV12" s="118"/>
      <c r="ODW12" s="118"/>
      <c r="ODX12" s="118"/>
      <c r="ODY12" s="118"/>
      <c r="ODZ12" s="118"/>
      <c r="OEA12" s="118"/>
      <c r="OEB12" s="118"/>
      <c r="OEC12" s="118"/>
      <c r="OED12" s="118"/>
      <c r="OEE12" s="118"/>
      <c r="OEF12" s="118"/>
      <c r="OEG12" s="118"/>
      <c r="OEH12" s="118"/>
      <c r="OEI12" s="118"/>
      <c r="OEJ12" s="118"/>
      <c r="OEK12" s="118"/>
      <c r="OEL12" s="118"/>
      <c r="OEM12" s="118"/>
      <c r="OEN12" s="118"/>
      <c r="OEO12" s="118"/>
      <c r="OEP12" s="118"/>
      <c r="OEQ12" s="118"/>
      <c r="OER12" s="118"/>
      <c r="OES12" s="118"/>
      <c r="OET12" s="118"/>
      <c r="OEU12" s="118"/>
      <c r="OEV12" s="118"/>
      <c r="OEW12" s="118"/>
      <c r="OEX12" s="118"/>
      <c r="OEY12" s="118"/>
      <c r="OEZ12" s="118"/>
      <c r="OFA12" s="118"/>
      <c r="OFB12" s="118"/>
      <c r="OFC12" s="118"/>
      <c r="OFD12" s="118"/>
      <c r="OFE12" s="118"/>
      <c r="OFF12" s="118"/>
      <c r="OFG12" s="118"/>
      <c r="OFH12" s="118"/>
      <c r="OFI12" s="118"/>
      <c r="OFJ12" s="118"/>
      <c r="OFK12" s="118"/>
      <c r="OFL12" s="118"/>
      <c r="OFM12" s="118"/>
      <c r="OFN12" s="118"/>
      <c r="OFO12" s="118"/>
      <c r="OFP12" s="118"/>
      <c r="OFQ12" s="118"/>
      <c r="OFR12" s="118"/>
      <c r="OFS12" s="118"/>
      <c r="OFT12" s="118"/>
      <c r="OFU12" s="118"/>
      <c r="OFV12" s="118"/>
      <c r="OFW12" s="118"/>
      <c r="OFX12" s="118"/>
      <c r="OFY12" s="118"/>
      <c r="OFZ12" s="118"/>
      <c r="OGA12" s="118"/>
      <c r="OGB12" s="118"/>
      <c r="OGC12" s="118"/>
      <c r="OGD12" s="118"/>
      <c r="OGE12" s="118"/>
      <c r="OGF12" s="118"/>
      <c r="OGG12" s="118"/>
      <c r="OGH12" s="118"/>
      <c r="OGI12" s="118"/>
      <c r="OGJ12" s="118"/>
      <c r="OGK12" s="118"/>
      <c r="OGL12" s="118"/>
      <c r="OGM12" s="118"/>
      <c r="OGN12" s="118"/>
      <c r="OGO12" s="118"/>
      <c r="OGP12" s="118"/>
      <c r="OGQ12" s="118"/>
      <c r="OGR12" s="118"/>
      <c r="OGS12" s="118"/>
      <c r="OGT12" s="118"/>
      <c r="OGU12" s="118"/>
      <c r="OGV12" s="118"/>
      <c r="OGW12" s="118"/>
      <c r="OGX12" s="118"/>
      <c r="OGY12" s="118"/>
      <c r="OGZ12" s="118"/>
      <c r="OHA12" s="118"/>
      <c r="OHB12" s="118"/>
      <c r="OHC12" s="118"/>
      <c r="OHD12" s="118"/>
      <c r="OHE12" s="118"/>
      <c r="OHF12" s="118"/>
      <c r="OHG12" s="118"/>
      <c r="OHH12" s="118"/>
      <c r="OHI12" s="118"/>
      <c r="OHJ12" s="118"/>
      <c r="OHK12" s="118"/>
      <c r="OHL12" s="118"/>
      <c r="OHM12" s="118"/>
      <c r="OHN12" s="118"/>
      <c r="OHO12" s="118"/>
      <c r="OHP12" s="118"/>
      <c r="OHQ12" s="118"/>
      <c r="OHR12" s="118"/>
      <c r="OHS12" s="118"/>
      <c r="OHT12" s="118"/>
      <c r="OHU12" s="118"/>
      <c r="OHV12" s="118"/>
      <c r="OHW12" s="118"/>
      <c r="OHX12" s="118"/>
      <c r="OHY12" s="118"/>
      <c r="OHZ12" s="118"/>
      <c r="OIA12" s="118"/>
      <c r="OIB12" s="118"/>
      <c r="OIC12" s="118"/>
      <c r="OID12" s="118"/>
      <c r="OIE12" s="118"/>
      <c r="OIF12" s="118"/>
      <c r="OIG12" s="118"/>
      <c r="OIH12" s="118"/>
      <c r="OII12" s="118"/>
      <c r="OIJ12" s="118"/>
      <c r="OIK12" s="118"/>
      <c r="OIL12" s="118"/>
      <c r="OIM12" s="118"/>
      <c r="OIN12" s="118"/>
      <c r="OIO12" s="118"/>
      <c r="OIP12" s="118"/>
      <c r="OIQ12" s="118"/>
      <c r="OIR12" s="118"/>
      <c r="OIS12" s="118"/>
      <c r="OIT12" s="118"/>
      <c r="OIU12" s="118"/>
      <c r="OIV12" s="118"/>
      <c r="OIW12" s="118"/>
      <c r="OIX12" s="118"/>
      <c r="OIY12" s="118"/>
      <c r="OIZ12" s="118"/>
      <c r="OJA12" s="118"/>
      <c r="OJB12" s="118"/>
      <c r="OJC12" s="118"/>
      <c r="OJD12" s="118"/>
      <c r="OJE12" s="118"/>
      <c r="OJF12" s="118"/>
      <c r="OJG12" s="118"/>
      <c r="OJH12" s="118"/>
      <c r="OJI12" s="118"/>
      <c r="OJJ12" s="118"/>
      <c r="OJK12" s="118"/>
      <c r="OJL12" s="118"/>
      <c r="OJM12" s="118"/>
      <c r="OJN12" s="118"/>
      <c r="OJO12" s="118"/>
      <c r="OJP12" s="118"/>
      <c r="OJQ12" s="118"/>
      <c r="OJR12" s="118"/>
      <c r="OJS12" s="118"/>
      <c r="OJT12" s="118"/>
      <c r="OJU12" s="118"/>
      <c r="OJV12" s="118"/>
      <c r="OJW12" s="118"/>
      <c r="OJX12" s="118"/>
      <c r="OJY12" s="118"/>
      <c r="OJZ12" s="118"/>
      <c r="OKA12" s="118"/>
      <c r="OKB12" s="118"/>
      <c r="OKC12" s="118"/>
      <c r="OKD12" s="118"/>
      <c r="OKE12" s="118"/>
      <c r="OKF12" s="118"/>
      <c r="OKG12" s="118"/>
      <c r="OKH12" s="118"/>
      <c r="OKI12" s="118"/>
      <c r="OKJ12" s="118"/>
      <c r="OKK12" s="118"/>
      <c r="OKL12" s="118"/>
      <c r="OKM12" s="118"/>
      <c r="OKN12" s="118"/>
      <c r="OKO12" s="118"/>
      <c r="OKP12" s="118"/>
      <c r="OKQ12" s="118"/>
      <c r="OKR12" s="118"/>
      <c r="OKS12" s="118"/>
      <c r="OKT12" s="118"/>
      <c r="OKU12" s="118"/>
      <c r="OKV12" s="118"/>
      <c r="OKW12" s="118"/>
      <c r="OKX12" s="118"/>
      <c r="OKY12" s="118"/>
      <c r="OKZ12" s="118"/>
      <c r="OLA12" s="118"/>
      <c r="OLB12" s="118"/>
      <c r="OLC12" s="118"/>
      <c r="OLD12" s="118"/>
      <c r="OLE12" s="118"/>
      <c r="OLF12" s="118"/>
      <c r="OLG12" s="118"/>
      <c r="OLH12" s="118"/>
      <c r="OLI12" s="118"/>
      <c r="OLJ12" s="118"/>
      <c r="OLK12" s="118"/>
      <c r="OLL12" s="118"/>
      <c r="OLM12" s="118"/>
      <c r="OLN12" s="118"/>
      <c r="OLO12" s="118"/>
      <c r="OLP12" s="118"/>
      <c r="OLQ12" s="118"/>
      <c r="OLR12" s="118"/>
      <c r="OLS12" s="118"/>
      <c r="OLT12" s="118"/>
      <c r="OLU12" s="118"/>
      <c r="OLV12" s="118"/>
      <c r="OLW12" s="118"/>
      <c r="OLX12" s="118"/>
      <c r="OLY12" s="118"/>
      <c r="OLZ12" s="118"/>
      <c r="OMA12" s="118"/>
      <c r="OMB12" s="118"/>
      <c r="OMC12" s="118"/>
      <c r="OMD12" s="118"/>
      <c r="OME12" s="118"/>
      <c r="OMF12" s="118"/>
      <c r="OMG12" s="118"/>
      <c r="OMH12" s="118"/>
      <c r="OMI12" s="118"/>
      <c r="OMJ12" s="118"/>
      <c r="OMK12" s="118"/>
      <c r="OML12" s="118"/>
      <c r="OMM12" s="118"/>
      <c r="OMN12" s="118"/>
      <c r="OMO12" s="118"/>
      <c r="OMP12" s="118"/>
      <c r="OMQ12" s="118"/>
      <c r="OMR12" s="118"/>
      <c r="OMS12" s="118"/>
      <c r="OMT12" s="118"/>
      <c r="OMU12" s="118"/>
      <c r="OMV12" s="118"/>
      <c r="OMW12" s="118"/>
      <c r="OMX12" s="118"/>
      <c r="OMY12" s="118"/>
      <c r="OMZ12" s="118"/>
      <c r="ONA12" s="118"/>
      <c r="ONB12" s="118"/>
      <c r="ONC12" s="118"/>
      <c r="OND12" s="118"/>
      <c r="ONE12" s="118"/>
      <c r="ONF12" s="118"/>
      <c r="ONG12" s="118"/>
      <c r="ONH12" s="118"/>
      <c r="ONI12" s="118"/>
      <c r="ONJ12" s="118"/>
      <c r="ONK12" s="118"/>
      <c r="ONL12" s="118"/>
      <c r="ONM12" s="118"/>
      <c r="ONN12" s="118"/>
      <c r="ONO12" s="118"/>
      <c r="ONP12" s="118"/>
      <c r="ONQ12" s="118"/>
      <c r="ONR12" s="118"/>
      <c r="ONS12" s="118"/>
      <c r="ONT12" s="118"/>
      <c r="ONU12" s="118"/>
      <c r="ONV12" s="118"/>
      <c r="ONW12" s="118"/>
      <c r="ONX12" s="118"/>
      <c r="ONY12" s="118"/>
      <c r="ONZ12" s="118"/>
      <c r="OOA12" s="118"/>
      <c r="OOB12" s="118"/>
      <c r="OOC12" s="118"/>
      <c r="OOD12" s="118"/>
      <c r="OOE12" s="118"/>
      <c r="OOF12" s="118"/>
      <c r="OOG12" s="118"/>
      <c r="OOH12" s="118"/>
      <c r="OOI12" s="118"/>
      <c r="OOJ12" s="118"/>
      <c r="OOK12" s="118"/>
      <c r="OOL12" s="118"/>
      <c r="OOM12" s="118"/>
      <c r="OON12" s="118"/>
      <c r="OOO12" s="118"/>
      <c r="OOP12" s="118"/>
      <c r="OOQ12" s="118"/>
      <c r="OOR12" s="118"/>
      <c r="OOS12" s="118"/>
      <c r="OOT12" s="118"/>
      <c r="OOU12" s="118"/>
      <c r="OOV12" s="118"/>
      <c r="OOW12" s="118"/>
      <c r="OOX12" s="118"/>
      <c r="OOY12" s="118"/>
      <c r="OOZ12" s="118"/>
      <c r="OPA12" s="118"/>
      <c r="OPB12" s="118"/>
      <c r="OPC12" s="118"/>
      <c r="OPD12" s="118"/>
      <c r="OPE12" s="118"/>
      <c r="OPF12" s="118"/>
      <c r="OPG12" s="118"/>
      <c r="OPH12" s="118"/>
      <c r="OPI12" s="118"/>
      <c r="OPJ12" s="118"/>
      <c r="OPK12" s="118"/>
      <c r="OPL12" s="118"/>
      <c r="OPM12" s="118"/>
      <c r="OPN12" s="118"/>
      <c r="OPO12" s="118"/>
      <c r="OPP12" s="118"/>
      <c r="OPQ12" s="118"/>
      <c r="OPR12" s="118"/>
      <c r="OPS12" s="118"/>
      <c r="OPT12" s="118"/>
      <c r="OPU12" s="118"/>
      <c r="OPV12" s="118"/>
      <c r="OPW12" s="118"/>
      <c r="OPX12" s="118"/>
      <c r="OPY12" s="118"/>
      <c r="OPZ12" s="118"/>
      <c r="OQA12" s="118"/>
      <c r="OQB12" s="118"/>
      <c r="OQC12" s="118"/>
      <c r="OQD12" s="118"/>
      <c r="OQE12" s="118"/>
      <c r="OQF12" s="118"/>
      <c r="OQG12" s="118"/>
      <c r="OQH12" s="118"/>
      <c r="OQI12" s="118"/>
      <c r="OQJ12" s="118"/>
      <c r="OQK12" s="118"/>
      <c r="OQL12" s="118"/>
      <c r="OQM12" s="118"/>
      <c r="OQN12" s="118"/>
      <c r="OQO12" s="118"/>
      <c r="OQP12" s="118"/>
      <c r="OQQ12" s="118"/>
      <c r="OQR12" s="118"/>
      <c r="OQS12" s="118"/>
      <c r="OQT12" s="118"/>
      <c r="OQU12" s="118"/>
      <c r="OQV12" s="118"/>
      <c r="OQW12" s="118"/>
      <c r="OQX12" s="118"/>
      <c r="OQY12" s="118"/>
      <c r="OQZ12" s="118"/>
      <c r="ORA12" s="118"/>
      <c r="ORB12" s="118"/>
      <c r="ORC12" s="118"/>
      <c r="ORD12" s="118"/>
      <c r="ORE12" s="118"/>
      <c r="ORF12" s="118"/>
      <c r="ORG12" s="118"/>
      <c r="ORH12" s="118"/>
      <c r="ORI12" s="118"/>
      <c r="ORJ12" s="118"/>
      <c r="ORK12" s="118"/>
      <c r="ORL12" s="118"/>
      <c r="ORM12" s="118"/>
      <c r="ORN12" s="118"/>
      <c r="ORO12" s="118"/>
      <c r="ORP12" s="118"/>
      <c r="ORQ12" s="118"/>
      <c r="ORR12" s="118"/>
      <c r="ORS12" s="118"/>
      <c r="ORT12" s="118"/>
      <c r="ORU12" s="118"/>
      <c r="ORV12" s="118"/>
      <c r="ORW12" s="118"/>
      <c r="ORX12" s="118"/>
      <c r="ORY12" s="118"/>
      <c r="ORZ12" s="118"/>
      <c r="OSA12" s="118"/>
      <c r="OSB12" s="118"/>
      <c r="OSC12" s="118"/>
      <c r="OSD12" s="118"/>
      <c r="OSE12" s="118"/>
      <c r="OSF12" s="118"/>
      <c r="OSG12" s="118"/>
      <c r="OSH12" s="118"/>
      <c r="OSI12" s="118"/>
      <c r="OSJ12" s="118"/>
      <c r="OSK12" s="118"/>
      <c r="OSL12" s="118"/>
      <c r="OSM12" s="118"/>
      <c r="OSN12" s="118"/>
      <c r="OSO12" s="118"/>
      <c r="OSP12" s="118"/>
      <c r="OSQ12" s="118"/>
      <c r="OSR12" s="118"/>
      <c r="OSS12" s="118"/>
      <c r="OST12" s="118"/>
      <c r="OSU12" s="118"/>
      <c r="OSV12" s="118"/>
      <c r="OSW12" s="118"/>
      <c r="OSX12" s="118"/>
      <c r="OSY12" s="118"/>
      <c r="OSZ12" s="118"/>
      <c r="OTA12" s="118"/>
      <c r="OTB12" s="118"/>
      <c r="OTC12" s="118"/>
      <c r="OTD12" s="118"/>
      <c r="OTE12" s="118"/>
      <c r="OTF12" s="118"/>
      <c r="OTG12" s="118"/>
      <c r="OTH12" s="118"/>
      <c r="OTI12" s="118"/>
      <c r="OTJ12" s="118"/>
      <c r="OTK12" s="118"/>
      <c r="OTL12" s="118"/>
      <c r="OTM12" s="118"/>
      <c r="OTN12" s="118"/>
      <c r="OTO12" s="118"/>
      <c r="OTP12" s="118"/>
      <c r="OTQ12" s="118"/>
      <c r="OTR12" s="118"/>
      <c r="OTS12" s="118"/>
      <c r="OTT12" s="118"/>
      <c r="OTU12" s="118"/>
      <c r="OTV12" s="118"/>
      <c r="OTW12" s="118"/>
      <c r="OTX12" s="118"/>
      <c r="OTY12" s="118"/>
      <c r="OTZ12" s="118"/>
      <c r="OUA12" s="118"/>
      <c r="OUB12" s="118"/>
      <c r="OUC12" s="118"/>
      <c r="OUD12" s="118"/>
      <c r="OUE12" s="118"/>
      <c r="OUF12" s="118"/>
      <c r="OUG12" s="118"/>
      <c r="OUH12" s="118"/>
      <c r="OUI12" s="118"/>
      <c r="OUJ12" s="118"/>
      <c r="OUK12" s="118"/>
      <c r="OUL12" s="118"/>
      <c r="OUM12" s="118"/>
      <c r="OUN12" s="118"/>
      <c r="OUO12" s="118"/>
      <c r="OUP12" s="118"/>
      <c r="OUQ12" s="118"/>
      <c r="OUR12" s="118"/>
      <c r="OUS12" s="118"/>
      <c r="OUT12" s="118"/>
      <c r="OUU12" s="118"/>
      <c r="OUV12" s="118"/>
      <c r="OUW12" s="118"/>
      <c r="OUX12" s="118"/>
      <c r="OUY12" s="118"/>
      <c r="OUZ12" s="118"/>
      <c r="OVA12" s="118"/>
      <c r="OVB12" s="118"/>
      <c r="OVC12" s="118"/>
      <c r="OVD12" s="118"/>
      <c r="OVE12" s="118"/>
      <c r="OVF12" s="118"/>
      <c r="OVG12" s="118"/>
      <c r="OVH12" s="118"/>
      <c r="OVI12" s="118"/>
      <c r="OVJ12" s="118"/>
      <c r="OVK12" s="118"/>
      <c r="OVL12" s="118"/>
      <c r="OVM12" s="118"/>
      <c r="OVN12" s="118"/>
      <c r="OVO12" s="118"/>
      <c r="OVP12" s="118"/>
      <c r="OVQ12" s="118"/>
      <c r="OVR12" s="118"/>
      <c r="OVS12" s="118"/>
      <c r="OVT12" s="118"/>
      <c r="OVU12" s="118"/>
      <c r="OVV12" s="118"/>
      <c r="OVW12" s="118"/>
      <c r="OVX12" s="118"/>
      <c r="OVY12" s="118"/>
      <c r="OVZ12" s="118"/>
      <c r="OWA12" s="118"/>
      <c r="OWB12" s="118"/>
      <c r="OWC12" s="118"/>
      <c r="OWD12" s="118"/>
      <c r="OWE12" s="118"/>
      <c r="OWF12" s="118"/>
      <c r="OWG12" s="118"/>
      <c r="OWH12" s="118"/>
      <c r="OWI12" s="118"/>
      <c r="OWJ12" s="118"/>
      <c r="OWK12" s="118"/>
      <c r="OWL12" s="118"/>
      <c r="OWM12" s="118"/>
      <c r="OWN12" s="118"/>
      <c r="OWO12" s="118"/>
      <c r="OWP12" s="118"/>
      <c r="OWQ12" s="118"/>
      <c r="OWR12" s="118"/>
      <c r="OWS12" s="118"/>
      <c r="OWT12" s="118"/>
      <c r="OWU12" s="118"/>
      <c r="OWV12" s="118"/>
      <c r="OWW12" s="118"/>
      <c r="OWX12" s="118"/>
      <c r="OWY12" s="118"/>
      <c r="OWZ12" s="118"/>
      <c r="OXA12" s="118"/>
      <c r="OXB12" s="118"/>
      <c r="OXC12" s="118"/>
      <c r="OXD12" s="118"/>
      <c r="OXE12" s="118"/>
      <c r="OXF12" s="118"/>
      <c r="OXG12" s="118"/>
      <c r="OXH12" s="118"/>
      <c r="OXI12" s="118"/>
      <c r="OXJ12" s="118"/>
      <c r="OXK12" s="118"/>
      <c r="OXL12" s="118"/>
      <c r="OXM12" s="118"/>
      <c r="OXN12" s="118"/>
      <c r="OXO12" s="118"/>
      <c r="OXP12" s="118"/>
      <c r="OXQ12" s="118"/>
      <c r="OXR12" s="118"/>
      <c r="OXS12" s="118"/>
      <c r="OXT12" s="118"/>
      <c r="OXU12" s="118"/>
      <c r="OXV12" s="118"/>
      <c r="OXW12" s="118"/>
      <c r="OXX12" s="118"/>
      <c r="OXY12" s="118"/>
      <c r="OXZ12" s="118"/>
      <c r="OYA12" s="118"/>
      <c r="OYB12" s="118"/>
      <c r="OYC12" s="118"/>
      <c r="OYD12" s="118"/>
      <c r="OYE12" s="118"/>
      <c r="OYF12" s="118"/>
      <c r="OYG12" s="118"/>
      <c r="OYH12" s="118"/>
      <c r="OYI12" s="118"/>
      <c r="OYJ12" s="118"/>
      <c r="OYK12" s="118"/>
      <c r="OYL12" s="118"/>
      <c r="OYM12" s="118"/>
      <c r="OYN12" s="118"/>
      <c r="OYO12" s="118"/>
      <c r="OYP12" s="118"/>
      <c r="OYQ12" s="118"/>
      <c r="OYR12" s="118"/>
      <c r="OYS12" s="118"/>
      <c r="OYT12" s="118"/>
      <c r="OYU12" s="118"/>
      <c r="OYV12" s="118"/>
      <c r="OYW12" s="118"/>
      <c r="OYX12" s="118"/>
      <c r="OYY12" s="118"/>
      <c r="OYZ12" s="118"/>
      <c r="OZA12" s="118"/>
      <c r="OZB12" s="118"/>
      <c r="OZC12" s="118"/>
      <c r="OZD12" s="118"/>
      <c r="OZE12" s="118"/>
      <c r="OZF12" s="118"/>
      <c r="OZG12" s="118"/>
      <c r="OZH12" s="118"/>
      <c r="OZI12" s="118"/>
      <c r="OZJ12" s="118"/>
      <c r="OZK12" s="118"/>
      <c r="OZL12" s="118"/>
      <c r="OZM12" s="118"/>
      <c r="OZN12" s="118"/>
      <c r="OZO12" s="118"/>
      <c r="OZP12" s="118"/>
      <c r="OZQ12" s="118"/>
      <c r="OZR12" s="118"/>
      <c r="OZS12" s="118"/>
      <c r="OZT12" s="118"/>
      <c r="OZU12" s="118"/>
      <c r="OZV12" s="118"/>
      <c r="OZW12" s="118"/>
      <c r="OZX12" s="118"/>
      <c r="OZY12" s="118"/>
      <c r="OZZ12" s="118"/>
      <c r="PAA12" s="118"/>
      <c r="PAB12" s="118"/>
      <c r="PAC12" s="118"/>
      <c r="PAD12" s="118"/>
      <c r="PAE12" s="118"/>
      <c r="PAF12" s="118"/>
      <c r="PAG12" s="118"/>
      <c r="PAH12" s="118"/>
      <c r="PAI12" s="118"/>
      <c r="PAJ12" s="118"/>
      <c r="PAK12" s="118"/>
      <c r="PAL12" s="118"/>
      <c r="PAM12" s="118"/>
      <c r="PAN12" s="118"/>
      <c r="PAO12" s="118"/>
      <c r="PAP12" s="118"/>
      <c r="PAQ12" s="118"/>
      <c r="PAR12" s="118"/>
      <c r="PAS12" s="118"/>
      <c r="PAT12" s="118"/>
      <c r="PAU12" s="118"/>
      <c r="PAV12" s="118"/>
      <c r="PAW12" s="118"/>
      <c r="PAX12" s="118"/>
      <c r="PAY12" s="118"/>
      <c r="PAZ12" s="118"/>
      <c r="PBA12" s="118"/>
      <c r="PBB12" s="118"/>
      <c r="PBC12" s="118"/>
      <c r="PBD12" s="118"/>
      <c r="PBE12" s="118"/>
      <c r="PBF12" s="118"/>
      <c r="PBG12" s="118"/>
      <c r="PBH12" s="118"/>
      <c r="PBI12" s="118"/>
      <c r="PBJ12" s="118"/>
      <c r="PBK12" s="118"/>
      <c r="PBL12" s="118"/>
      <c r="PBM12" s="118"/>
      <c r="PBN12" s="118"/>
      <c r="PBO12" s="118"/>
      <c r="PBP12" s="118"/>
      <c r="PBQ12" s="118"/>
      <c r="PBR12" s="118"/>
      <c r="PBS12" s="118"/>
      <c r="PBT12" s="118"/>
      <c r="PBU12" s="118"/>
      <c r="PBV12" s="118"/>
      <c r="PBW12" s="118"/>
      <c r="PBX12" s="118"/>
      <c r="PBY12" s="118"/>
      <c r="PBZ12" s="118"/>
      <c r="PCA12" s="118"/>
      <c r="PCB12" s="118"/>
      <c r="PCC12" s="118"/>
      <c r="PCD12" s="118"/>
      <c r="PCE12" s="118"/>
      <c r="PCF12" s="118"/>
      <c r="PCG12" s="118"/>
      <c r="PCH12" s="118"/>
      <c r="PCI12" s="118"/>
      <c r="PCJ12" s="118"/>
      <c r="PCK12" s="118"/>
      <c r="PCL12" s="118"/>
      <c r="PCM12" s="118"/>
      <c r="PCN12" s="118"/>
      <c r="PCO12" s="118"/>
      <c r="PCP12" s="118"/>
      <c r="PCQ12" s="118"/>
      <c r="PCR12" s="118"/>
      <c r="PCS12" s="118"/>
      <c r="PCT12" s="118"/>
      <c r="PCU12" s="118"/>
      <c r="PCV12" s="118"/>
      <c r="PCW12" s="118"/>
      <c r="PCX12" s="118"/>
      <c r="PCY12" s="118"/>
      <c r="PCZ12" s="118"/>
      <c r="PDA12" s="118"/>
      <c r="PDB12" s="118"/>
      <c r="PDC12" s="118"/>
      <c r="PDD12" s="118"/>
      <c r="PDE12" s="118"/>
      <c r="PDF12" s="118"/>
      <c r="PDG12" s="118"/>
      <c r="PDH12" s="118"/>
      <c r="PDI12" s="118"/>
      <c r="PDJ12" s="118"/>
      <c r="PDK12" s="118"/>
      <c r="PDL12" s="118"/>
      <c r="PDM12" s="118"/>
      <c r="PDN12" s="118"/>
      <c r="PDO12" s="118"/>
      <c r="PDP12" s="118"/>
      <c r="PDQ12" s="118"/>
      <c r="PDR12" s="118"/>
      <c r="PDS12" s="118"/>
      <c r="PDT12" s="118"/>
      <c r="PDU12" s="118"/>
      <c r="PDV12" s="118"/>
      <c r="PDW12" s="118"/>
      <c r="PDX12" s="118"/>
      <c r="PDY12" s="118"/>
      <c r="PDZ12" s="118"/>
      <c r="PEA12" s="118"/>
      <c r="PEB12" s="118"/>
      <c r="PEC12" s="118"/>
      <c r="PED12" s="118"/>
      <c r="PEE12" s="118"/>
      <c r="PEF12" s="118"/>
      <c r="PEG12" s="118"/>
      <c r="PEH12" s="118"/>
      <c r="PEI12" s="118"/>
      <c r="PEJ12" s="118"/>
      <c r="PEK12" s="118"/>
      <c r="PEL12" s="118"/>
      <c r="PEM12" s="118"/>
      <c r="PEN12" s="118"/>
      <c r="PEO12" s="118"/>
      <c r="PEP12" s="118"/>
      <c r="PEQ12" s="118"/>
      <c r="PER12" s="118"/>
      <c r="PES12" s="118"/>
      <c r="PET12" s="118"/>
      <c r="PEU12" s="118"/>
      <c r="PEV12" s="118"/>
      <c r="PEW12" s="118"/>
      <c r="PEX12" s="118"/>
      <c r="PEY12" s="118"/>
      <c r="PEZ12" s="118"/>
      <c r="PFA12" s="118"/>
      <c r="PFB12" s="118"/>
      <c r="PFC12" s="118"/>
      <c r="PFD12" s="118"/>
      <c r="PFE12" s="118"/>
      <c r="PFF12" s="118"/>
      <c r="PFG12" s="118"/>
      <c r="PFH12" s="118"/>
      <c r="PFI12" s="118"/>
      <c r="PFJ12" s="118"/>
      <c r="PFK12" s="118"/>
      <c r="PFL12" s="118"/>
      <c r="PFM12" s="118"/>
      <c r="PFN12" s="118"/>
      <c r="PFO12" s="118"/>
      <c r="PFP12" s="118"/>
      <c r="PFQ12" s="118"/>
      <c r="PFR12" s="118"/>
      <c r="PFS12" s="118"/>
      <c r="PFT12" s="118"/>
      <c r="PFU12" s="118"/>
      <c r="PFV12" s="118"/>
      <c r="PFW12" s="118"/>
      <c r="PFX12" s="118"/>
      <c r="PFY12" s="118"/>
      <c r="PFZ12" s="118"/>
      <c r="PGA12" s="118"/>
      <c r="PGB12" s="118"/>
      <c r="PGC12" s="118"/>
      <c r="PGD12" s="118"/>
      <c r="PGE12" s="118"/>
      <c r="PGF12" s="118"/>
      <c r="PGG12" s="118"/>
      <c r="PGH12" s="118"/>
      <c r="PGI12" s="118"/>
      <c r="PGJ12" s="118"/>
      <c r="PGK12" s="118"/>
      <c r="PGL12" s="118"/>
      <c r="PGM12" s="118"/>
      <c r="PGN12" s="118"/>
      <c r="PGO12" s="118"/>
      <c r="PGP12" s="118"/>
      <c r="PGQ12" s="118"/>
      <c r="PGR12" s="118"/>
      <c r="PGS12" s="118"/>
      <c r="PGT12" s="118"/>
      <c r="PGU12" s="118"/>
      <c r="PGV12" s="118"/>
      <c r="PGW12" s="118"/>
      <c r="PGX12" s="118"/>
      <c r="PGY12" s="118"/>
      <c r="PGZ12" s="118"/>
      <c r="PHA12" s="118"/>
      <c r="PHB12" s="118"/>
      <c r="PHC12" s="118"/>
      <c r="PHD12" s="118"/>
      <c r="PHE12" s="118"/>
      <c r="PHF12" s="118"/>
      <c r="PHG12" s="118"/>
      <c r="PHH12" s="118"/>
      <c r="PHI12" s="118"/>
      <c r="PHJ12" s="118"/>
      <c r="PHK12" s="118"/>
      <c r="PHL12" s="118"/>
      <c r="PHM12" s="118"/>
      <c r="PHN12" s="118"/>
      <c r="PHO12" s="118"/>
      <c r="PHP12" s="118"/>
      <c r="PHQ12" s="118"/>
      <c r="PHR12" s="118"/>
      <c r="PHS12" s="118"/>
      <c r="PHT12" s="118"/>
      <c r="PHU12" s="118"/>
      <c r="PHV12" s="118"/>
      <c r="PHW12" s="118"/>
      <c r="PHX12" s="118"/>
      <c r="PHY12" s="118"/>
      <c r="PHZ12" s="118"/>
      <c r="PIA12" s="118"/>
      <c r="PIB12" s="118"/>
      <c r="PIC12" s="118"/>
      <c r="PID12" s="118"/>
      <c r="PIE12" s="118"/>
      <c r="PIF12" s="118"/>
      <c r="PIG12" s="118"/>
      <c r="PIH12" s="118"/>
      <c r="PII12" s="118"/>
      <c r="PIJ12" s="118"/>
      <c r="PIK12" s="118"/>
      <c r="PIL12" s="118"/>
      <c r="PIM12" s="118"/>
      <c r="PIN12" s="118"/>
      <c r="PIO12" s="118"/>
      <c r="PIP12" s="118"/>
      <c r="PIQ12" s="118"/>
      <c r="PIR12" s="118"/>
      <c r="PIS12" s="118"/>
      <c r="PIT12" s="118"/>
      <c r="PIU12" s="118"/>
      <c r="PIV12" s="118"/>
      <c r="PIW12" s="118"/>
      <c r="PIX12" s="118"/>
      <c r="PIY12" s="118"/>
      <c r="PIZ12" s="118"/>
      <c r="PJA12" s="118"/>
      <c r="PJB12" s="118"/>
      <c r="PJC12" s="118"/>
      <c r="PJD12" s="118"/>
      <c r="PJE12" s="118"/>
      <c r="PJF12" s="118"/>
      <c r="PJG12" s="118"/>
      <c r="PJH12" s="118"/>
      <c r="PJI12" s="118"/>
      <c r="PJJ12" s="118"/>
      <c r="PJK12" s="118"/>
      <c r="PJL12" s="118"/>
      <c r="PJM12" s="118"/>
      <c r="PJN12" s="118"/>
      <c r="PJO12" s="118"/>
      <c r="PJP12" s="118"/>
      <c r="PJQ12" s="118"/>
      <c r="PJR12" s="118"/>
      <c r="PJS12" s="118"/>
      <c r="PJT12" s="118"/>
      <c r="PJU12" s="118"/>
      <c r="PJV12" s="118"/>
      <c r="PJW12" s="118"/>
      <c r="PJX12" s="118"/>
      <c r="PJY12" s="118"/>
      <c r="PJZ12" s="118"/>
      <c r="PKA12" s="118"/>
      <c r="PKB12" s="118"/>
      <c r="PKC12" s="118"/>
      <c r="PKD12" s="118"/>
      <c r="PKE12" s="118"/>
      <c r="PKF12" s="118"/>
      <c r="PKG12" s="118"/>
      <c r="PKH12" s="118"/>
      <c r="PKI12" s="118"/>
      <c r="PKJ12" s="118"/>
      <c r="PKK12" s="118"/>
      <c r="PKL12" s="118"/>
      <c r="PKM12" s="118"/>
      <c r="PKN12" s="118"/>
      <c r="PKO12" s="118"/>
      <c r="PKP12" s="118"/>
      <c r="PKQ12" s="118"/>
      <c r="PKR12" s="118"/>
      <c r="PKS12" s="118"/>
      <c r="PKT12" s="118"/>
      <c r="PKU12" s="118"/>
      <c r="PKV12" s="118"/>
      <c r="PKW12" s="118"/>
      <c r="PKX12" s="118"/>
      <c r="PKY12" s="118"/>
      <c r="PKZ12" s="118"/>
      <c r="PLA12" s="118"/>
      <c r="PLB12" s="118"/>
      <c r="PLC12" s="118"/>
      <c r="PLD12" s="118"/>
      <c r="PLE12" s="118"/>
      <c r="PLF12" s="118"/>
      <c r="PLG12" s="118"/>
      <c r="PLH12" s="118"/>
      <c r="PLI12" s="118"/>
      <c r="PLJ12" s="118"/>
      <c r="PLK12" s="118"/>
      <c r="PLL12" s="118"/>
      <c r="PLM12" s="118"/>
      <c r="PLN12" s="118"/>
      <c r="PLO12" s="118"/>
      <c r="PLP12" s="118"/>
      <c r="PLQ12" s="118"/>
      <c r="PLR12" s="118"/>
      <c r="PLS12" s="118"/>
      <c r="PLT12" s="118"/>
      <c r="PLU12" s="118"/>
      <c r="PLV12" s="118"/>
      <c r="PLW12" s="118"/>
      <c r="PLX12" s="118"/>
      <c r="PLY12" s="118"/>
      <c r="PLZ12" s="118"/>
      <c r="PMA12" s="118"/>
      <c r="PMB12" s="118"/>
      <c r="PMC12" s="118"/>
      <c r="PMD12" s="118"/>
      <c r="PME12" s="118"/>
      <c r="PMF12" s="118"/>
      <c r="PMG12" s="118"/>
      <c r="PMH12" s="118"/>
      <c r="PMI12" s="118"/>
      <c r="PMJ12" s="118"/>
      <c r="PMK12" s="118"/>
      <c r="PML12" s="118"/>
      <c r="PMM12" s="118"/>
      <c r="PMN12" s="118"/>
      <c r="PMO12" s="118"/>
      <c r="PMP12" s="118"/>
      <c r="PMQ12" s="118"/>
      <c r="PMR12" s="118"/>
      <c r="PMS12" s="118"/>
      <c r="PMT12" s="118"/>
      <c r="PMU12" s="118"/>
      <c r="PMV12" s="118"/>
      <c r="PMW12" s="118"/>
      <c r="PMX12" s="118"/>
      <c r="PMY12" s="118"/>
      <c r="PMZ12" s="118"/>
      <c r="PNA12" s="118"/>
      <c r="PNB12" s="118"/>
      <c r="PNC12" s="118"/>
      <c r="PND12" s="118"/>
      <c r="PNE12" s="118"/>
      <c r="PNF12" s="118"/>
      <c r="PNG12" s="118"/>
      <c r="PNH12" s="118"/>
      <c r="PNI12" s="118"/>
      <c r="PNJ12" s="118"/>
      <c r="PNK12" s="118"/>
      <c r="PNL12" s="118"/>
      <c r="PNM12" s="118"/>
      <c r="PNN12" s="118"/>
      <c r="PNO12" s="118"/>
      <c r="PNP12" s="118"/>
      <c r="PNQ12" s="118"/>
      <c r="PNR12" s="118"/>
      <c r="PNS12" s="118"/>
      <c r="PNT12" s="118"/>
      <c r="PNU12" s="118"/>
      <c r="PNV12" s="118"/>
      <c r="PNW12" s="118"/>
      <c r="PNX12" s="118"/>
      <c r="PNY12" s="118"/>
      <c r="PNZ12" s="118"/>
      <c r="POA12" s="118"/>
      <c r="POB12" s="118"/>
      <c r="POC12" s="118"/>
      <c r="POD12" s="118"/>
      <c r="POE12" s="118"/>
      <c r="POF12" s="118"/>
      <c r="POG12" s="118"/>
      <c r="POH12" s="118"/>
      <c r="POI12" s="118"/>
      <c r="POJ12" s="118"/>
      <c r="POK12" s="118"/>
      <c r="POL12" s="118"/>
      <c r="POM12" s="118"/>
      <c r="PON12" s="118"/>
      <c r="POO12" s="118"/>
      <c r="POP12" s="118"/>
      <c r="POQ12" s="118"/>
      <c r="POR12" s="118"/>
      <c r="POS12" s="118"/>
      <c r="POT12" s="118"/>
      <c r="POU12" s="118"/>
      <c r="POV12" s="118"/>
      <c r="POW12" s="118"/>
      <c r="POX12" s="118"/>
      <c r="POY12" s="118"/>
      <c r="POZ12" s="118"/>
      <c r="PPA12" s="118"/>
      <c r="PPB12" s="118"/>
      <c r="PPC12" s="118"/>
      <c r="PPD12" s="118"/>
      <c r="PPE12" s="118"/>
      <c r="PPF12" s="118"/>
      <c r="PPG12" s="118"/>
      <c r="PPH12" s="118"/>
      <c r="PPI12" s="118"/>
      <c r="PPJ12" s="118"/>
      <c r="PPK12" s="118"/>
      <c r="PPL12" s="118"/>
      <c r="PPM12" s="118"/>
      <c r="PPN12" s="118"/>
      <c r="PPO12" s="118"/>
      <c r="PPP12" s="118"/>
      <c r="PPQ12" s="118"/>
      <c r="PPR12" s="118"/>
      <c r="PPS12" s="118"/>
      <c r="PPT12" s="118"/>
      <c r="PPU12" s="118"/>
      <c r="PPV12" s="118"/>
      <c r="PPW12" s="118"/>
      <c r="PPX12" s="118"/>
      <c r="PPY12" s="118"/>
      <c r="PPZ12" s="118"/>
      <c r="PQA12" s="118"/>
      <c r="PQB12" s="118"/>
      <c r="PQC12" s="118"/>
      <c r="PQD12" s="118"/>
      <c r="PQE12" s="118"/>
      <c r="PQF12" s="118"/>
      <c r="PQG12" s="118"/>
      <c r="PQH12" s="118"/>
      <c r="PQI12" s="118"/>
      <c r="PQJ12" s="118"/>
      <c r="PQK12" s="118"/>
      <c r="PQL12" s="118"/>
      <c r="PQM12" s="118"/>
      <c r="PQN12" s="118"/>
      <c r="PQO12" s="118"/>
      <c r="PQP12" s="118"/>
      <c r="PQQ12" s="118"/>
      <c r="PQR12" s="118"/>
      <c r="PQS12" s="118"/>
      <c r="PQT12" s="118"/>
      <c r="PQU12" s="118"/>
      <c r="PQV12" s="118"/>
      <c r="PQW12" s="118"/>
      <c r="PQX12" s="118"/>
      <c r="PQY12" s="118"/>
      <c r="PQZ12" s="118"/>
      <c r="PRA12" s="118"/>
      <c r="PRB12" s="118"/>
      <c r="PRC12" s="118"/>
      <c r="PRD12" s="118"/>
      <c r="PRE12" s="118"/>
      <c r="PRF12" s="118"/>
      <c r="PRG12" s="118"/>
      <c r="PRH12" s="118"/>
      <c r="PRI12" s="118"/>
      <c r="PRJ12" s="118"/>
      <c r="PRK12" s="118"/>
      <c r="PRL12" s="118"/>
      <c r="PRM12" s="118"/>
      <c r="PRN12" s="118"/>
      <c r="PRO12" s="118"/>
      <c r="PRP12" s="118"/>
      <c r="PRQ12" s="118"/>
      <c r="PRR12" s="118"/>
      <c r="PRS12" s="118"/>
      <c r="PRT12" s="118"/>
      <c r="PRU12" s="118"/>
      <c r="PRV12" s="118"/>
      <c r="PRW12" s="118"/>
      <c r="PRX12" s="118"/>
      <c r="PRY12" s="118"/>
      <c r="PRZ12" s="118"/>
      <c r="PSA12" s="118"/>
      <c r="PSB12" s="118"/>
      <c r="PSC12" s="118"/>
      <c r="PSD12" s="118"/>
      <c r="PSE12" s="118"/>
      <c r="PSF12" s="118"/>
      <c r="PSG12" s="118"/>
      <c r="PSH12" s="118"/>
      <c r="PSI12" s="118"/>
      <c r="PSJ12" s="118"/>
      <c r="PSK12" s="118"/>
      <c r="PSL12" s="118"/>
      <c r="PSM12" s="118"/>
      <c r="PSN12" s="118"/>
      <c r="PSO12" s="118"/>
      <c r="PSP12" s="118"/>
      <c r="PSQ12" s="118"/>
      <c r="PSR12" s="118"/>
      <c r="PSS12" s="118"/>
      <c r="PST12" s="118"/>
      <c r="PSU12" s="118"/>
      <c r="PSV12" s="118"/>
      <c r="PSW12" s="118"/>
      <c r="PSX12" s="118"/>
      <c r="PSY12" s="118"/>
      <c r="PSZ12" s="118"/>
      <c r="PTA12" s="118"/>
      <c r="PTB12" s="118"/>
      <c r="PTC12" s="118"/>
      <c r="PTD12" s="118"/>
      <c r="PTE12" s="118"/>
      <c r="PTF12" s="118"/>
      <c r="PTG12" s="118"/>
      <c r="PTH12" s="118"/>
      <c r="PTI12" s="118"/>
      <c r="PTJ12" s="118"/>
      <c r="PTK12" s="118"/>
      <c r="PTL12" s="118"/>
      <c r="PTM12" s="118"/>
      <c r="PTN12" s="118"/>
      <c r="PTO12" s="118"/>
      <c r="PTP12" s="118"/>
      <c r="PTQ12" s="118"/>
      <c r="PTR12" s="118"/>
      <c r="PTS12" s="118"/>
      <c r="PTT12" s="118"/>
      <c r="PTU12" s="118"/>
      <c r="PTV12" s="118"/>
      <c r="PTW12" s="118"/>
      <c r="PTX12" s="118"/>
      <c r="PTY12" s="118"/>
      <c r="PTZ12" s="118"/>
      <c r="PUA12" s="118"/>
      <c r="PUB12" s="118"/>
      <c r="PUC12" s="118"/>
      <c r="PUD12" s="118"/>
      <c r="PUE12" s="118"/>
      <c r="PUF12" s="118"/>
      <c r="PUG12" s="118"/>
      <c r="PUH12" s="118"/>
      <c r="PUI12" s="118"/>
      <c r="PUJ12" s="118"/>
      <c r="PUK12" s="118"/>
      <c r="PUL12" s="118"/>
      <c r="PUM12" s="118"/>
      <c r="PUN12" s="118"/>
      <c r="PUO12" s="118"/>
      <c r="PUP12" s="118"/>
      <c r="PUQ12" s="118"/>
      <c r="PUR12" s="118"/>
      <c r="PUS12" s="118"/>
      <c r="PUT12" s="118"/>
      <c r="PUU12" s="118"/>
      <c r="PUV12" s="118"/>
      <c r="PUW12" s="118"/>
      <c r="PUX12" s="118"/>
      <c r="PUY12" s="118"/>
      <c r="PUZ12" s="118"/>
      <c r="PVA12" s="118"/>
      <c r="PVB12" s="118"/>
      <c r="PVC12" s="118"/>
      <c r="PVD12" s="118"/>
      <c r="PVE12" s="118"/>
      <c r="PVF12" s="118"/>
      <c r="PVG12" s="118"/>
      <c r="PVH12" s="118"/>
      <c r="PVI12" s="118"/>
      <c r="PVJ12" s="118"/>
      <c r="PVK12" s="118"/>
      <c r="PVL12" s="118"/>
      <c r="PVM12" s="118"/>
      <c r="PVN12" s="118"/>
      <c r="PVO12" s="118"/>
      <c r="PVP12" s="118"/>
      <c r="PVQ12" s="118"/>
      <c r="PVR12" s="118"/>
      <c r="PVS12" s="118"/>
      <c r="PVT12" s="118"/>
      <c r="PVU12" s="118"/>
      <c r="PVV12" s="118"/>
      <c r="PVW12" s="118"/>
      <c r="PVX12" s="118"/>
      <c r="PVY12" s="118"/>
      <c r="PVZ12" s="118"/>
      <c r="PWA12" s="118"/>
      <c r="PWB12" s="118"/>
      <c r="PWC12" s="118"/>
      <c r="PWD12" s="118"/>
      <c r="PWE12" s="118"/>
      <c r="PWF12" s="118"/>
      <c r="PWG12" s="118"/>
      <c r="PWH12" s="118"/>
      <c r="PWI12" s="118"/>
      <c r="PWJ12" s="118"/>
      <c r="PWK12" s="118"/>
      <c r="PWL12" s="118"/>
      <c r="PWM12" s="118"/>
      <c r="PWN12" s="118"/>
      <c r="PWO12" s="118"/>
      <c r="PWP12" s="118"/>
      <c r="PWQ12" s="118"/>
      <c r="PWR12" s="118"/>
      <c r="PWS12" s="118"/>
      <c r="PWT12" s="118"/>
      <c r="PWU12" s="118"/>
      <c r="PWV12" s="118"/>
      <c r="PWW12" s="118"/>
      <c r="PWX12" s="118"/>
      <c r="PWY12" s="118"/>
      <c r="PWZ12" s="118"/>
      <c r="PXA12" s="118"/>
      <c r="PXB12" s="118"/>
      <c r="PXC12" s="118"/>
      <c r="PXD12" s="118"/>
      <c r="PXE12" s="118"/>
      <c r="PXF12" s="118"/>
      <c r="PXG12" s="118"/>
      <c r="PXH12" s="118"/>
      <c r="PXI12" s="118"/>
      <c r="PXJ12" s="118"/>
      <c r="PXK12" s="118"/>
      <c r="PXL12" s="118"/>
      <c r="PXM12" s="118"/>
      <c r="PXN12" s="118"/>
      <c r="PXO12" s="118"/>
      <c r="PXP12" s="118"/>
      <c r="PXQ12" s="118"/>
      <c r="PXR12" s="118"/>
      <c r="PXS12" s="118"/>
      <c r="PXT12" s="118"/>
      <c r="PXU12" s="118"/>
      <c r="PXV12" s="118"/>
      <c r="PXW12" s="118"/>
      <c r="PXX12" s="118"/>
      <c r="PXY12" s="118"/>
      <c r="PXZ12" s="118"/>
      <c r="PYA12" s="118"/>
      <c r="PYB12" s="118"/>
      <c r="PYC12" s="118"/>
      <c r="PYD12" s="118"/>
      <c r="PYE12" s="118"/>
      <c r="PYF12" s="118"/>
      <c r="PYG12" s="118"/>
      <c r="PYH12" s="118"/>
      <c r="PYI12" s="118"/>
      <c r="PYJ12" s="118"/>
      <c r="PYK12" s="118"/>
      <c r="PYL12" s="118"/>
      <c r="PYM12" s="118"/>
      <c r="PYN12" s="118"/>
      <c r="PYO12" s="118"/>
      <c r="PYP12" s="118"/>
      <c r="PYQ12" s="118"/>
      <c r="PYR12" s="118"/>
      <c r="PYS12" s="118"/>
      <c r="PYT12" s="118"/>
      <c r="PYU12" s="118"/>
      <c r="PYV12" s="118"/>
      <c r="PYW12" s="118"/>
      <c r="PYX12" s="118"/>
      <c r="PYY12" s="118"/>
      <c r="PYZ12" s="118"/>
      <c r="PZA12" s="118"/>
      <c r="PZB12" s="118"/>
      <c r="PZC12" s="118"/>
      <c r="PZD12" s="118"/>
      <c r="PZE12" s="118"/>
      <c r="PZF12" s="118"/>
      <c r="PZG12" s="118"/>
      <c r="PZH12" s="118"/>
      <c r="PZI12" s="118"/>
      <c r="PZJ12" s="118"/>
      <c r="PZK12" s="118"/>
      <c r="PZL12" s="118"/>
      <c r="PZM12" s="118"/>
      <c r="PZN12" s="118"/>
      <c r="PZO12" s="118"/>
      <c r="PZP12" s="118"/>
      <c r="PZQ12" s="118"/>
      <c r="PZR12" s="118"/>
      <c r="PZS12" s="118"/>
      <c r="PZT12" s="118"/>
      <c r="PZU12" s="118"/>
      <c r="PZV12" s="118"/>
      <c r="PZW12" s="118"/>
      <c r="PZX12" s="118"/>
      <c r="PZY12" s="118"/>
      <c r="PZZ12" s="118"/>
      <c r="QAA12" s="118"/>
      <c r="QAB12" s="118"/>
      <c r="QAC12" s="118"/>
      <c r="QAD12" s="118"/>
      <c r="QAE12" s="118"/>
      <c r="QAF12" s="118"/>
      <c r="QAG12" s="118"/>
      <c r="QAH12" s="118"/>
      <c r="QAI12" s="118"/>
      <c r="QAJ12" s="118"/>
      <c r="QAK12" s="118"/>
      <c r="QAL12" s="118"/>
      <c r="QAM12" s="118"/>
      <c r="QAN12" s="118"/>
      <c r="QAO12" s="118"/>
      <c r="QAP12" s="118"/>
      <c r="QAQ12" s="118"/>
      <c r="QAR12" s="118"/>
      <c r="QAS12" s="118"/>
      <c r="QAT12" s="118"/>
      <c r="QAU12" s="118"/>
      <c r="QAV12" s="118"/>
      <c r="QAW12" s="118"/>
      <c r="QAX12" s="118"/>
      <c r="QAY12" s="118"/>
      <c r="QAZ12" s="118"/>
      <c r="QBA12" s="118"/>
      <c r="QBB12" s="118"/>
      <c r="QBC12" s="118"/>
      <c r="QBD12" s="118"/>
      <c r="QBE12" s="118"/>
      <c r="QBF12" s="118"/>
      <c r="QBG12" s="118"/>
      <c r="QBH12" s="118"/>
      <c r="QBI12" s="118"/>
      <c r="QBJ12" s="118"/>
      <c r="QBK12" s="118"/>
      <c r="QBL12" s="118"/>
      <c r="QBM12" s="118"/>
      <c r="QBN12" s="118"/>
      <c r="QBO12" s="118"/>
      <c r="QBP12" s="118"/>
      <c r="QBQ12" s="118"/>
      <c r="QBR12" s="118"/>
      <c r="QBS12" s="118"/>
      <c r="QBT12" s="118"/>
      <c r="QBU12" s="118"/>
      <c r="QBV12" s="118"/>
      <c r="QBW12" s="118"/>
      <c r="QBX12" s="118"/>
      <c r="QBY12" s="118"/>
      <c r="QBZ12" s="118"/>
      <c r="QCA12" s="118"/>
      <c r="QCB12" s="118"/>
      <c r="QCC12" s="118"/>
      <c r="QCD12" s="118"/>
      <c r="QCE12" s="118"/>
      <c r="QCF12" s="118"/>
      <c r="QCG12" s="118"/>
      <c r="QCH12" s="118"/>
      <c r="QCI12" s="118"/>
      <c r="QCJ12" s="118"/>
      <c r="QCK12" s="118"/>
      <c r="QCL12" s="118"/>
      <c r="QCM12" s="118"/>
      <c r="QCN12" s="118"/>
      <c r="QCO12" s="118"/>
      <c r="QCP12" s="118"/>
      <c r="QCQ12" s="118"/>
      <c r="QCR12" s="118"/>
      <c r="QCS12" s="118"/>
      <c r="QCT12" s="118"/>
      <c r="QCU12" s="118"/>
      <c r="QCV12" s="118"/>
      <c r="QCW12" s="118"/>
      <c r="QCX12" s="118"/>
      <c r="QCY12" s="118"/>
      <c r="QCZ12" s="118"/>
      <c r="QDA12" s="118"/>
      <c r="QDB12" s="118"/>
      <c r="QDC12" s="118"/>
      <c r="QDD12" s="118"/>
      <c r="QDE12" s="118"/>
      <c r="QDF12" s="118"/>
      <c r="QDG12" s="118"/>
      <c r="QDH12" s="118"/>
      <c r="QDI12" s="118"/>
      <c r="QDJ12" s="118"/>
      <c r="QDK12" s="118"/>
      <c r="QDL12" s="118"/>
      <c r="QDM12" s="118"/>
      <c r="QDN12" s="118"/>
      <c r="QDO12" s="118"/>
      <c r="QDP12" s="118"/>
      <c r="QDQ12" s="118"/>
      <c r="QDR12" s="118"/>
      <c r="QDS12" s="118"/>
      <c r="QDT12" s="118"/>
      <c r="QDU12" s="118"/>
      <c r="QDV12" s="118"/>
      <c r="QDW12" s="118"/>
      <c r="QDX12" s="118"/>
      <c r="QDY12" s="118"/>
      <c r="QDZ12" s="118"/>
      <c r="QEA12" s="118"/>
      <c r="QEB12" s="118"/>
      <c r="QEC12" s="118"/>
      <c r="QED12" s="118"/>
      <c r="QEE12" s="118"/>
      <c r="QEF12" s="118"/>
      <c r="QEG12" s="118"/>
      <c r="QEH12" s="118"/>
      <c r="QEI12" s="118"/>
      <c r="QEJ12" s="118"/>
      <c r="QEK12" s="118"/>
      <c r="QEL12" s="118"/>
      <c r="QEM12" s="118"/>
      <c r="QEN12" s="118"/>
      <c r="QEO12" s="118"/>
      <c r="QEP12" s="118"/>
      <c r="QEQ12" s="118"/>
      <c r="QER12" s="118"/>
      <c r="QES12" s="118"/>
      <c r="QET12" s="118"/>
      <c r="QEU12" s="118"/>
      <c r="QEV12" s="118"/>
      <c r="QEW12" s="118"/>
      <c r="QEX12" s="118"/>
      <c r="QEY12" s="118"/>
      <c r="QEZ12" s="118"/>
      <c r="QFA12" s="118"/>
      <c r="QFB12" s="118"/>
      <c r="QFC12" s="118"/>
      <c r="QFD12" s="118"/>
      <c r="QFE12" s="118"/>
      <c r="QFF12" s="118"/>
      <c r="QFG12" s="118"/>
      <c r="QFH12" s="118"/>
      <c r="QFI12" s="118"/>
      <c r="QFJ12" s="118"/>
      <c r="QFK12" s="118"/>
      <c r="QFL12" s="118"/>
      <c r="QFM12" s="118"/>
      <c r="QFN12" s="118"/>
      <c r="QFO12" s="118"/>
      <c r="QFP12" s="118"/>
      <c r="QFQ12" s="118"/>
      <c r="QFR12" s="118"/>
      <c r="QFS12" s="118"/>
      <c r="QFT12" s="118"/>
      <c r="QFU12" s="118"/>
      <c r="QFV12" s="118"/>
      <c r="QFW12" s="118"/>
      <c r="QFX12" s="118"/>
      <c r="QFY12" s="118"/>
      <c r="QFZ12" s="118"/>
      <c r="QGA12" s="118"/>
      <c r="QGB12" s="118"/>
      <c r="QGC12" s="118"/>
      <c r="QGD12" s="118"/>
      <c r="QGE12" s="118"/>
      <c r="QGF12" s="118"/>
      <c r="QGG12" s="118"/>
      <c r="QGH12" s="118"/>
      <c r="QGI12" s="118"/>
      <c r="QGJ12" s="118"/>
      <c r="QGK12" s="118"/>
      <c r="QGL12" s="118"/>
      <c r="QGM12" s="118"/>
      <c r="QGN12" s="118"/>
      <c r="QGO12" s="118"/>
      <c r="QGP12" s="118"/>
      <c r="QGQ12" s="118"/>
      <c r="QGR12" s="118"/>
      <c r="QGS12" s="118"/>
      <c r="QGT12" s="118"/>
      <c r="QGU12" s="118"/>
      <c r="QGV12" s="118"/>
      <c r="QGW12" s="118"/>
      <c r="QGX12" s="118"/>
      <c r="QGY12" s="118"/>
      <c r="QGZ12" s="118"/>
      <c r="QHA12" s="118"/>
      <c r="QHB12" s="118"/>
      <c r="QHC12" s="118"/>
      <c r="QHD12" s="118"/>
      <c r="QHE12" s="118"/>
      <c r="QHF12" s="118"/>
      <c r="QHG12" s="118"/>
      <c r="QHH12" s="118"/>
      <c r="QHI12" s="118"/>
      <c r="QHJ12" s="118"/>
      <c r="QHK12" s="118"/>
      <c r="QHL12" s="118"/>
      <c r="QHM12" s="118"/>
      <c r="QHN12" s="118"/>
      <c r="QHO12" s="118"/>
      <c r="QHP12" s="118"/>
      <c r="QHQ12" s="118"/>
      <c r="QHR12" s="118"/>
      <c r="QHS12" s="118"/>
      <c r="QHT12" s="118"/>
      <c r="QHU12" s="118"/>
      <c r="QHV12" s="118"/>
      <c r="QHW12" s="118"/>
      <c r="QHX12" s="118"/>
      <c r="QHY12" s="118"/>
      <c r="QHZ12" s="118"/>
      <c r="QIA12" s="118"/>
      <c r="QIB12" s="118"/>
      <c r="QIC12" s="118"/>
      <c r="QID12" s="118"/>
      <c r="QIE12" s="118"/>
      <c r="QIF12" s="118"/>
      <c r="QIG12" s="118"/>
      <c r="QIH12" s="118"/>
      <c r="QII12" s="118"/>
      <c r="QIJ12" s="118"/>
      <c r="QIK12" s="118"/>
      <c r="QIL12" s="118"/>
      <c r="QIM12" s="118"/>
      <c r="QIN12" s="118"/>
      <c r="QIO12" s="118"/>
      <c r="QIP12" s="118"/>
      <c r="QIQ12" s="118"/>
      <c r="QIR12" s="118"/>
      <c r="QIS12" s="118"/>
      <c r="QIT12" s="118"/>
      <c r="QIU12" s="118"/>
      <c r="QIV12" s="118"/>
      <c r="QIW12" s="118"/>
      <c r="QIX12" s="118"/>
      <c r="QIY12" s="118"/>
      <c r="QIZ12" s="118"/>
      <c r="QJA12" s="118"/>
      <c r="QJB12" s="118"/>
      <c r="QJC12" s="118"/>
      <c r="QJD12" s="118"/>
      <c r="QJE12" s="118"/>
      <c r="QJF12" s="118"/>
      <c r="QJG12" s="118"/>
      <c r="QJH12" s="118"/>
      <c r="QJI12" s="118"/>
      <c r="QJJ12" s="118"/>
      <c r="QJK12" s="118"/>
      <c r="QJL12" s="118"/>
      <c r="QJM12" s="118"/>
      <c r="QJN12" s="118"/>
      <c r="QJO12" s="118"/>
      <c r="QJP12" s="118"/>
      <c r="QJQ12" s="118"/>
      <c r="QJR12" s="118"/>
      <c r="QJS12" s="118"/>
      <c r="QJT12" s="118"/>
      <c r="QJU12" s="118"/>
      <c r="QJV12" s="118"/>
      <c r="QJW12" s="118"/>
      <c r="QJX12" s="118"/>
      <c r="QJY12" s="118"/>
      <c r="QJZ12" s="118"/>
      <c r="QKA12" s="118"/>
      <c r="QKB12" s="118"/>
      <c r="QKC12" s="118"/>
      <c r="QKD12" s="118"/>
      <c r="QKE12" s="118"/>
      <c r="QKF12" s="118"/>
      <c r="QKG12" s="118"/>
      <c r="QKH12" s="118"/>
      <c r="QKI12" s="118"/>
      <c r="QKJ12" s="118"/>
      <c r="QKK12" s="118"/>
      <c r="QKL12" s="118"/>
      <c r="QKM12" s="118"/>
      <c r="QKN12" s="118"/>
      <c r="QKO12" s="118"/>
      <c r="QKP12" s="118"/>
      <c r="QKQ12" s="118"/>
      <c r="QKR12" s="118"/>
      <c r="QKS12" s="118"/>
      <c r="QKT12" s="118"/>
      <c r="QKU12" s="118"/>
      <c r="QKV12" s="118"/>
      <c r="QKW12" s="118"/>
      <c r="QKX12" s="118"/>
      <c r="QKY12" s="118"/>
      <c r="QKZ12" s="118"/>
      <c r="QLA12" s="118"/>
      <c r="QLB12" s="118"/>
      <c r="QLC12" s="118"/>
      <c r="QLD12" s="118"/>
      <c r="QLE12" s="118"/>
      <c r="QLF12" s="118"/>
      <c r="QLG12" s="118"/>
      <c r="QLH12" s="118"/>
      <c r="QLI12" s="118"/>
      <c r="QLJ12" s="118"/>
      <c r="QLK12" s="118"/>
      <c r="QLL12" s="118"/>
      <c r="QLM12" s="118"/>
      <c r="QLN12" s="118"/>
      <c r="QLO12" s="118"/>
      <c r="QLP12" s="118"/>
      <c r="QLQ12" s="118"/>
      <c r="QLR12" s="118"/>
      <c r="QLS12" s="118"/>
      <c r="QLT12" s="118"/>
      <c r="QLU12" s="118"/>
      <c r="QLV12" s="118"/>
      <c r="QLW12" s="118"/>
      <c r="QLX12" s="118"/>
      <c r="QLY12" s="118"/>
      <c r="QLZ12" s="118"/>
      <c r="QMA12" s="118"/>
      <c r="QMB12" s="118"/>
      <c r="QMC12" s="118"/>
      <c r="QMD12" s="118"/>
      <c r="QME12" s="118"/>
      <c r="QMF12" s="118"/>
      <c r="QMG12" s="118"/>
      <c r="QMH12" s="118"/>
      <c r="QMI12" s="118"/>
      <c r="QMJ12" s="118"/>
      <c r="QMK12" s="118"/>
      <c r="QML12" s="118"/>
      <c r="QMM12" s="118"/>
      <c r="QMN12" s="118"/>
      <c r="QMO12" s="118"/>
      <c r="QMP12" s="118"/>
      <c r="QMQ12" s="118"/>
      <c r="QMR12" s="118"/>
      <c r="QMS12" s="118"/>
      <c r="QMT12" s="118"/>
      <c r="QMU12" s="118"/>
      <c r="QMV12" s="118"/>
      <c r="QMW12" s="118"/>
      <c r="QMX12" s="118"/>
      <c r="QMY12" s="118"/>
      <c r="QMZ12" s="118"/>
      <c r="QNA12" s="118"/>
      <c r="QNB12" s="118"/>
      <c r="QNC12" s="118"/>
      <c r="QND12" s="118"/>
      <c r="QNE12" s="118"/>
      <c r="QNF12" s="118"/>
      <c r="QNG12" s="118"/>
      <c r="QNH12" s="118"/>
      <c r="QNI12" s="118"/>
      <c r="QNJ12" s="118"/>
      <c r="QNK12" s="118"/>
      <c r="QNL12" s="118"/>
      <c r="QNM12" s="118"/>
      <c r="QNN12" s="118"/>
      <c r="QNO12" s="118"/>
      <c r="QNP12" s="118"/>
      <c r="QNQ12" s="118"/>
      <c r="QNR12" s="118"/>
      <c r="QNS12" s="118"/>
      <c r="QNT12" s="118"/>
      <c r="QNU12" s="118"/>
      <c r="QNV12" s="118"/>
      <c r="QNW12" s="118"/>
      <c r="QNX12" s="118"/>
      <c r="QNY12" s="118"/>
      <c r="QNZ12" s="118"/>
      <c r="QOA12" s="118"/>
      <c r="QOB12" s="118"/>
      <c r="QOC12" s="118"/>
      <c r="QOD12" s="118"/>
      <c r="QOE12" s="118"/>
      <c r="QOF12" s="118"/>
      <c r="QOG12" s="118"/>
      <c r="QOH12" s="118"/>
      <c r="QOI12" s="118"/>
      <c r="QOJ12" s="118"/>
      <c r="QOK12" s="118"/>
      <c r="QOL12" s="118"/>
      <c r="QOM12" s="118"/>
      <c r="QON12" s="118"/>
      <c r="QOO12" s="118"/>
      <c r="QOP12" s="118"/>
      <c r="QOQ12" s="118"/>
      <c r="QOR12" s="118"/>
      <c r="QOS12" s="118"/>
      <c r="QOT12" s="118"/>
      <c r="QOU12" s="118"/>
      <c r="QOV12" s="118"/>
      <c r="QOW12" s="118"/>
      <c r="QOX12" s="118"/>
      <c r="QOY12" s="118"/>
      <c r="QOZ12" s="118"/>
      <c r="QPA12" s="118"/>
      <c r="QPB12" s="118"/>
      <c r="QPC12" s="118"/>
      <c r="QPD12" s="118"/>
      <c r="QPE12" s="118"/>
      <c r="QPF12" s="118"/>
      <c r="QPG12" s="118"/>
      <c r="QPH12" s="118"/>
      <c r="QPI12" s="118"/>
      <c r="QPJ12" s="118"/>
      <c r="QPK12" s="118"/>
      <c r="QPL12" s="118"/>
      <c r="QPM12" s="118"/>
      <c r="QPN12" s="118"/>
      <c r="QPO12" s="118"/>
      <c r="QPP12" s="118"/>
      <c r="QPQ12" s="118"/>
      <c r="QPR12" s="118"/>
      <c r="QPS12" s="118"/>
      <c r="QPT12" s="118"/>
      <c r="QPU12" s="118"/>
      <c r="QPV12" s="118"/>
      <c r="QPW12" s="118"/>
      <c r="QPX12" s="118"/>
      <c r="QPY12" s="118"/>
      <c r="QPZ12" s="118"/>
      <c r="QQA12" s="118"/>
      <c r="QQB12" s="118"/>
      <c r="QQC12" s="118"/>
      <c r="QQD12" s="118"/>
      <c r="QQE12" s="118"/>
      <c r="QQF12" s="118"/>
      <c r="QQG12" s="118"/>
      <c r="QQH12" s="118"/>
      <c r="QQI12" s="118"/>
      <c r="QQJ12" s="118"/>
      <c r="QQK12" s="118"/>
      <c r="QQL12" s="118"/>
      <c r="QQM12" s="118"/>
      <c r="QQN12" s="118"/>
      <c r="QQO12" s="118"/>
      <c r="QQP12" s="118"/>
      <c r="QQQ12" s="118"/>
      <c r="QQR12" s="118"/>
      <c r="QQS12" s="118"/>
      <c r="QQT12" s="118"/>
      <c r="QQU12" s="118"/>
      <c r="QQV12" s="118"/>
      <c r="QQW12" s="118"/>
      <c r="QQX12" s="118"/>
      <c r="QQY12" s="118"/>
      <c r="QQZ12" s="118"/>
      <c r="QRA12" s="118"/>
      <c r="QRB12" s="118"/>
      <c r="QRC12" s="118"/>
      <c r="QRD12" s="118"/>
      <c r="QRE12" s="118"/>
      <c r="QRF12" s="118"/>
      <c r="QRG12" s="118"/>
      <c r="QRH12" s="118"/>
      <c r="QRI12" s="118"/>
      <c r="QRJ12" s="118"/>
      <c r="QRK12" s="118"/>
      <c r="QRL12" s="118"/>
      <c r="QRM12" s="118"/>
      <c r="QRN12" s="118"/>
      <c r="QRO12" s="118"/>
      <c r="QRP12" s="118"/>
      <c r="QRQ12" s="118"/>
      <c r="QRR12" s="118"/>
      <c r="QRS12" s="118"/>
      <c r="QRT12" s="118"/>
      <c r="QRU12" s="118"/>
      <c r="QRV12" s="118"/>
      <c r="QRW12" s="118"/>
      <c r="QRX12" s="118"/>
      <c r="QRY12" s="118"/>
      <c r="QRZ12" s="118"/>
      <c r="QSA12" s="118"/>
      <c r="QSB12" s="118"/>
      <c r="QSC12" s="118"/>
      <c r="QSD12" s="118"/>
      <c r="QSE12" s="118"/>
      <c r="QSF12" s="118"/>
      <c r="QSG12" s="118"/>
      <c r="QSH12" s="118"/>
      <c r="QSI12" s="118"/>
      <c r="QSJ12" s="118"/>
      <c r="QSK12" s="118"/>
      <c r="QSL12" s="118"/>
      <c r="QSM12" s="118"/>
      <c r="QSN12" s="118"/>
      <c r="QSO12" s="118"/>
      <c r="QSP12" s="118"/>
      <c r="QSQ12" s="118"/>
      <c r="QSR12" s="118"/>
      <c r="QSS12" s="118"/>
      <c r="QST12" s="118"/>
      <c r="QSU12" s="118"/>
      <c r="QSV12" s="118"/>
      <c r="QSW12" s="118"/>
      <c r="QSX12" s="118"/>
      <c r="QSY12" s="118"/>
      <c r="QSZ12" s="118"/>
      <c r="QTA12" s="118"/>
      <c r="QTB12" s="118"/>
      <c r="QTC12" s="118"/>
      <c r="QTD12" s="118"/>
      <c r="QTE12" s="118"/>
      <c r="QTF12" s="118"/>
      <c r="QTG12" s="118"/>
      <c r="QTH12" s="118"/>
      <c r="QTI12" s="118"/>
      <c r="QTJ12" s="118"/>
      <c r="QTK12" s="118"/>
      <c r="QTL12" s="118"/>
      <c r="QTM12" s="118"/>
      <c r="QTN12" s="118"/>
      <c r="QTO12" s="118"/>
      <c r="QTP12" s="118"/>
      <c r="QTQ12" s="118"/>
      <c r="QTR12" s="118"/>
      <c r="QTS12" s="118"/>
      <c r="QTT12" s="118"/>
      <c r="QTU12" s="118"/>
      <c r="QTV12" s="118"/>
      <c r="QTW12" s="118"/>
      <c r="QTX12" s="118"/>
      <c r="QTY12" s="118"/>
      <c r="QTZ12" s="118"/>
      <c r="QUA12" s="118"/>
      <c r="QUB12" s="118"/>
      <c r="QUC12" s="118"/>
      <c r="QUD12" s="118"/>
      <c r="QUE12" s="118"/>
      <c r="QUF12" s="118"/>
      <c r="QUG12" s="118"/>
      <c r="QUH12" s="118"/>
      <c r="QUI12" s="118"/>
      <c r="QUJ12" s="118"/>
      <c r="QUK12" s="118"/>
      <c r="QUL12" s="118"/>
      <c r="QUM12" s="118"/>
      <c r="QUN12" s="118"/>
      <c r="QUO12" s="118"/>
      <c r="QUP12" s="118"/>
      <c r="QUQ12" s="118"/>
      <c r="QUR12" s="118"/>
      <c r="QUS12" s="118"/>
      <c r="QUT12" s="118"/>
      <c r="QUU12" s="118"/>
      <c r="QUV12" s="118"/>
      <c r="QUW12" s="118"/>
      <c r="QUX12" s="118"/>
      <c r="QUY12" s="118"/>
      <c r="QUZ12" s="118"/>
      <c r="QVA12" s="118"/>
      <c r="QVB12" s="118"/>
      <c r="QVC12" s="118"/>
      <c r="QVD12" s="118"/>
      <c r="QVE12" s="118"/>
      <c r="QVF12" s="118"/>
      <c r="QVG12" s="118"/>
      <c r="QVH12" s="118"/>
      <c r="QVI12" s="118"/>
      <c r="QVJ12" s="118"/>
      <c r="QVK12" s="118"/>
      <c r="QVL12" s="118"/>
      <c r="QVM12" s="118"/>
      <c r="QVN12" s="118"/>
      <c r="QVO12" s="118"/>
      <c r="QVP12" s="118"/>
      <c r="QVQ12" s="118"/>
      <c r="QVR12" s="118"/>
      <c r="QVS12" s="118"/>
      <c r="QVT12" s="118"/>
      <c r="QVU12" s="118"/>
      <c r="QVV12" s="118"/>
      <c r="QVW12" s="118"/>
      <c r="QVX12" s="118"/>
      <c r="QVY12" s="118"/>
      <c r="QVZ12" s="118"/>
      <c r="QWA12" s="118"/>
      <c r="QWB12" s="118"/>
      <c r="QWC12" s="118"/>
      <c r="QWD12" s="118"/>
      <c r="QWE12" s="118"/>
      <c r="QWF12" s="118"/>
      <c r="QWG12" s="118"/>
      <c r="QWH12" s="118"/>
      <c r="QWI12" s="118"/>
      <c r="QWJ12" s="118"/>
      <c r="QWK12" s="118"/>
      <c r="QWL12" s="118"/>
      <c r="QWM12" s="118"/>
      <c r="QWN12" s="118"/>
      <c r="QWO12" s="118"/>
      <c r="QWP12" s="118"/>
      <c r="QWQ12" s="118"/>
      <c r="QWR12" s="118"/>
      <c r="QWS12" s="118"/>
      <c r="QWT12" s="118"/>
      <c r="QWU12" s="118"/>
      <c r="QWV12" s="118"/>
      <c r="QWW12" s="118"/>
      <c r="QWX12" s="118"/>
      <c r="QWY12" s="118"/>
      <c r="QWZ12" s="118"/>
      <c r="QXA12" s="118"/>
      <c r="QXB12" s="118"/>
      <c r="QXC12" s="118"/>
      <c r="QXD12" s="118"/>
      <c r="QXE12" s="118"/>
      <c r="QXF12" s="118"/>
      <c r="QXG12" s="118"/>
      <c r="QXH12" s="118"/>
      <c r="QXI12" s="118"/>
      <c r="QXJ12" s="118"/>
      <c r="QXK12" s="118"/>
      <c r="QXL12" s="118"/>
      <c r="QXM12" s="118"/>
      <c r="QXN12" s="118"/>
      <c r="QXO12" s="118"/>
      <c r="QXP12" s="118"/>
      <c r="QXQ12" s="118"/>
      <c r="QXR12" s="118"/>
      <c r="QXS12" s="118"/>
      <c r="QXT12" s="118"/>
      <c r="QXU12" s="118"/>
      <c r="QXV12" s="118"/>
      <c r="QXW12" s="118"/>
      <c r="QXX12" s="118"/>
      <c r="QXY12" s="118"/>
      <c r="QXZ12" s="118"/>
      <c r="QYA12" s="118"/>
      <c r="QYB12" s="118"/>
      <c r="QYC12" s="118"/>
      <c r="QYD12" s="118"/>
      <c r="QYE12" s="118"/>
      <c r="QYF12" s="118"/>
      <c r="QYG12" s="118"/>
      <c r="QYH12" s="118"/>
      <c r="QYI12" s="118"/>
      <c r="QYJ12" s="118"/>
      <c r="QYK12" s="118"/>
      <c r="QYL12" s="118"/>
      <c r="QYM12" s="118"/>
      <c r="QYN12" s="118"/>
      <c r="QYO12" s="118"/>
      <c r="QYP12" s="118"/>
      <c r="QYQ12" s="118"/>
      <c r="QYR12" s="118"/>
      <c r="QYS12" s="118"/>
      <c r="QYT12" s="118"/>
      <c r="QYU12" s="118"/>
      <c r="QYV12" s="118"/>
      <c r="QYW12" s="118"/>
      <c r="QYX12" s="118"/>
      <c r="QYY12" s="118"/>
      <c r="QYZ12" s="118"/>
      <c r="QZA12" s="118"/>
      <c r="QZB12" s="118"/>
      <c r="QZC12" s="118"/>
      <c r="QZD12" s="118"/>
      <c r="QZE12" s="118"/>
      <c r="QZF12" s="118"/>
      <c r="QZG12" s="118"/>
      <c r="QZH12" s="118"/>
      <c r="QZI12" s="118"/>
      <c r="QZJ12" s="118"/>
      <c r="QZK12" s="118"/>
      <c r="QZL12" s="118"/>
      <c r="QZM12" s="118"/>
      <c r="QZN12" s="118"/>
      <c r="QZO12" s="118"/>
      <c r="QZP12" s="118"/>
      <c r="QZQ12" s="118"/>
      <c r="QZR12" s="118"/>
      <c r="QZS12" s="118"/>
      <c r="QZT12" s="118"/>
      <c r="QZU12" s="118"/>
      <c r="QZV12" s="118"/>
      <c r="QZW12" s="118"/>
      <c r="QZX12" s="118"/>
      <c r="QZY12" s="118"/>
      <c r="QZZ12" s="118"/>
      <c r="RAA12" s="118"/>
      <c r="RAB12" s="118"/>
      <c r="RAC12" s="118"/>
      <c r="RAD12" s="118"/>
      <c r="RAE12" s="118"/>
      <c r="RAF12" s="118"/>
      <c r="RAG12" s="118"/>
      <c r="RAH12" s="118"/>
      <c r="RAI12" s="118"/>
      <c r="RAJ12" s="118"/>
      <c r="RAK12" s="118"/>
      <c r="RAL12" s="118"/>
      <c r="RAM12" s="118"/>
      <c r="RAN12" s="118"/>
      <c r="RAO12" s="118"/>
      <c r="RAP12" s="118"/>
      <c r="RAQ12" s="118"/>
      <c r="RAR12" s="118"/>
      <c r="RAS12" s="118"/>
      <c r="RAT12" s="118"/>
      <c r="RAU12" s="118"/>
      <c r="RAV12" s="118"/>
      <c r="RAW12" s="118"/>
      <c r="RAX12" s="118"/>
      <c r="RAY12" s="118"/>
      <c r="RAZ12" s="118"/>
      <c r="RBA12" s="118"/>
      <c r="RBB12" s="118"/>
      <c r="RBC12" s="118"/>
      <c r="RBD12" s="118"/>
      <c r="RBE12" s="118"/>
      <c r="RBF12" s="118"/>
      <c r="RBG12" s="118"/>
      <c r="RBH12" s="118"/>
      <c r="RBI12" s="118"/>
      <c r="RBJ12" s="118"/>
      <c r="RBK12" s="118"/>
      <c r="RBL12" s="118"/>
      <c r="RBM12" s="118"/>
      <c r="RBN12" s="118"/>
      <c r="RBO12" s="118"/>
      <c r="RBP12" s="118"/>
      <c r="RBQ12" s="118"/>
      <c r="RBR12" s="118"/>
      <c r="RBS12" s="118"/>
      <c r="RBT12" s="118"/>
      <c r="RBU12" s="118"/>
      <c r="RBV12" s="118"/>
      <c r="RBW12" s="118"/>
      <c r="RBX12" s="118"/>
      <c r="RBY12" s="118"/>
      <c r="RBZ12" s="118"/>
      <c r="RCA12" s="118"/>
      <c r="RCB12" s="118"/>
      <c r="RCC12" s="118"/>
      <c r="RCD12" s="118"/>
      <c r="RCE12" s="118"/>
      <c r="RCF12" s="118"/>
      <c r="RCG12" s="118"/>
      <c r="RCH12" s="118"/>
      <c r="RCI12" s="118"/>
      <c r="RCJ12" s="118"/>
      <c r="RCK12" s="118"/>
      <c r="RCL12" s="118"/>
      <c r="RCM12" s="118"/>
      <c r="RCN12" s="118"/>
      <c r="RCO12" s="118"/>
      <c r="RCP12" s="118"/>
      <c r="RCQ12" s="118"/>
      <c r="RCR12" s="118"/>
      <c r="RCS12" s="118"/>
      <c r="RCT12" s="118"/>
      <c r="RCU12" s="118"/>
      <c r="RCV12" s="118"/>
      <c r="RCW12" s="118"/>
      <c r="RCX12" s="118"/>
      <c r="RCY12" s="118"/>
      <c r="RCZ12" s="118"/>
      <c r="RDA12" s="118"/>
      <c r="RDB12" s="118"/>
      <c r="RDC12" s="118"/>
      <c r="RDD12" s="118"/>
      <c r="RDE12" s="118"/>
      <c r="RDF12" s="118"/>
      <c r="RDG12" s="118"/>
      <c r="RDH12" s="118"/>
      <c r="RDI12" s="118"/>
      <c r="RDJ12" s="118"/>
      <c r="RDK12" s="118"/>
      <c r="RDL12" s="118"/>
      <c r="RDM12" s="118"/>
      <c r="RDN12" s="118"/>
      <c r="RDO12" s="118"/>
      <c r="RDP12" s="118"/>
      <c r="RDQ12" s="118"/>
      <c r="RDR12" s="118"/>
      <c r="RDS12" s="118"/>
      <c r="RDT12" s="118"/>
      <c r="RDU12" s="118"/>
      <c r="RDV12" s="118"/>
      <c r="RDW12" s="118"/>
      <c r="RDX12" s="118"/>
      <c r="RDY12" s="118"/>
      <c r="RDZ12" s="118"/>
      <c r="REA12" s="118"/>
      <c r="REB12" s="118"/>
      <c r="REC12" s="118"/>
      <c r="RED12" s="118"/>
      <c r="REE12" s="118"/>
      <c r="REF12" s="118"/>
      <c r="REG12" s="118"/>
      <c r="REH12" s="118"/>
      <c r="REI12" s="118"/>
      <c r="REJ12" s="118"/>
      <c r="REK12" s="118"/>
      <c r="REL12" s="118"/>
      <c r="REM12" s="118"/>
      <c r="REN12" s="118"/>
      <c r="REO12" s="118"/>
      <c r="REP12" s="118"/>
      <c r="REQ12" s="118"/>
      <c r="RER12" s="118"/>
      <c r="RES12" s="118"/>
      <c r="RET12" s="118"/>
      <c r="REU12" s="118"/>
      <c r="REV12" s="118"/>
      <c r="REW12" s="118"/>
      <c r="REX12" s="118"/>
      <c r="REY12" s="118"/>
      <c r="REZ12" s="118"/>
      <c r="RFA12" s="118"/>
      <c r="RFB12" s="118"/>
      <c r="RFC12" s="118"/>
      <c r="RFD12" s="118"/>
      <c r="RFE12" s="118"/>
      <c r="RFF12" s="118"/>
      <c r="RFG12" s="118"/>
      <c r="RFH12" s="118"/>
      <c r="RFI12" s="118"/>
      <c r="RFJ12" s="118"/>
      <c r="RFK12" s="118"/>
      <c r="RFL12" s="118"/>
      <c r="RFM12" s="118"/>
      <c r="RFN12" s="118"/>
      <c r="RFO12" s="118"/>
      <c r="RFP12" s="118"/>
      <c r="RFQ12" s="118"/>
      <c r="RFR12" s="118"/>
      <c r="RFS12" s="118"/>
      <c r="RFT12" s="118"/>
      <c r="RFU12" s="118"/>
      <c r="RFV12" s="118"/>
      <c r="RFW12" s="118"/>
      <c r="RFX12" s="118"/>
      <c r="RFY12" s="118"/>
      <c r="RFZ12" s="118"/>
      <c r="RGA12" s="118"/>
      <c r="RGB12" s="118"/>
      <c r="RGC12" s="118"/>
      <c r="RGD12" s="118"/>
      <c r="RGE12" s="118"/>
      <c r="RGF12" s="118"/>
      <c r="RGG12" s="118"/>
      <c r="RGH12" s="118"/>
      <c r="RGI12" s="118"/>
      <c r="RGJ12" s="118"/>
      <c r="RGK12" s="118"/>
      <c r="RGL12" s="118"/>
      <c r="RGM12" s="118"/>
      <c r="RGN12" s="118"/>
      <c r="RGO12" s="118"/>
      <c r="RGP12" s="118"/>
      <c r="RGQ12" s="118"/>
      <c r="RGR12" s="118"/>
      <c r="RGS12" s="118"/>
      <c r="RGT12" s="118"/>
      <c r="RGU12" s="118"/>
      <c r="RGV12" s="118"/>
      <c r="RGW12" s="118"/>
      <c r="RGX12" s="118"/>
      <c r="RGY12" s="118"/>
      <c r="RGZ12" s="118"/>
      <c r="RHA12" s="118"/>
      <c r="RHB12" s="118"/>
      <c r="RHC12" s="118"/>
      <c r="RHD12" s="118"/>
      <c r="RHE12" s="118"/>
      <c r="RHF12" s="118"/>
      <c r="RHG12" s="118"/>
      <c r="RHH12" s="118"/>
      <c r="RHI12" s="118"/>
      <c r="RHJ12" s="118"/>
      <c r="RHK12" s="118"/>
      <c r="RHL12" s="118"/>
      <c r="RHM12" s="118"/>
      <c r="RHN12" s="118"/>
      <c r="RHO12" s="118"/>
      <c r="RHP12" s="118"/>
      <c r="RHQ12" s="118"/>
      <c r="RHR12" s="118"/>
      <c r="RHS12" s="118"/>
      <c r="RHT12" s="118"/>
      <c r="RHU12" s="118"/>
      <c r="RHV12" s="118"/>
      <c r="RHW12" s="118"/>
      <c r="RHX12" s="118"/>
      <c r="RHY12" s="118"/>
      <c r="RHZ12" s="118"/>
      <c r="RIA12" s="118"/>
      <c r="RIB12" s="118"/>
      <c r="RIC12" s="118"/>
      <c r="RID12" s="118"/>
      <c r="RIE12" s="118"/>
      <c r="RIF12" s="118"/>
      <c r="RIG12" s="118"/>
      <c r="RIH12" s="118"/>
      <c r="RII12" s="118"/>
      <c r="RIJ12" s="118"/>
      <c r="RIK12" s="118"/>
      <c r="RIL12" s="118"/>
      <c r="RIM12" s="118"/>
      <c r="RIN12" s="118"/>
      <c r="RIO12" s="118"/>
      <c r="RIP12" s="118"/>
      <c r="RIQ12" s="118"/>
      <c r="RIR12" s="118"/>
      <c r="RIS12" s="118"/>
      <c r="RIT12" s="118"/>
      <c r="RIU12" s="118"/>
      <c r="RIV12" s="118"/>
      <c r="RIW12" s="118"/>
      <c r="RIX12" s="118"/>
      <c r="RIY12" s="118"/>
      <c r="RIZ12" s="118"/>
      <c r="RJA12" s="118"/>
      <c r="RJB12" s="118"/>
      <c r="RJC12" s="118"/>
      <c r="RJD12" s="118"/>
      <c r="RJE12" s="118"/>
      <c r="RJF12" s="118"/>
      <c r="RJG12" s="118"/>
      <c r="RJH12" s="118"/>
      <c r="RJI12" s="118"/>
      <c r="RJJ12" s="118"/>
      <c r="RJK12" s="118"/>
      <c r="RJL12" s="118"/>
      <c r="RJM12" s="118"/>
      <c r="RJN12" s="118"/>
      <c r="RJO12" s="118"/>
      <c r="RJP12" s="118"/>
      <c r="RJQ12" s="118"/>
      <c r="RJR12" s="118"/>
      <c r="RJS12" s="118"/>
      <c r="RJT12" s="118"/>
      <c r="RJU12" s="118"/>
      <c r="RJV12" s="118"/>
      <c r="RJW12" s="118"/>
      <c r="RJX12" s="118"/>
      <c r="RJY12" s="118"/>
      <c r="RJZ12" s="118"/>
      <c r="RKA12" s="118"/>
      <c r="RKB12" s="118"/>
      <c r="RKC12" s="118"/>
      <c r="RKD12" s="118"/>
      <c r="RKE12" s="118"/>
      <c r="RKF12" s="118"/>
      <c r="RKG12" s="118"/>
      <c r="RKH12" s="118"/>
      <c r="RKI12" s="118"/>
      <c r="RKJ12" s="118"/>
      <c r="RKK12" s="118"/>
      <c r="RKL12" s="118"/>
      <c r="RKM12" s="118"/>
      <c r="RKN12" s="118"/>
      <c r="RKO12" s="118"/>
      <c r="RKP12" s="118"/>
      <c r="RKQ12" s="118"/>
      <c r="RKR12" s="118"/>
      <c r="RKS12" s="118"/>
      <c r="RKT12" s="118"/>
      <c r="RKU12" s="118"/>
      <c r="RKV12" s="118"/>
      <c r="RKW12" s="118"/>
      <c r="RKX12" s="118"/>
      <c r="RKY12" s="118"/>
      <c r="RKZ12" s="118"/>
      <c r="RLA12" s="118"/>
      <c r="RLB12" s="118"/>
      <c r="RLC12" s="118"/>
      <c r="RLD12" s="118"/>
      <c r="RLE12" s="118"/>
      <c r="RLF12" s="118"/>
      <c r="RLG12" s="118"/>
      <c r="RLH12" s="118"/>
      <c r="RLI12" s="118"/>
      <c r="RLJ12" s="118"/>
      <c r="RLK12" s="118"/>
      <c r="RLL12" s="118"/>
      <c r="RLM12" s="118"/>
      <c r="RLN12" s="118"/>
      <c r="RLO12" s="118"/>
      <c r="RLP12" s="118"/>
      <c r="RLQ12" s="118"/>
      <c r="RLR12" s="118"/>
      <c r="RLS12" s="118"/>
      <c r="RLT12" s="118"/>
      <c r="RLU12" s="118"/>
      <c r="RLV12" s="118"/>
      <c r="RLW12" s="118"/>
      <c r="RLX12" s="118"/>
      <c r="RLY12" s="118"/>
      <c r="RLZ12" s="118"/>
      <c r="RMA12" s="118"/>
      <c r="RMB12" s="118"/>
      <c r="RMC12" s="118"/>
      <c r="RMD12" s="118"/>
      <c r="RME12" s="118"/>
      <c r="RMF12" s="118"/>
      <c r="RMG12" s="118"/>
      <c r="RMH12" s="118"/>
      <c r="RMI12" s="118"/>
      <c r="RMJ12" s="118"/>
      <c r="RMK12" s="118"/>
      <c r="RML12" s="118"/>
      <c r="RMM12" s="118"/>
      <c r="RMN12" s="118"/>
      <c r="RMO12" s="118"/>
      <c r="RMP12" s="118"/>
      <c r="RMQ12" s="118"/>
      <c r="RMR12" s="118"/>
      <c r="RMS12" s="118"/>
      <c r="RMT12" s="118"/>
      <c r="RMU12" s="118"/>
      <c r="RMV12" s="118"/>
      <c r="RMW12" s="118"/>
      <c r="RMX12" s="118"/>
      <c r="RMY12" s="118"/>
      <c r="RMZ12" s="118"/>
      <c r="RNA12" s="118"/>
      <c r="RNB12" s="118"/>
      <c r="RNC12" s="118"/>
      <c r="RND12" s="118"/>
      <c r="RNE12" s="118"/>
      <c r="RNF12" s="118"/>
      <c r="RNG12" s="118"/>
      <c r="RNH12" s="118"/>
      <c r="RNI12" s="118"/>
      <c r="RNJ12" s="118"/>
      <c r="RNK12" s="118"/>
      <c r="RNL12" s="118"/>
      <c r="RNM12" s="118"/>
      <c r="RNN12" s="118"/>
      <c r="RNO12" s="118"/>
      <c r="RNP12" s="118"/>
      <c r="RNQ12" s="118"/>
      <c r="RNR12" s="118"/>
      <c r="RNS12" s="118"/>
      <c r="RNT12" s="118"/>
      <c r="RNU12" s="118"/>
      <c r="RNV12" s="118"/>
      <c r="RNW12" s="118"/>
      <c r="RNX12" s="118"/>
      <c r="RNY12" s="118"/>
      <c r="RNZ12" s="118"/>
      <c r="ROA12" s="118"/>
      <c r="ROB12" s="118"/>
      <c r="ROC12" s="118"/>
      <c r="ROD12" s="118"/>
      <c r="ROE12" s="118"/>
      <c r="ROF12" s="118"/>
      <c r="ROG12" s="118"/>
      <c r="ROH12" s="118"/>
      <c r="ROI12" s="118"/>
      <c r="ROJ12" s="118"/>
      <c r="ROK12" s="118"/>
      <c r="ROL12" s="118"/>
      <c r="ROM12" s="118"/>
      <c r="RON12" s="118"/>
      <c r="ROO12" s="118"/>
      <c r="ROP12" s="118"/>
      <c r="ROQ12" s="118"/>
      <c r="ROR12" s="118"/>
      <c r="ROS12" s="118"/>
      <c r="ROT12" s="118"/>
      <c r="ROU12" s="118"/>
      <c r="ROV12" s="118"/>
      <c r="ROW12" s="118"/>
      <c r="ROX12" s="118"/>
      <c r="ROY12" s="118"/>
      <c r="ROZ12" s="118"/>
      <c r="RPA12" s="118"/>
      <c r="RPB12" s="118"/>
      <c r="RPC12" s="118"/>
      <c r="RPD12" s="118"/>
      <c r="RPE12" s="118"/>
      <c r="RPF12" s="118"/>
      <c r="RPG12" s="118"/>
      <c r="RPH12" s="118"/>
      <c r="RPI12" s="118"/>
      <c r="RPJ12" s="118"/>
      <c r="RPK12" s="118"/>
      <c r="RPL12" s="118"/>
      <c r="RPM12" s="118"/>
      <c r="RPN12" s="118"/>
      <c r="RPO12" s="118"/>
      <c r="RPP12" s="118"/>
      <c r="RPQ12" s="118"/>
      <c r="RPR12" s="118"/>
      <c r="RPS12" s="118"/>
      <c r="RPT12" s="118"/>
      <c r="RPU12" s="118"/>
      <c r="RPV12" s="118"/>
      <c r="RPW12" s="118"/>
      <c r="RPX12" s="118"/>
      <c r="RPY12" s="118"/>
      <c r="RPZ12" s="118"/>
      <c r="RQA12" s="118"/>
      <c r="RQB12" s="118"/>
      <c r="RQC12" s="118"/>
      <c r="RQD12" s="118"/>
      <c r="RQE12" s="118"/>
      <c r="RQF12" s="118"/>
      <c r="RQG12" s="118"/>
      <c r="RQH12" s="118"/>
      <c r="RQI12" s="118"/>
      <c r="RQJ12" s="118"/>
      <c r="RQK12" s="118"/>
      <c r="RQL12" s="118"/>
      <c r="RQM12" s="118"/>
      <c r="RQN12" s="118"/>
      <c r="RQO12" s="118"/>
      <c r="RQP12" s="118"/>
      <c r="RQQ12" s="118"/>
      <c r="RQR12" s="118"/>
      <c r="RQS12" s="118"/>
      <c r="RQT12" s="118"/>
      <c r="RQU12" s="118"/>
      <c r="RQV12" s="118"/>
      <c r="RQW12" s="118"/>
      <c r="RQX12" s="118"/>
      <c r="RQY12" s="118"/>
      <c r="RQZ12" s="118"/>
      <c r="RRA12" s="118"/>
      <c r="RRB12" s="118"/>
      <c r="RRC12" s="118"/>
      <c r="RRD12" s="118"/>
      <c r="RRE12" s="118"/>
      <c r="RRF12" s="118"/>
      <c r="RRG12" s="118"/>
      <c r="RRH12" s="118"/>
      <c r="RRI12" s="118"/>
      <c r="RRJ12" s="118"/>
      <c r="RRK12" s="118"/>
      <c r="RRL12" s="118"/>
      <c r="RRM12" s="118"/>
      <c r="RRN12" s="118"/>
      <c r="RRO12" s="118"/>
      <c r="RRP12" s="118"/>
      <c r="RRQ12" s="118"/>
      <c r="RRR12" s="118"/>
      <c r="RRS12" s="118"/>
      <c r="RRT12" s="118"/>
      <c r="RRU12" s="118"/>
      <c r="RRV12" s="118"/>
      <c r="RRW12" s="118"/>
      <c r="RRX12" s="118"/>
      <c r="RRY12" s="118"/>
      <c r="RRZ12" s="118"/>
      <c r="RSA12" s="118"/>
      <c r="RSB12" s="118"/>
      <c r="RSC12" s="118"/>
      <c r="RSD12" s="118"/>
      <c r="RSE12" s="118"/>
      <c r="RSF12" s="118"/>
      <c r="RSG12" s="118"/>
      <c r="RSH12" s="118"/>
      <c r="RSI12" s="118"/>
      <c r="RSJ12" s="118"/>
      <c r="RSK12" s="118"/>
      <c r="RSL12" s="118"/>
      <c r="RSM12" s="118"/>
      <c r="RSN12" s="118"/>
      <c r="RSO12" s="118"/>
      <c r="RSP12" s="118"/>
      <c r="RSQ12" s="118"/>
      <c r="RSR12" s="118"/>
      <c r="RSS12" s="118"/>
      <c r="RST12" s="118"/>
      <c r="RSU12" s="118"/>
      <c r="RSV12" s="118"/>
      <c r="RSW12" s="118"/>
      <c r="RSX12" s="118"/>
      <c r="RSY12" s="118"/>
      <c r="RSZ12" s="118"/>
      <c r="RTA12" s="118"/>
      <c r="RTB12" s="118"/>
      <c r="RTC12" s="118"/>
      <c r="RTD12" s="118"/>
      <c r="RTE12" s="118"/>
      <c r="RTF12" s="118"/>
      <c r="RTG12" s="118"/>
      <c r="RTH12" s="118"/>
      <c r="RTI12" s="118"/>
      <c r="RTJ12" s="118"/>
      <c r="RTK12" s="118"/>
      <c r="RTL12" s="118"/>
      <c r="RTM12" s="118"/>
      <c r="RTN12" s="118"/>
      <c r="RTO12" s="118"/>
      <c r="RTP12" s="118"/>
      <c r="RTQ12" s="118"/>
      <c r="RTR12" s="118"/>
      <c r="RTS12" s="118"/>
      <c r="RTT12" s="118"/>
      <c r="RTU12" s="118"/>
      <c r="RTV12" s="118"/>
      <c r="RTW12" s="118"/>
      <c r="RTX12" s="118"/>
      <c r="RTY12" s="118"/>
      <c r="RTZ12" s="118"/>
      <c r="RUA12" s="118"/>
      <c r="RUB12" s="118"/>
      <c r="RUC12" s="118"/>
      <c r="RUD12" s="118"/>
      <c r="RUE12" s="118"/>
      <c r="RUF12" s="118"/>
      <c r="RUG12" s="118"/>
      <c r="RUH12" s="118"/>
      <c r="RUI12" s="118"/>
      <c r="RUJ12" s="118"/>
      <c r="RUK12" s="118"/>
      <c r="RUL12" s="118"/>
      <c r="RUM12" s="118"/>
      <c r="RUN12" s="118"/>
      <c r="RUO12" s="118"/>
      <c r="RUP12" s="118"/>
      <c r="RUQ12" s="118"/>
      <c r="RUR12" s="118"/>
      <c r="RUS12" s="118"/>
      <c r="RUT12" s="118"/>
      <c r="RUU12" s="118"/>
      <c r="RUV12" s="118"/>
      <c r="RUW12" s="118"/>
      <c r="RUX12" s="118"/>
      <c r="RUY12" s="118"/>
      <c r="RUZ12" s="118"/>
      <c r="RVA12" s="118"/>
      <c r="RVB12" s="118"/>
      <c r="RVC12" s="118"/>
      <c r="RVD12" s="118"/>
      <c r="RVE12" s="118"/>
      <c r="RVF12" s="118"/>
      <c r="RVG12" s="118"/>
      <c r="RVH12" s="118"/>
      <c r="RVI12" s="118"/>
      <c r="RVJ12" s="118"/>
      <c r="RVK12" s="118"/>
      <c r="RVL12" s="118"/>
      <c r="RVM12" s="118"/>
      <c r="RVN12" s="118"/>
      <c r="RVO12" s="118"/>
      <c r="RVP12" s="118"/>
      <c r="RVQ12" s="118"/>
      <c r="RVR12" s="118"/>
      <c r="RVS12" s="118"/>
      <c r="RVT12" s="118"/>
      <c r="RVU12" s="118"/>
      <c r="RVV12" s="118"/>
      <c r="RVW12" s="118"/>
      <c r="RVX12" s="118"/>
      <c r="RVY12" s="118"/>
      <c r="RVZ12" s="118"/>
      <c r="RWA12" s="118"/>
      <c r="RWB12" s="118"/>
      <c r="RWC12" s="118"/>
      <c r="RWD12" s="118"/>
      <c r="RWE12" s="118"/>
      <c r="RWF12" s="118"/>
      <c r="RWG12" s="118"/>
      <c r="RWH12" s="118"/>
      <c r="RWI12" s="118"/>
      <c r="RWJ12" s="118"/>
      <c r="RWK12" s="118"/>
      <c r="RWL12" s="118"/>
      <c r="RWM12" s="118"/>
      <c r="RWN12" s="118"/>
      <c r="RWO12" s="118"/>
      <c r="RWP12" s="118"/>
      <c r="RWQ12" s="118"/>
      <c r="RWR12" s="118"/>
      <c r="RWS12" s="118"/>
      <c r="RWT12" s="118"/>
      <c r="RWU12" s="118"/>
      <c r="RWV12" s="118"/>
      <c r="RWW12" s="118"/>
      <c r="RWX12" s="118"/>
      <c r="RWY12" s="118"/>
      <c r="RWZ12" s="118"/>
      <c r="RXA12" s="118"/>
      <c r="RXB12" s="118"/>
      <c r="RXC12" s="118"/>
      <c r="RXD12" s="118"/>
      <c r="RXE12" s="118"/>
      <c r="RXF12" s="118"/>
      <c r="RXG12" s="118"/>
      <c r="RXH12" s="118"/>
      <c r="RXI12" s="118"/>
      <c r="RXJ12" s="118"/>
      <c r="RXK12" s="118"/>
      <c r="RXL12" s="118"/>
      <c r="RXM12" s="118"/>
      <c r="RXN12" s="118"/>
      <c r="RXO12" s="118"/>
      <c r="RXP12" s="118"/>
      <c r="RXQ12" s="118"/>
      <c r="RXR12" s="118"/>
      <c r="RXS12" s="118"/>
      <c r="RXT12" s="118"/>
      <c r="RXU12" s="118"/>
      <c r="RXV12" s="118"/>
      <c r="RXW12" s="118"/>
      <c r="RXX12" s="118"/>
      <c r="RXY12" s="118"/>
      <c r="RXZ12" s="118"/>
      <c r="RYA12" s="118"/>
      <c r="RYB12" s="118"/>
      <c r="RYC12" s="118"/>
      <c r="RYD12" s="118"/>
      <c r="RYE12" s="118"/>
      <c r="RYF12" s="118"/>
      <c r="RYG12" s="118"/>
      <c r="RYH12" s="118"/>
      <c r="RYI12" s="118"/>
      <c r="RYJ12" s="118"/>
      <c r="RYK12" s="118"/>
      <c r="RYL12" s="118"/>
      <c r="RYM12" s="118"/>
      <c r="RYN12" s="118"/>
      <c r="RYO12" s="118"/>
      <c r="RYP12" s="118"/>
      <c r="RYQ12" s="118"/>
      <c r="RYR12" s="118"/>
      <c r="RYS12" s="118"/>
      <c r="RYT12" s="118"/>
      <c r="RYU12" s="118"/>
      <c r="RYV12" s="118"/>
      <c r="RYW12" s="118"/>
      <c r="RYX12" s="118"/>
      <c r="RYY12" s="118"/>
      <c r="RYZ12" s="118"/>
      <c r="RZA12" s="118"/>
      <c r="RZB12" s="118"/>
      <c r="RZC12" s="118"/>
      <c r="RZD12" s="118"/>
      <c r="RZE12" s="118"/>
      <c r="RZF12" s="118"/>
      <c r="RZG12" s="118"/>
      <c r="RZH12" s="118"/>
      <c r="RZI12" s="118"/>
      <c r="RZJ12" s="118"/>
      <c r="RZK12" s="118"/>
      <c r="RZL12" s="118"/>
      <c r="RZM12" s="118"/>
      <c r="RZN12" s="118"/>
      <c r="RZO12" s="118"/>
      <c r="RZP12" s="118"/>
      <c r="RZQ12" s="118"/>
      <c r="RZR12" s="118"/>
      <c r="RZS12" s="118"/>
      <c r="RZT12" s="118"/>
      <c r="RZU12" s="118"/>
      <c r="RZV12" s="118"/>
      <c r="RZW12" s="118"/>
      <c r="RZX12" s="118"/>
      <c r="RZY12" s="118"/>
      <c r="RZZ12" s="118"/>
      <c r="SAA12" s="118"/>
      <c r="SAB12" s="118"/>
      <c r="SAC12" s="118"/>
      <c r="SAD12" s="118"/>
      <c r="SAE12" s="118"/>
      <c r="SAF12" s="118"/>
      <c r="SAG12" s="118"/>
      <c r="SAH12" s="118"/>
      <c r="SAI12" s="118"/>
      <c r="SAJ12" s="118"/>
      <c r="SAK12" s="118"/>
      <c r="SAL12" s="118"/>
      <c r="SAM12" s="118"/>
      <c r="SAN12" s="118"/>
      <c r="SAO12" s="118"/>
      <c r="SAP12" s="118"/>
      <c r="SAQ12" s="118"/>
      <c r="SAR12" s="118"/>
      <c r="SAS12" s="118"/>
      <c r="SAT12" s="118"/>
      <c r="SAU12" s="118"/>
      <c r="SAV12" s="118"/>
      <c r="SAW12" s="118"/>
      <c r="SAX12" s="118"/>
      <c r="SAY12" s="118"/>
      <c r="SAZ12" s="118"/>
      <c r="SBA12" s="118"/>
      <c r="SBB12" s="118"/>
      <c r="SBC12" s="118"/>
      <c r="SBD12" s="118"/>
      <c r="SBE12" s="118"/>
      <c r="SBF12" s="118"/>
      <c r="SBG12" s="118"/>
      <c r="SBH12" s="118"/>
      <c r="SBI12" s="118"/>
      <c r="SBJ12" s="118"/>
      <c r="SBK12" s="118"/>
      <c r="SBL12" s="118"/>
      <c r="SBM12" s="118"/>
      <c r="SBN12" s="118"/>
      <c r="SBO12" s="118"/>
      <c r="SBP12" s="118"/>
      <c r="SBQ12" s="118"/>
      <c r="SBR12" s="118"/>
      <c r="SBS12" s="118"/>
      <c r="SBT12" s="118"/>
      <c r="SBU12" s="118"/>
      <c r="SBV12" s="118"/>
      <c r="SBW12" s="118"/>
      <c r="SBX12" s="118"/>
      <c r="SBY12" s="118"/>
      <c r="SBZ12" s="118"/>
      <c r="SCA12" s="118"/>
      <c r="SCB12" s="118"/>
      <c r="SCC12" s="118"/>
      <c r="SCD12" s="118"/>
      <c r="SCE12" s="118"/>
      <c r="SCF12" s="118"/>
      <c r="SCG12" s="118"/>
      <c r="SCH12" s="118"/>
      <c r="SCI12" s="118"/>
      <c r="SCJ12" s="118"/>
      <c r="SCK12" s="118"/>
      <c r="SCL12" s="118"/>
      <c r="SCM12" s="118"/>
      <c r="SCN12" s="118"/>
      <c r="SCO12" s="118"/>
      <c r="SCP12" s="118"/>
      <c r="SCQ12" s="118"/>
      <c r="SCR12" s="118"/>
      <c r="SCS12" s="118"/>
      <c r="SCT12" s="118"/>
      <c r="SCU12" s="118"/>
      <c r="SCV12" s="118"/>
      <c r="SCW12" s="118"/>
      <c r="SCX12" s="118"/>
      <c r="SCY12" s="118"/>
      <c r="SCZ12" s="118"/>
      <c r="SDA12" s="118"/>
      <c r="SDB12" s="118"/>
      <c r="SDC12" s="118"/>
      <c r="SDD12" s="118"/>
      <c r="SDE12" s="118"/>
      <c r="SDF12" s="118"/>
      <c r="SDG12" s="118"/>
      <c r="SDH12" s="118"/>
      <c r="SDI12" s="118"/>
      <c r="SDJ12" s="118"/>
      <c r="SDK12" s="118"/>
      <c r="SDL12" s="118"/>
      <c r="SDM12" s="118"/>
      <c r="SDN12" s="118"/>
      <c r="SDO12" s="118"/>
      <c r="SDP12" s="118"/>
      <c r="SDQ12" s="118"/>
      <c r="SDR12" s="118"/>
      <c r="SDS12" s="118"/>
      <c r="SDT12" s="118"/>
      <c r="SDU12" s="118"/>
      <c r="SDV12" s="118"/>
      <c r="SDW12" s="118"/>
      <c r="SDX12" s="118"/>
      <c r="SDY12" s="118"/>
      <c r="SDZ12" s="118"/>
      <c r="SEA12" s="118"/>
      <c r="SEB12" s="118"/>
      <c r="SEC12" s="118"/>
      <c r="SED12" s="118"/>
      <c r="SEE12" s="118"/>
      <c r="SEF12" s="118"/>
      <c r="SEG12" s="118"/>
      <c r="SEH12" s="118"/>
      <c r="SEI12" s="118"/>
      <c r="SEJ12" s="118"/>
      <c r="SEK12" s="118"/>
      <c r="SEL12" s="118"/>
      <c r="SEM12" s="118"/>
      <c r="SEN12" s="118"/>
      <c r="SEO12" s="118"/>
      <c r="SEP12" s="118"/>
      <c r="SEQ12" s="118"/>
      <c r="SER12" s="118"/>
      <c r="SES12" s="118"/>
      <c r="SET12" s="118"/>
      <c r="SEU12" s="118"/>
      <c r="SEV12" s="118"/>
      <c r="SEW12" s="118"/>
      <c r="SEX12" s="118"/>
      <c r="SEY12" s="118"/>
      <c r="SEZ12" s="118"/>
      <c r="SFA12" s="118"/>
      <c r="SFB12" s="118"/>
      <c r="SFC12" s="118"/>
      <c r="SFD12" s="118"/>
      <c r="SFE12" s="118"/>
      <c r="SFF12" s="118"/>
      <c r="SFG12" s="118"/>
      <c r="SFH12" s="118"/>
      <c r="SFI12" s="118"/>
      <c r="SFJ12" s="118"/>
      <c r="SFK12" s="118"/>
      <c r="SFL12" s="118"/>
      <c r="SFM12" s="118"/>
      <c r="SFN12" s="118"/>
      <c r="SFO12" s="118"/>
      <c r="SFP12" s="118"/>
      <c r="SFQ12" s="118"/>
      <c r="SFR12" s="118"/>
      <c r="SFS12" s="118"/>
      <c r="SFT12" s="118"/>
      <c r="SFU12" s="118"/>
      <c r="SFV12" s="118"/>
      <c r="SFW12" s="118"/>
      <c r="SFX12" s="118"/>
      <c r="SFY12" s="118"/>
      <c r="SFZ12" s="118"/>
      <c r="SGA12" s="118"/>
      <c r="SGB12" s="118"/>
      <c r="SGC12" s="118"/>
      <c r="SGD12" s="118"/>
      <c r="SGE12" s="118"/>
      <c r="SGF12" s="118"/>
      <c r="SGG12" s="118"/>
      <c r="SGH12" s="118"/>
      <c r="SGI12" s="118"/>
      <c r="SGJ12" s="118"/>
      <c r="SGK12" s="118"/>
      <c r="SGL12" s="118"/>
      <c r="SGM12" s="118"/>
      <c r="SGN12" s="118"/>
      <c r="SGO12" s="118"/>
      <c r="SGP12" s="118"/>
      <c r="SGQ12" s="118"/>
      <c r="SGR12" s="118"/>
      <c r="SGS12" s="118"/>
      <c r="SGT12" s="118"/>
      <c r="SGU12" s="118"/>
      <c r="SGV12" s="118"/>
      <c r="SGW12" s="118"/>
      <c r="SGX12" s="118"/>
      <c r="SGY12" s="118"/>
      <c r="SGZ12" s="118"/>
      <c r="SHA12" s="118"/>
      <c r="SHB12" s="118"/>
      <c r="SHC12" s="118"/>
      <c r="SHD12" s="118"/>
      <c r="SHE12" s="118"/>
      <c r="SHF12" s="118"/>
      <c r="SHG12" s="118"/>
      <c r="SHH12" s="118"/>
      <c r="SHI12" s="118"/>
      <c r="SHJ12" s="118"/>
      <c r="SHK12" s="118"/>
      <c r="SHL12" s="118"/>
      <c r="SHM12" s="118"/>
      <c r="SHN12" s="118"/>
      <c r="SHO12" s="118"/>
      <c r="SHP12" s="118"/>
      <c r="SHQ12" s="118"/>
      <c r="SHR12" s="118"/>
      <c r="SHS12" s="118"/>
      <c r="SHT12" s="118"/>
      <c r="SHU12" s="118"/>
      <c r="SHV12" s="118"/>
      <c r="SHW12" s="118"/>
      <c r="SHX12" s="118"/>
      <c r="SHY12" s="118"/>
      <c r="SHZ12" s="118"/>
      <c r="SIA12" s="118"/>
      <c r="SIB12" s="118"/>
      <c r="SIC12" s="118"/>
      <c r="SID12" s="118"/>
      <c r="SIE12" s="118"/>
      <c r="SIF12" s="118"/>
      <c r="SIG12" s="118"/>
      <c r="SIH12" s="118"/>
      <c r="SII12" s="118"/>
      <c r="SIJ12" s="118"/>
      <c r="SIK12" s="118"/>
      <c r="SIL12" s="118"/>
      <c r="SIM12" s="118"/>
      <c r="SIN12" s="118"/>
      <c r="SIO12" s="118"/>
      <c r="SIP12" s="118"/>
      <c r="SIQ12" s="118"/>
      <c r="SIR12" s="118"/>
      <c r="SIS12" s="118"/>
      <c r="SIT12" s="118"/>
      <c r="SIU12" s="118"/>
      <c r="SIV12" s="118"/>
      <c r="SIW12" s="118"/>
      <c r="SIX12" s="118"/>
      <c r="SIY12" s="118"/>
      <c r="SIZ12" s="118"/>
      <c r="SJA12" s="118"/>
      <c r="SJB12" s="118"/>
      <c r="SJC12" s="118"/>
      <c r="SJD12" s="118"/>
      <c r="SJE12" s="118"/>
      <c r="SJF12" s="118"/>
      <c r="SJG12" s="118"/>
      <c r="SJH12" s="118"/>
      <c r="SJI12" s="118"/>
      <c r="SJJ12" s="118"/>
      <c r="SJK12" s="118"/>
      <c r="SJL12" s="118"/>
      <c r="SJM12" s="118"/>
      <c r="SJN12" s="118"/>
      <c r="SJO12" s="118"/>
      <c r="SJP12" s="118"/>
      <c r="SJQ12" s="118"/>
      <c r="SJR12" s="118"/>
      <c r="SJS12" s="118"/>
      <c r="SJT12" s="118"/>
      <c r="SJU12" s="118"/>
      <c r="SJV12" s="118"/>
      <c r="SJW12" s="118"/>
      <c r="SJX12" s="118"/>
      <c r="SJY12" s="118"/>
      <c r="SJZ12" s="118"/>
      <c r="SKA12" s="118"/>
      <c r="SKB12" s="118"/>
      <c r="SKC12" s="118"/>
      <c r="SKD12" s="118"/>
      <c r="SKE12" s="118"/>
      <c r="SKF12" s="118"/>
      <c r="SKG12" s="118"/>
      <c r="SKH12" s="118"/>
      <c r="SKI12" s="118"/>
      <c r="SKJ12" s="118"/>
      <c r="SKK12" s="118"/>
      <c r="SKL12" s="118"/>
      <c r="SKM12" s="118"/>
      <c r="SKN12" s="118"/>
      <c r="SKO12" s="118"/>
      <c r="SKP12" s="118"/>
      <c r="SKQ12" s="118"/>
      <c r="SKR12" s="118"/>
      <c r="SKS12" s="118"/>
      <c r="SKT12" s="118"/>
      <c r="SKU12" s="118"/>
      <c r="SKV12" s="118"/>
      <c r="SKW12" s="118"/>
      <c r="SKX12" s="118"/>
      <c r="SKY12" s="118"/>
      <c r="SKZ12" s="118"/>
      <c r="SLA12" s="118"/>
      <c r="SLB12" s="118"/>
      <c r="SLC12" s="118"/>
      <c r="SLD12" s="118"/>
      <c r="SLE12" s="118"/>
      <c r="SLF12" s="118"/>
      <c r="SLG12" s="118"/>
      <c r="SLH12" s="118"/>
      <c r="SLI12" s="118"/>
      <c r="SLJ12" s="118"/>
      <c r="SLK12" s="118"/>
      <c r="SLL12" s="118"/>
      <c r="SLM12" s="118"/>
      <c r="SLN12" s="118"/>
      <c r="SLO12" s="118"/>
      <c r="SLP12" s="118"/>
      <c r="SLQ12" s="118"/>
      <c r="SLR12" s="118"/>
      <c r="SLS12" s="118"/>
      <c r="SLT12" s="118"/>
      <c r="SLU12" s="118"/>
      <c r="SLV12" s="118"/>
      <c r="SLW12" s="118"/>
      <c r="SLX12" s="118"/>
      <c r="SLY12" s="118"/>
      <c r="SLZ12" s="118"/>
      <c r="SMA12" s="118"/>
      <c r="SMB12" s="118"/>
      <c r="SMC12" s="118"/>
      <c r="SMD12" s="118"/>
      <c r="SME12" s="118"/>
      <c r="SMF12" s="118"/>
      <c r="SMG12" s="118"/>
      <c r="SMH12" s="118"/>
      <c r="SMI12" s="118"/>
      <c r="SMJ12" s="118"/>
      <c r="SMK12" s="118"/>
      <c r="SML12" s="118"/>
      <c r="SMM12" s="118"/>
      <c r="SMN12" s="118"/>
      <c r="SMO12" s="118"/>
      <c r="SMP12" s="118"/>
      <c r="SMQ12" s="118"/>
      <c r="SMR12" s="118"/>
      <c r="SMS12" s="118"/>
      <c r="SMT12" s="118"/>
      <c r="SMU12" s="118"/>
      <c r="SMV12" s="118"/>
      <c r="SMW12" s="118"/>
      <c r="SMX12" s="118"/>
      <c r="SMY12" s="118"/>
      <c r="SMZ12" s="118"/>
      <c r="SNA12" s="118"/>
      <c r="SNB12" s="118"/>
      <c r="SNC12" s="118"/>
      <c r="SND12" s="118"/>
      <c r="SNE12" s="118"/>
      <c r="SNF12" s="118"/>
      <c r="SNG12" s="118"/>
      <c r="SNH12" s="118"/>
      <c r="SNI12" s="118"/>
      <c r="SNJ12" s="118"/>
      <c r="SNK12" s="118"/>
      <c r="SNL12" s="118"/>
      <c r="SNM12" s="118"/>
      <c r="SNN12" s="118"/>
      <c r="SNO12" s="118"/>
      <c r="SNP12" s="118"/>
      <c r="SNQ12" s="118"/>
      <c r="SNR12" s="118"/>
      <c r="SNS12" s="118"/>
      <c r="SNT12" s="118"/>
      <c r="SNU12" s="118"/>
      <c r="SNV12" s="118"/>
      <c r="SNW12" s="118"/>
      <c r="SNX12" s="118"/>
      <c r="SNY12" s="118"/>
      <c r="SNZ12" s="118"/>
      <c r="SOA12" s="118"/>
      <c r="SOB12" s="118"/>
      <c r="SOC12" s="118"/>
      <c r="SOD12" s="118"/>
      <c r="SOE12" s="118"/>
      <c r="SOF12" s="118"/>
      <c r="SOG12" s="118"/>
      <c r="SOH12" s="118"/>
      <c r="SOI12" s="118"/>
      <c r="SOJ12" s="118"/>
      <c r="SOK12" s="118"/>
      <c r="SOL12" s="118"/>
      <c r="SOM12" s="118"/>
      <c r="SON12" s="118"/>
      <c r="SOO12" s="118"/>
      <c r="SOP12" s="118"/>
      <c r="SOQ12" s="118"/>
      <c r="SOR12" s="118"/>
      <c r="SOS12" s="118"/>
      <c r="SOT12" s="118"/>
      <c r="SOU12" s="118"/>
      <c r="SOV12" s="118"/>
      <c r="SOW12" s="118"/>
      <c r="SOX12" s="118"/>
      <c r="SOY12" s="118"/>
      <c r="SOZ12" s="118"/>
      <c r="SPA12" s="118"/>
      <c r="SPB12" s="118"/>
      <c r="SPC12" s="118"/>
      <c r="SPD12" s="118"/>
      <c r="SPE12" s="118"/>
      <c r="SPF12" s="118"/>
      <c r="SPG12" s="118"/>
      <c r="SPH12" s="118"/>
      <c r="SPI12" s="118"/>
      <c r="SPJ12" s="118"/>
      <c r="SPK12" s="118"/>
      <c r="SPL12" s="118"/>
      <c r="SPM12" s="118"/>
      <c r="SPN12" s="118"/>
      <c r="SPO12" s="118"/>
      <c r="SPP12" s="118"/>
      <c r="SPQ12" s="118"/>
      <c r="SPR12" s="118"/>
      <c r="SPS12" s="118"/>
      <c r="SPT12" s="118"/>
      <c r="SPU12" s="118"/>
      <c r="SPV12" s="118"/>
      <c r="SPW12" s="118"/>
      <c r="SPX12" s="118"/>
      <c r="SPY12" s="118"/>
      <c r="SPZ12" s="118"/>
      <c r="SQA12" s="118"/>
      <c r="SQB12" s="118"/>
      <c r="SQC12" s="118"/>
      <c r="SQD12" s="118"/>
      <c r="SQE12" s="118"/>
      <c r="SQF12" s="118"/>
      <c r="SQG12" s="118"/>
      <c r="SQH12" s="118"/>
      <c r="SQI12" s="118"/>
      <c r="SQJ12" s="118"/>
      <c r="SQK12" s="118"/>
      <c r="SQL12" s="118"/>
      <c r="SQM12" s="118"/>
      <c r="SQN12" s="118"/>
      <c r="SQO12" s="118"/>
      <c r="SQP12" s="118"/>
      <c r="SQQ12" s="118"/>
      <c r="SQR12" s="118"/>
      <c r="SQS12" s="118"/>
      <c r="SQT12" s="118"/>
      <c r="SQU12" s="118"/>
      <c r="SQV12" s="118"/>
      <c r="SQW12" s="118"/>
      <c r="SQX12" s="118"/>
      <c r="SQY12" s="118"/>
      <c r="SQZ12" s="118"/>
      <c r="SRA12" s="118"/>
      <c r="SRB12" s="118"/>
      <c r="SRC12" s="118"/>
      <c r="SRD12" s="118"/>
      <c r="SRE12" s="118"/>
      <c r="SRF12" s="118"/>
      <c r="SRG12" s="118"/>
      <c r="SRH12" s="118"/>
      <c r="SRI12" s="118"/>
      <c r="SRJ12" s="118"/>
      <c r="SRK12" s="118"/>
      <c r="SRL12" s="118"/>
      <c r="SRM12" s="118"/>
      <c r="SRN12" s="118"/>
      <c r="SRO12" s="118"/>
      <c r="SRP12" s="118"/>
      <c r="SRQ12" s="118"/>
      <c r="SRR12" s="118"/>
      <c r="SRS12" s="118"/>
      <c r="SRT12" s="118"/>
      <c r="SRU12" s="118"/>
      <c r="SRV12" s="118"/>
      <c r="SRW12" s="118"/>
      <c r="SRX12" s="118"/>
      <c r="SRY12" s="118"/>
      <c r="SRZ12" s="118"/>
      <c r="SSA12" s="118"/>
      <c r="SSB12" s="118"/>
      <c r="SSC12" s="118"/>
      <c r="SSD12" s="118"/>
      <c r="SSE12" s="118"/>
      <c r="SSF12" s="118"/>
      <c r="SSG12" s="118"/>
      <c r="SSH12" s="118"/>
      <c r="SSI12" s="118"/>
      <c r="SSJ12" s="118"/>
      <c r="SSK12" s="118"/>
      <c r="SSL12" s="118"/>
      <c r="SSM12" s="118"/>
      <c r="SSN12" s="118"/>
      <c r="SSO12" s="118"/>
      <c r="SSP12" s="118"/>
      <c r="SSQ12" s="118"/>
      <c r="SSR12" s="118"/>
      <c r="SSS12" s="118"/>
      <c r="SST12" s="118"/>
      <c r="SSU12" s="118"/>
      <c r="SSV12" s="118"/>
      <c r="SSW12" s="118"/>
      <c r="SSX12" s="118"/>
      <c r="SSY12" s="118"/>
      <c r="SSZ12" s="118"/>
      <c r="STA12" s="118"/>
      <c r="STB12" s="118"/>
      <c r="STC12" s="118"/>
      <c r="STD12" s="118"/>
      <c r="STE12" s="118"/>
      <c r="STF12" s="118"/>
      <c r="STG12" s="118"/>
      <c r="STH12" s="118"/>
      <c r="STI12" s="118"/>
      <c r="STJ12" s="118"/>
      <c r="STK12" s="118"/>
      <c r="STL12" s="118"/>
      <c r="STM12" s="118"/>
      <c r="STN12" s="118"/>
      <c r="STO12" s="118"/>
      <c r="STP12" s="118"/>
      <c r="STQ12" s="118"/>
      <c r="STR12" s="118"/>
      <c r="STS12" s="118"/>
      <c r="STT12" s="118"/>
      <c r="STU12" s="118"/>
      <c r="STV12" s="118"/>
      <c r="STW12" s="118"/>
      <c r="STX12" s="118"/>
      <c r="STY12" s="118"/>
      <c r="STZ12" s="118"/>
      <c r="SUA12" s="118"/>
      <c r="SUB12" s="118"/>
      <c r="SUC12" s="118"/>
      <c r="SUD12" s="118"/>
      <c r="SUE12" s="118"/>
      <c r="SUF12" s="118"/>
      <c r="SUG12" s="118"/>
      <c r="SUH12" s="118"/>
      <c r="SUI12" s="118"/>
      <c r="SUJ12" s="118"/>
      <c r="SUK12" s="118"/>
      <c r="SUL12" s="118"/>
      <c r="SUM12" s="118"/>
      <c r="SUN12" s="118"/>
      <c r="SUO12" s="118"/>
      <c r="SUP12" s="118"/>
      <c r="SUQ12" s="118"/>
      <c r="SUR12" s="118"/>
      <c r="SUS12" s="118"/>
      <c r="SUT12" s="118"/>
      <c r="SUU12" s="118"/>
      <c r="SUV12" s="118"/>
      <c r="SUW12" s="118"/>
      <c r="SUX12" s="118"/>
      <c r="SUY12" s="118"/>
      <c r="SUZ12" s="118"/>
      <c r="SVA12" s="118"/>
      <c r="SVB12" s="118"/>
      <c r="SVC12" s="118"/>
      <c r="SVD12" s="118"/>
      <c r="SVE12" s="118"/>
      <c r="SVF12" s="118"/>
      <c r="SVG12" s="118"/>
      <c r="SVH12" s="118"/>
      <c r="SVI12" s="118"/>
      <c r="SVJ12" s="118"/>
      <c r="SVK12" s="118"/>
      <c r="SVL12" s="118"/>
      <c r="SVM12" s="118"/>
      <c r="SVN12" s="118"/>
      <c r="SVO12" s="118"/>
      <c r="SVP12" s="118"/>
      <c r="SVQ12" s="118"/>
      <c r="SVR12" s="118"/>
      <c r="SVS12" s="118"/>
      <c r="SVT12" s="118"/>
      <c r="SVU12" s="118"/>
      <c r="SVV12" s="118"/>
      <c r="SVW12" s="118"/>
      <c r="SVX12" s="118"/>
      <c r="SVY12" s="118"/>
      <c r="SVZ12" s="118"/>
      <c r="SWA12" s="118"/>
      <c r="SWB12" s="118"/>
      <c r="SWC12" s="118"/>
      <c r="SWD12" s="118"/>
      <c r="SWE12" s="118"/>
      <c r="SWF12" s="118"/>
      <c r="SWG12" s="118"/>
      <c r="SWH12" s="118"/>
      <c r="SWI12" s="118"/>
      <c r="SWJ12" s="118"/>
      <c r="SWK12" s="118"/>
      <c r="SWL12" s="118"/>
      <c r="SWM12" s="118"/>
      <c r="SWN12" s="118"/>
      <c r="SWO12" s="118"/>
      <c r="SWP12" s="118"/>
      <c r="SWQ12" s="118"/>
      <c r="SWR12" s="118"/>
      <c r="SWS12" s="118"/>
      <c r="SWT12" s="118"/>
      <c r="SWU12" s="118"/>
      <c r="SWV12" s="118"/>
      <c r="SWW12" s="118"/>
      <c r="SWX12" s="118"/>
      <c r="SWY12" s="118"/>
      <c r="SWZ12" s="118"/>
      <c r="SXA12" s="118"/>
      <c r="SXB12" s="118"/>
      <c r="SXC12" s="118"/>
      <c r="SXD12" s="118"/>
      <c r="SXE12" s="118"/>
      <c r="SXF12" s="118"/>
      <c r="SXG12" s="118"/>
      <c r="SXH12" s="118"/>
      <c r="SXI12" s="118"/>
      <c r="SXJ12" s="118"/>
      <c r="SXK12" s="118"/>
      <c r="SXL12" s="118"/>
      <c r="SXM12" s="118"/>
      <c r="SXN12" s="118"/>
      <c r="SXO12" s="118"/>
      <c r="SXP12" s="118"/>
      <c r="SXQ12" s="118"/>
      <c r="SXR12" s="118"/>
      <c r="SXS12" s="118"/>
      <c r="SXT12" s="118"/>
      <c r="SXU12" s="118"/>
      <c r="SXV12" s="118"/>
      <c r="SXW12" s="118"/>
      <c r="SXX12" s="118"/>
      <c r="SXY12" s="118"/>
      <c r="SXZ12" s="118"/>
      <c r="SYA12" s="118"/>
      <c r="SYB12" s="118"/>
      <c r="SYC12" s="118"/>
      <c r="SYD12" s="118"/>
      <c r="SYE12" s="118"/>
      <c r="SYF12" s="118"/>
      <c r="SYG12" s="118"/>
      <c r="SYH12" s="118"/>
      <c r="SYI12" s="118"/>
      <c r="SYJ12" s="118"/>
      <c r="SYK12" s="118"/>
      <c r="SYL12" s="118"/>
      <c r="SYM12" s="118"/>
      <c r="SYN12" s="118"/>
      <c r="SYO12" s="118"/>
      <c r="SYP12" s="118"/>
      <c r="SYQ12" s="118"/>
      <c r="SYR12" s="118"/>
      <c r="SYS12" s="118"/>
      <c r="SYT12" s="118"/>
      <c r="SYU12" s="118"/>
      <c r="SYV12" s="118"/>
      <c r="SYW12" s="118"/>
      <c r="SYX12" s="118"/>
      <c r="SYY12" s="118"/>
      <c r="SYZ12" s="118"/>
      <c r="SZA12" s="118"/>
      <c r="SZB12" s="118"/>
      <c r="SZC12" s="118"/>
      <c r="SZD12" s="118"/>
      <c r="SZE12" s="118"/>
      <c r="SZF12" s="118"/>
      <c r="SZG12" s="118"/>
      <c r="SZH12" s="118"/>
      <c r="SZI12" s="118"/>
      <c r="SZJ12" s="118"/>
      <c r="SZK12" s="118"/>
      <c r="SZL12" s="118"/>
      <c r="SZM12" s="118"/>
      <c r="SZN12" s="118"/>
      <c r="SZO12" s="118"/>
      <c r="SZP12" s="118"/>
      <c r="SZQ12" s="118"/>
      <c r="SZR12" s="118"/>
      <c r="SZS12" s="118"/>
      <c r="SZT12" s="118"/>
      <c r="SZU12" s="118"/>
      <c r="SZV12" s="118"/>
      <c r="SZW12" s="118"/>
      <c r="SZX12" s="118"/>
      <c r="SZY12" s="118"/>
      <c r="SZZ12" s="118"/>
      <c r="TAA12" s="118"/>
      <c r="TAB12" s="118"/>
      <c r="TAC12" s="118"/>
      <c r="TAD12" s="118"/>
      <c r="TAE12" s="118"/>
      <c r="TAF12" s="118"/>
      <c r="TAG12" s="118"/>
      <c r="TAH12" s="118"/>
      <c r="TAI12" s="118"/>
      <c r="TAJ12" s="118"/>
      <c r="TAK12" s="118"/>
      <c r="TAL12" s="118"/>
      <c r="TAM12" s="118"/>
      <c r="TAN12" s="118"/>
      <c r="TAO12" s="118"/>
      <c r="TAP12" s="118"/>
      <c r="TAQ12" s="118"/>
      <c r="TAR12" s="118"/>
      <c r="TAS12" s="118"/>
      <c r="TAT12" s="118"/>
      <c r="TAU12" s="118"/>
      <c r="TAV12" s="118"/>
      <c r="TAW12" s="118"/>
      <c r="TAX12" s="118"/>
      <c r="TAY12" s="118"/>
      <c r="TAZ12" s="118"/>
      <c r="TBA12" s="118"/>
      <c r="TBB12" s="118"/>
      <c r="TBC12" s="118"/>
      <c r="TBD12" s="118"/>
      <c r="TBE12" s="118"/>
      <c r="TBF12" s="118"/>
      <c r="TBG12" s="118"/>
      <c r="TBH12" s="118"/>
      <c r="TBI12" s="118"/>
      <c r="TBJ12" s="118"/>
      <c r="TBK12" s="118"/>
      <c r="TBL12" s="118"/>
      <c r="TBM12" s="118"/>
      <c r="TBN12" s="118"/>
      <c r="TBO12" s="118"/>
      <c r="TBP12" s="118"/>
      <c r="TBQ12" s="118"/>
      <c r="TBR12" s="118"/>
      <c r="TBS12" s="118"/>
      <c r="TBT12" s="118"/>
      <c r="TBU12" s="118"/>
      <c r="TBV12" s="118"/>
      <c r="TBW12" s="118"/>
      <c r="TBX12" s="118"/>
      <c r="TBY12" s="118"/>
      <c r="TBZ12" s="118"/>
      <c r="TCA12" s="118"/>
      <c r="TCB12" s="118"/>
      <c r="TCC12" s="118"/>
      <c r="TCD12" s="118"/>
      <c r="TCE12" s="118"/>
      <c r="TCF12" s="118"/>
      <c r="TCG12" s="118"/>
      <c r="TCH12" s="118"/>
      <c r="TCI12" s="118"/>
      <c r="TCJ12" s="118"/>
      <c r="TCK12" s="118"/>
      <c r="TCL12" s="118"/>
      <c r="TCM12" s="118"/>
      <c r="TCN12" s="118"/>
      <c r="TCO12" s="118"/>
      <c r="TCP12" s="118"/>
      <c r="TCQ12" s="118"/>
      <c r="TCR12" s="118"/>
      <c r="TCS12" s="118"/>
      <c r="TCT12" s="118"/>
      <c r="TCU12" s="118"/>
      <c r="TCV12" s="118"/>
      <c r="TCW12" s="118"/>
      <c r="TCX12" s="118"/>
      <c r="TCY12" s="118"/>
      <c r="TCZ12" s="118"/>
      <c r="TDA12" s="118"/>
      <c r="TDB12" s="118"/>
      <c r="TDC12" s="118"/>
      <c r="TDD12" s="118"/>
      <c r="TDE12" s="118"/>
      <c r="TDF12" s="118"/>
      <c r="TDG12" s="118"/>
      <c r="TDH12" s="118"/>
      <c r="TDI12" s="118"/>
      <c r="TDJ12" s="118"/>
      <c r="TDK12" s="118"/>
      <c r="TDL12" s="118"/>
      <c r="TDM12" s="118"/>
      <c r="TDN12" s="118"/>
      <c r="TDO12" s="118"/>
      <c r="TDP12" s="118"/>
      <c r="TDQ12" s="118"/>
      <c r="TDR12" s="118"/>
      <c r="TDS12" s="118"/>
      <c r="TDT12" s="118"/>
      <c r="TDU12" s="118"/>
      <c r="TDV12" s="118"/>
      <c r="TDW12" s="118"/>
      <c r="TDX12" s="118"/>
      <c r="TDY12" s="118"/>
      <c r="TDZ12" s="118"/>
      <c r="TEA12" s="118"/>
      <c r="TEB12" s="118"/>
      <c r="TEC12" s="118"/>
      <c r="TED12" s="118"/>
      <c r="TEE12" s="118"/>
      <c r="TEF12" s="118"/>
      <c r="TEG12" s="118"/>
      <c r="TEH12" s="118"/>
      <c r="TEI12" s="118"/>
      <c r="TEJ12" s="118"/>
      <c r="TEK12" s="118"/>
      <c r="TEL12" s="118"/>
      <c r="TEM12" s="118"/>
      <c r="TEN12" s="118"/>
      <c r="TEO12" s="118"/>
      <c r="TEP12" s="118"/>
      <c r="TEQ12" s="118"/>
      <c r="TER12" s="118"/>
      <c r="TES12" s="118"/>
      <c r="TET12" s="118"/>
      <c r="TEU12" s="118"/>
      <c r="TEV12" s="118"/>
      <c r="TEW12" s="118"/>
      <c r="TEX12" s="118"/>
      <c r="TEY12" s="118"/>
      <c r="TEZ12" s="118"/>
      <c r="TFA12" s="118"/>
      <c r="TFB12" s="118"/>
      <c r="TFC12" s="118"/>
      <c r="TFD12" s="118"/>
      <c r="TFE12" s="118"/>
      <c r="TFF12" s="118"/>
      <c r="TFG12" s="118"/>
      <c r="TFH12" s="118"/>
      <c r="TFI12" s="118"/>
      <c r="TFJ12" s="118"/>
      <c r="TFK12" s="118"/>
      <c r="TFL12" s="118"/>
      <c r="TFM12" s="118"/>
      <c r="TFN12" s="118"/>
      <c r="TFO12" s="118"/>
      <c r="TFP12" s="118"/>
      <c r="TFQ12" s="118"/>
      <c r="TFR12" s="118"/>
      <c r="TFS12" s="118"/>
      <c r="TFT12" s="118"/>
      <c r="TFU12" s="118"/>
      <c r="TFV12" s="118"/>
      <c r="TFW12" s="118"/>
      <c r="TFX12" s="118"/>
      <c r="TFY12" s="118"/>
      <c r="TFZ12" s="118"/>
      <c r="TGA12" s="118"/>
      <c r="TGB12" s="118"/>
      <c r="TGC12" s="118"/>
      <c r="TGD12" s="118"/>
      <c r="TGE12" s="118"/>
      <c r="TGF12" s="118"/>
      <c r="TGG12" s="118"/>
      <c r="TGH12" s="118"/>
      <c r="TGI12" s="118"/>
      <c r="TGJ12" s="118"/>
      <c r="TGK12" s="118"/>
      <c r="TGL12" s="118"/>
      <c r="TGM12" s="118"/>
      <c r="TGN12" s="118"/>
      <c r="TGO12" s="118"/>
      <c r="TGP12" s="118"/>
      <c r="TGQ12" s="118"/>
      <c r="TGR12" s="118"/>
      <c r="TGS12" s="118"/>
      <c r="TGT12" s="118"/>
      <c r="TGU12" s="118"/>
      <c r="TGV12" s="118"/>
      <c r="TGW12" s="118"/>
      <c r="TGX12" s="118"/>
      <c r="TGY12" s="118"/>
      <c r="TGZ12" s="118"/>
      <c r="THA12" s="118"/>
      <c r="THB12" s="118"/>
      <c r="THC12" s="118"/>
      <c r="THD12" s="118"/>
      <c r="THE12" s="118"/>
      <c r="THF12" s="118"/>
      <c r="THG12" s="118"/>
      <c r="THH12" s="118"/>
      <c r="THI12" s="118"/>
      <c r="THJ12" s="118"/>
      <c r="THK12" s="118"/>
      <c r="THL12" s="118"/>
      <c r="THM12" s="118"/>
      <c r="THN12" s="118"/>
      <c r="THO12" s="118"/>
      <c r="THP12" s="118"/>
      <c r="THQ12" s="118"/>
      <c r="THR12" s="118"/>
      <c r="THS12" s="118"/>
      <c r="THT12" s="118"/>
      <c r="THU12" s="118"/>
      <c r="THV12" s="118"/>
      <c r="THW12" s="118"/>
      <c r="THX12" s="118"/>
      <c r="THY12" s="118"/>
      <c r="THZ12" s="118"/>
      <c r="TIA12" s="118"/>
      <c r="TIB12" s="118"/>
      <c r="TIC12" s="118"/>
      <c r="TID12" s="118"/>
      <c r="TIE12" s="118"/>
      <c r="TIF12" s="118"/>
      <c r="TIG12" s="118"/>
      <c r="TIH12" s="118"/>
      <c r="TII12" s="118"/>
      <c r="TIJ12" s="118"/>
      <c r="TIK12" s="118"/>
      <c r="TIL12" s="118"/>
      <c r="TIM12" s="118"/>
      <c r="TIN12" s="118"/>
      <c r="TIO12" s="118"/>
      <c r="TIP12" s="118"/>
      <c r="TIQ12" s="118"/>
      <c r="TIR12" s="118"/>
      <c r="TIS12" s="118"/>
      <c r="TIT12" s="118"/>
      <c r="TIU12" s="118"/>
      <c r="TIV12" s="118"/>
      <c r="TIW12" s="118"/>
      <c r="TIX12" s="118"/>
      <c r="TIY12" s="118"/>
      <c r="TIZ12" s="118"/>
      <c r="TJA12" s="118"/>
      <c r="TJB12" s="118"/>
      <c r="TJC12" s="118"/>
      <c r="TJD12" s="118"/>
      <c r="TJE12" s="118"/>
      <c r="TJF12" s="118"/>
      <c r="TJG12" s="118"/>
      <c r="TJH12" s="118"/>
      <c r="TJI12" s="118"/>
      <c r="TJJ12" s="118"/>
      <c r="TJK12" s="118"/>
      <c r="TJL12" s="118"/>
      <c r="TJM12" s="118"/>
      <c r="TJN12" s="118"/>
      <c r="TJO12" s="118"/>
      <c r="TJP12" s="118"/>
      <c r="TJQ12" s="118"/>
      <c r="TJR12" s="118"/>
      <c r="TJS12" s="118"/>
      <c r="TJT12" s="118"/>
      <c r="TJU12" s="118"/>
      <c r="TJV12" s="118"/>
      <c r="TJW12" s="118"/>
      <c r="TJX12" s="118"/>
      <c r="TJY12" s="118"/>
      <c r="TJZ12" s="118"/>
      <c r="TKA12" s="118"/>
      <c r="TKB12" s="118"/>
      <c r="TKC12" s="118"/>
      <c r="TKD12" s="118"/>
      <c r="TKE12" s="118"/>
      <c r="TKF12" s="118"/>
      <c r="TKG12" s="118"/>
      <c r="TKH12" s="118"/>
      <c r="TKI12" s="118"/>
      <c r="TKJ12" s="118"/>
      <c r="TKK12" s="118"/>
      <c r="TKL12" s="118"/>
      <c r="TKM12" s="118"/>
      <c r="TKN12" s="118"/>
      <c r="TKO12" s="118"/>
      <c r="TKP12" s="118"/>
      <c r="TKQ12" s="118"/>
      <c r="TKR12" s="118"/>
      <c r="TKS12" s="118"/>
      <c r="TKT12" s="118"/>
      <c r="TKU12" s="118"/>
      <c r="TKV12" s="118"/>
      <c r="TKW12" s="118"/>
      <c r="TKX12" s="118"/>
      <c r="TKY12" s="118"/>
      <c r="TKZ12" s="118"/>
      <c r="TLA12" s="118"/>
      <c r="TLB12" s="118"/>
      <c r="TLC12" s="118"/>
      <c r="TLD12" s="118"/>
      <c r="TLE12" s="118"/>
      <c r="TLF12" s="118"/>
      <c r="TLG12" s="118"/>
      <c r="TLH12" s="118"/>
      <c r="TLI12" s="118"/>
      <c r="TLJ12" s="118"/>
      <c r="TLK12" s="118"/>
      <c r="TLL12" s="118"/>
      <c r="TLM12" s="118"/>
      <c r="TLN12" s="118"/>
      <c r="TLO12" s="118"/>
      <c r="TLP12" s="118"/>
      <c r="TLQ12" s="118"/>
      <c r="TLR12" s="118"/>
      <c r="TLS12" s="118"/>
      <c r="TLT12" s="118"/>
      <c r="TLU12" s="118"/>
      <c r="TLV12" s="118"/>
      <c r="TLW12" s="118"/>
      <c r="TLX12" s="118"/>
      <c r="TLY12" s="118"/>
      <c r="TLZ12" s="118"/>
      <c r="TMA12" s="118"/>
      <c r="TMB12" s="118"/>
      <c r="TMC12" s="118"/>
      <c r="TMD12" s="118"/>
      <c r="TME12" s="118"/>
      <c r="TMF12" s="118"/>
      <c r="TMG12" s="118"/>
      <c r="TMH12" s="118"/>
      <c r="TMI12" s="118"/>
      <c r="TMJ12" s="118"/>
      <c r="TMK12" s="118"/>
      <c r="TML12" s="118"/>
      <c r="TMM12" s="118"/>
      <c r="TMN12" s="118"/>
      <c r="TMO12" s="118"/>
      <c r="TMP12" s="118"/>
      <c r="TMQ12" s="118"/>
      <c r="TMR12" s="118"/>
      <c r="TMS12" s="118"/>
      <c r="TMT12" s="118"/>
      <c r="TMU12" s="118"/>
      <c r="TMV12" s="118"/>
      <c r="TMW12" s="118"/>
      <c r="TMX12" s="118"/>
      <c r="TMY12" s="118"/>
      <c r="TMZ12" s="118"/>
      <c r="TNA12" s="118"/>
      <c r="TNB12" s="118"/>
      <c r="TNC12" s="118"/>
      <c r="TND12" s="118"/>
      <c r="TNE12" s="118"/>
      <c r="TNF12" s="118"/>
      <c r="TNG12" s="118"/>
      <c r="TNH12" s="118"/>
      <c r="TNI12" s="118"/>
      <c r="TNJ12" s="118"/>
      <c r="TNK12" s="118"/>
      <c r="TNL12" s="118"/>
      <c r="TNM12" s="118"/>
      <c r="TNN12" s="118"/>
      <c r="TNO12" s="118"/>
      <c r="TNP12" s="118"/>
      <c r="TNQ12" s="118"/>
      <c r="TNR12" s="118"/>
      <c r="TNS12" s="118"/>
      <c r="TNT12" s="118"/>
      <c r="TNU12" s="118"/>
      <c r="TNV12" s="118"/>
      <c r="TNW12" s="118"/>
      <c r="TNX12" s="118"/>
      <c r="TNY12" s="118"/>
      <c r="TNZ12" s="118"/>
      <c r="TOA12" s="118"/>
      <c r="TOB12" s="118"/>
      <c r="TOC12" s="118"/>
      <c r="TOD12" s="118"/>
      <c r="TOE12" s="118"/>
      <c r="TOF12" s="118"/>
      <c r="TOG12" s="118"/>
      <c r="TOH12" s="118"/>
      <c r="TOI12" s="118"/>
      <c r="TOJ12" s="118"/>
      <c r="TOK12" s="118"/>
      <c r="TOL12" s="118"/>
      <c r="TOM12" s="118"/>
      <c r="TON12" s="118"/>
      <c r="TOO12" s="118"/>
      <c r="TOP12" s="118"/>
      <c r="TOQ12" s="118"/>
      <c r="TOR12" s="118"/>
      <c r="TOS12" s="118"/>
      <c r="TOT12" s="118"/>
      <c r="TOU12" s="118"/>
      <c r="TOV12" s="118"/>
      <c r="TOW12" s="118"/>
      <c r="TOX12" s="118"/>
      <c r="TOY12" s="118"/>
      <c r="TOZ12" s="118"/>
      <c r="TPA12" s="118"/>
      <c r="TPB12" s="118"/>
      <c r="TPC12" s="118"/>
      <c r="TPD12" s="118"/>
      <c r="TPE12" s="118"/>
      <c r="TPF12" s="118"/>
      <c r="TPG12" s="118"/>
      <c r="TPH12" s="118"/>
      <c r="TPI12" s="118"/>
      <c r="TPJ12" s="118"/>
      <c r="TPK12" s="118"/>
      <c r="TPL12" s="118"/>
      <c r="TPM12" s="118"/>
      <c r="TPN12" s="118"/>
      <c r="TPO12" s="118"/>
      <c r="TPP12" s="118"/>
      <c r="TPQ12" s="118"/>
      <c r="TPR12" s="118"/>
      <c r="TPS12" s="118"/>
      <c r="TPT12" s="118"/>
      <c r="TPU12" s="118"/>
      <c r="TPV12" s="118"/>
      <c r="TPW12" s="118"/>
      <c r="TPX12" s="118"/>
      <c r="TPY12" s="118"/>
      <c r="TPZ12" s="118"/>
      <c r="TQA12" s="118"/>
      <c r="TQB12" s="118"/>
      <c r="TQC12" s="118"/>
      <c r="TQD12" s="118"/>
      <c r="TQE12" s="118"/>
      <c r="TQF12" s="118"/>
      <c r="TQG12" s="118"/>
      <c r="TQH12" s="118"/>
      <c r="TQI12" s="118"/>
      <c r="TQJ12" s="118"/>
      <c r="TQK12" s="118"/>
      <c r="TQL12" s="118"/>
      <c r="TQM12" s="118"/>
      <c r="TQN12" s="118"/>
      <c r="TQO12" s="118"/>
      <c r="TQP12" s="118"/>
      <c r="TQQ12" s="118"/>
      <c r="TQR12" s="118"/>
      <c r="TQS12" s="118"/>
      <c r="TQT12" s="118"/>
      <c r="TQU12" s="118"/>
      <c r="TQV12" s="118"/>
      <c r="TQW12" s="118"/>
      <c r="TQX12" s="118"/>
      <c r="TQY12" s="118"/>
      <c r="TQZ12" s="118"/>
      <c r="TRA12" s="118"/>
      <c r="TRB12" s="118"/>
      <c r="TRC12" s="118"/>
      <c r="TRD12" s="118"/>
      <c r="TRE12" s="118"/>
      <c r="TRF12" s="118"/>
      <c r="TRG12" s="118"/>
      <c r="TRH12" s="118"/>
      <c r="TRI12" s="118"/>
      <c r="TRJ12" s="118"/>
      <c r="TRK12" s="118"/>
      <c r="TRL12" s="118"/>
      <c r="TRM12" s="118"/>
      <c r="TRN12" s="118"/>
      <c r="TRO12" s="118"/>
      <c r="TRP12" s="118"/>
      <c r="TRQ12" s="118"/>
      <c r="TRR12" s="118"/>
      <c r="TRS12" s="118"/>
      <c r="TRT12" s="118"/>
      <c r="TRU12" s="118"/>
      <c r="TRV12" s="118"/>
      <c r="TRW12" s="118"/>
      <c r="TRX12" s="118"/>
      <c r="TRY12" s="118"/>
      <c r="TRZ12" s="118"/>
      <c r="TSA12" s="118"/>
      <c r="TSB12" s="118"/>
      <c r="TSC12" s="118"/>
      <c r="TSD12" s="118"/>
      <c r="TSE12" s="118"/>
      <c r="TSF12" s="118"/>
      <c r="TSG12" s="118"/>
      <c r="TSH12" s="118"/>
      <c r="TSI12" s="118"/>
      <c r="TSJ12" s="118"/>
      <c r="TSK12" s="118"/>
      <c r="TSL12" s="118"/>
      <c r="TSM12" s="118"/>
      <c r="TSN12" s="118"/>
      <c r="TSO12" s="118"/>
      <c r="TSP12" s="118"/>
      <c r="TSQ12" s="118"/>
      <c r="TSR12" s="118"/>
      <c r="TSS12" s="118"/>
      <c r="TST12" s="118"/>
      <c r="TSU12" s="118"/>
      <c r="TSV12" s="118"/>
      <c r="TSW12" s="118"/>
      <c r="TSX12" s="118"/>
      <c r="TSY12" s="118"/>
      <c r="TSZ12" s="118"/>
      <c r="TTA12" s="118"/>
      <c r="TTB12" s="118"/>
      <c r="TTC12" s="118"/>
      <c r="TTD12" s="118"/>
      <c r="TTE12" s="118"/>
      <c r="TTF12" s="118"/>
      <c r="TTG12" s="118"/>
      <c r="TTH12" s="118"/>
      <c r="TTI12" s="118"/>
      <c r="TTJ12" s="118"/>
      <c r="TTK12" s="118"/>
      <c r="TTL12" s="118"/>
      <c r="TTM12" s="118"/>
      <c r="TTN12" s="118"/>
      <c r="TTO12" s="118"/>
      <c r="TTP12" s="118"/>
      <c r="TTQ12" s="118"/>
      <c r="TTR12" s="118"/>
      <c r="TTS12" s="118"/>
      <c r="TTT12" s="118"/>
      <c r="TTU12" s="118"/>
      <c r="TTV12" s="118"/>
      <c r="TTW12" s="118"/>
      <c r="TTX12" s="118"/>
      <c r="TTY12" s="118"/>
      <c r="TTZ12" s="118"/>
      <c r="TUA12" s="118"/>
      <c r="TUB12" s="118"/>
      <c r="TUC12" s="118"/>
      <c r="TUD12" s="118"/>
      <c r="TUE12" s="118"/>
      <c r="TUF12" s="118"/>
      <c r="TUG12" s="118"/>
      <c r="TUH12" s="118"/>
      <c r="TUI12" s="118"/>
      <c r="TUJ12" s="118"/>
      <c r="TUK12" s="118"/>
      <c r="TUL12" s="118"/>
      <c r="TUM12" s="118"/>
      <c r="TUN12" s="118"/>
      <c r="TUO12" s="118"/>
      <c r="TUP12" s="118"/>
      <c r="TUQ12" s="118"/>
      <c r="TUR12" s="118"/>
      <c r="TUS12" s="118"/>
      <c r="TUT12" s="118"/>
      <c r="TUU12" s="118"/>
      <c r="TUV12" s="118"/>
      <c r="TUW12" s="118"/>
      <c r="TUX12" s="118"/>
      <c r="TUY12" s="118"/>
      <c r="TUZ12" s="118"/>
      <c r="TVA12" s="118"/>
      <c r="TVB12" s="118"/>
      <c r="TVC12" s="118"/>
      <c r="TVD12" s="118"/>
      <c r="TVE12" s="118"/>
      <c r="TVF12" s="118"/>
      <c r="TVG12" s="118"/>
      <c r="TVH12" s="118"/>
      <c r="TVI12" s="118"/>
      <c r="TVJ12" s="118"/>
      <c r="TVK12" s="118"/>
      <c r="TVL12" s="118"/>
      <c r="TVM12" s="118"/>
      <c r="TVN12" s="118"/>
      <c r="TVO12" s="118"/>
      <c r="TVP12" s="118"/>
      <c r="TVQ12" s="118"/>
      <c r="TVR12" s="118"/>
      <c r="TVS12" s="118"/>
      <c r="TVT12" s="118"/>
      <c r="TVU12" s="118"/>
      <c r="TVV12" s="118"/>
      <c r="TVW12" s="118"/>
      <c r="TVX12" s="118"/>
      <c r="TVY12" s="118"/>
      <c r="TVZ12" s="118"/>
      <c r="TWA12" s="118"/>
      <c r="TWB12" s="118"/>
      <c r="TWC12" s="118"/>
      <c r="TWD12" s="118"/>
      <c r="TWE12" s="118"/>
      <c r="TWF12" s="118"/>
      <c r="TWG12" s="118"/>
      <c r="TWH12" s="118"/>
      <c r="TWI12" s="118"/>
      <c r="TWJ12" s="118"/>
      <c r="TWK12" s="118"/>
      <c r="TWL12" s="118"/>
      <c r="TWM12" s="118"/>
      <c r="TWN12" s="118"/>
      <c r="TWO12" s="118"/>
      <c r="TWP12" s="118"/>
      <c r="TWQ12" s="118"/>
      <c r="TWR12" s="118"/>
      <c r="TWS12" s="118"/>
      <c r="TWT12" s="118"/>
      <c r="TWU12" s="118"/>
      <c r="TWV12" s="118"/>
      <c r="TWW12" s="118"/>
      <c r="TWX12" s="118"/>
      <c r="TWY12" s="118"/>
      <c r="TWZ12" s="118"/>
      <c r="TXA12" s="118"/>
      <c r="TXB12" s="118"/>
      <c r="TXC12" s="118"/>
      <c r="TXD12" s="118"/>
      <c r="TXE12" s="118"/>
      <c r="TXF12" s="118"/>
      <c r="TXG12" s="118"/>
      <c r="TXH12" s="118"/>
      <c r="TXI12" s="118"/>
      <c r="TXJ12" s="118"/>
      <c r="TXK12" s="118"/>
      <c r="TXL12" s="118"/>
      <c r="TXM12" s="118"/>
      <c r="TXN12" s="118"/>
      <c r="TXO12" s="118"/>
      <c r="TXP12" s="118"/>
      <c r="TXQ12" s="118"/>
      <c r="TXR12" s="118"/>
      <c r="TXS12" s="118"/>
      <c r="TXT12" s="118"/>
      <c r="TXU12" s="118"/>
      <c r="TXV12" s="118"/>
      <c r="TXW12" s="118"/>
      <c r="TXX12" s="118"/>
      <c r="TXY12" s="118"/>
      <c r="TXZ12" s="118"/>
      <c r="TYA12" s="118"/>
      <c r="TYB12" s="118"/>
      <c r="TYC12" s="118"/>
      <c r="TYD12" s="118"/>
      <c r="TYE12" s="118"/>
      <c r="TYF12" s="118"/>
      <c r="TYG12" s="118"/>
      <c r="TYH12" s="118"/>
      <c r="TYI12" s="118"/>
      <c r="TYJ12" s="118"/>
      <c r="TYK12" s="118"/>
      <c r="TYL12" s="118"/>
      <c r="TYM12" s="118"/>
      <c r="TYN12" s="118"/>
      <c r="TYO12" s="118"/>
      <c r="TYP12" s="118"/>
      <c r="TYQ12" s="118"/>
      <c r="TYR12" s="118"/>
      <c r="TYS12" s="118"/>
      <c r="TYT12" s="118"/>
      <c r="TYU12" s="118"/>
      <c r="TYV12" s="118"/>
      <c r="TYW12" s="118"/>
      <c r="TYX12" s="118"/>
      <c r="TYY12" s="118"/>
      <c r="TYZ12" s="118"/>
      <c r="TZA12" s="118"/>
      <c r="TZB12" s="118"/>
      <c r="TZC12" s="118"/>
      <c r="TZD12" s="118"/>
      <c r="TZE12" s="118"/>
      <c r="TZF12" s="118"/>
      <c r="TZG12" s="118"/>
      <c r="TZH12" s="118"/>
      <c r="TZI12" s="118"/>
      <c r="TZJ12" s="118"/>
      <c r="TZK12" s="118"/>
      <c r="TZL12" s="118"/>
      <c r="TZM12" s="118"/>
      <c r="TZN12" s="118"/>
      <c r="TZO12" s="118"/>
      <c r="TZP12" s="118"/>
      <c r="TZQ12" s="118"/>
      <c r="TZR12" s="118"/>
      <c r="TZS12" s="118"/>
      <c r="TZT12" s="118"/>
      <c r="TZU12" s="118"/>
      <c r="TZV12" s="118"/>
      <c r="TZW12" s="118"/>
      <c r="TZX12" s="118"/>
      <c r="TZY12" s="118"/>
      <c r="TZZ12" s="118"/>
      <c r="UAA12" s="118"/>
      <c r="UAB12" s="118"/>
      <c r="UAC12" s="118"/>
      <c r="UAD12" s="118"/>
      <c r="UAE12" s="118"/>
      <c r="UAF12" s="118"/>
      <c r="UAG12" s="118"/>
      <c r="UAH12" s="118"/>
      <c r="UAI12" s="118"/>
      <c r="UAJ12" s="118"/>
      <c r="UAK12" s="118"/>
      <c r="UAL12" s="118"/>
      <c r="UAM12" s="118"/>
      <c r="UAN12" s="118"/>
      <c r="UAO12" s="118"/>
      <c r="UAP12" s="118"/>
      <c r="UAQ12" s="118"/>
      <c r="UAR12" s="118"/>
      <c r="UAS12" s="118"/>
      <c r="UAT12" s="118"/>
      <c r="UAU12" s="118"/>
      <c r="UAV12" s="118"/>
      <c r="UAW12" s="118"/>
      <c r="UAX12" s="118"/>
      <c r="UAY12" s="118"/>
      <c r="UAZ12" s="118"/>
      <c r="UBA12" s="118"/>
      <c r="UBB12" s="118"/>
      <c r="UBC12" s="118"/>
      <c r="UBD12" s="118"/>
      <c r="UBE12" s="118"/>
      <c r="UBF12" s="118"/>
      <c r="UBG12" s="118"/>
      <c r="UBH12" s="118"/>
      <c r="UBI12" s="118"/>
      <c r="UBJ12" s="118"/>
      <c r="UBK12" s="118"/>
      <c r="UBL12" s="118"/>
      <c r="UBM12" s="118"/>
      <c r="UBN12" s="118"/>
      <c r="UBO12" s="118"/>
      <c r="UBP12" s="118"/>
      <c r="UBQ12" s="118"/>
      <c r="UBR12" s="118"/>
      <c r="UBS12" s="118"/>
      <c r="UBT12" s="118"/>
      <c r="UBU12" s="118"/>
      <c r="UBV12" s="118"/>
      <c r="UBW12" s="118"/>
      <c r="UBX12" s="118"/>
      <c r="UBY12" s="118"/>
      <c r="UBZ12" s="118"/>
      <c r="UCA12" s="118"/>
      <c r="UCB12" s="118"/>
      <c r="UCC12" s="118"/>
      <c r="UCD12" s="118"/>
      <c r="UCE12" s="118"/>
      <c r="UCF12" s="118"/>
      <c r="UCG12" s="118"/>
      <c r="UCH12" s="118"/>
      <c r="UCI12" s="118"/>
      <c r="UCJ12" s="118"/>
      <c r="UCK12" s="118"/>
      <c r="UCL12" s="118"/>
      <c r="UCM12" s="118"/>
      <c r="UCN12" s="118"/>
      <c r="UCO12" s="118"/>
      <c r="UCP12" s="118"/>
      <c r="UCQ12" s="118"/>
      <c r="UCR12" s="118"/>
      <c r="UCS12" s="118"/>
      <c r="UCT12" s="118"/>
      <c r="UCU12" s="118"/>
      <c r="UCV12" s="118"/>
      <c r="UCW12" s="118"/>
      <c r="UCX12" s="118"/>
      <c r="UCY12" s="118"/>
      <c r="UCZ12" s="118"/>
      <c r="UDA12" s="118"/>
      <c r="UDB12" s="118"/>
      <c r="UDC12" s="118"/>
      <c r="UDD12" s="118"/>
      <c r="UDE12" s="118"/>
      <c r="UDF12" s="118"/>
      <c r="UDG12" s="118"/>
      <c r="UDH12" s="118"/>
      <c r="UDI12" s="118"/>
      <c r="UDJ12" s="118"/>
      <c r="UDK12" s="118"/>
      <c r="UDL12" s="118"/>
      <c r="UDM12" s="118"/>
      <c r="UDN12" s="118"/>
      <c r="UDO12" s="118"/>
      <c r="UDP12" s="118"/>
      <c r="UDQ12" s="118"/>
      <c r="UDR12" s="118"/>
      <c r="UDS12" s="118"/>
      <c r="UDT12" s="118"/>
      <c r="UDU12" s="118"/>
      <c r="UDV12" s="118"/>
      <c r="UDW12" s="118"/>
      <c r="UDX12" s="118"/>
      <c r="UDY12" s="118"/>
      <c r="UDZ12" s="118"/>
      <c r="UEA12" s="118"/>
      <c r="UEB12" s="118"/>
      <c r="UEC12" s="118"/>
      <c r="UED12" s="118"/>
      <c r="UEE12" s="118"/>
      <c r="UEF12" s="118"/>
      <c r="UEG12" s="118"/>
      <c r="UEH12" s="118"/>
      <c r="UEI12" s="118"/>
      <c r="UEJ12" s="118"/>
      <c r="UEK12" s="118"/>
      <c r="UEL12" s="118"/>
      <c r="UEM12" s="118"/>
      <c r="UEN12" s="118"/>
      <c r="UEO12" s="118"/>
      <c r="UEP12" s="118"/>
      <c r="UEQ12" s="118"/>
      <c r="UER12" s="118"/>
      <c r="UES12" s="118"/>
      <c r="UET12" s="118"/>
      <c r="UEU12" s="118"/>
      <c r="UEV12" s="118"/>
      <c r="UEW12" s="118"/>
      <c r="UEX12" s="118"/>
      <c r="UEY12" s="118"/>
      <c r="UEZ12" s="118"/>
      <c r="UFA12" s="118"/>
      <c r="UFB12" s="118"/>
      <c r="UFC12" s="118"/>
      <c r="UFD12" s="118"/>
      <c r="UFE12" s="118"/>
      <c r="UFF12" s="118"/>
      <c r="UFG12" s="118"/>
      <c r="UFH12" s="118"/>
      <c r="UFI12" s="118"/>
      <c r="UFJ12" s="118"/>
      <c r="UFK12" s="118"/>
      <c r="UFL12" s="118"/>
      <c r="UFM12" s="118"/>
      <c r="UFN12" s="118"/>
      <c r="UFO12" s="118"/>
      <c r="UFP12" s="118"/>
      <c r="UFQ12" s="118"/>
      <c r="UFR12" s="118"/>
      <c r="UFS12" s="118"/>
      <c r="UFT12" s="118"/>
      <c r="UFU12" s="118"/>
      <c r="UFV12" s="118"/>
      <c r="UFW12" s="118"/>
      <c r="UFX12" s="118"/>
      <c r="UFY12" s="118"/>
      <c r="UFZ12" s="118"/>
      <c r="UGA12" s="118"/>
      <c r="UGB12" s="118"/>
      <c r="UGC12" s="118"/>
      <c r="UGD12" s="118"/>
      <c r="UGE12" s="118"/>
      <c r="UGF12" s="118"/>
      <c r="UGG12" s="118"/>
      <c r="UGH12" s="118"/>
      <c r="UGI12" s="118"/>
      <c r="UGJ12" s="118"/>
      <c r="UGK12" s="118"/>
      <c r="UGL12" s="118"/>
      <c r="UGM12" s="118"/>
      <c r="UGN12" s="118"/>
      <c r="UGO12" s="118"/>
      <c r="UGP12" s="118"/>
      <c r="UGQ12" s="118"/>
      <c r="UGR12" s="118"/>
      <c r="UGS12" s="118"/>
      <c r="UGT12" s="118"/>
      <c r="UGU12" s="118"/>
      <c r="UGV12" s="118"/>
      <c r="UGW12" s="118"/>
      <c r="UGX12" s="118"/>
      <c r="UGY12" s="118"/>
      <c r="UGZ12" s="118"/>
      <c r="UHA12" s="118"/>
      <c r="UHB12" s="118"/>
      <c r="UHC12" s="118"/>
      <c r="UHD12" s="118"/>
      <c r="UHE12" s="118"/>
      <c r="UHF12" s="118"/>
      <c r="UHG12" s="118"/>
      <c r="UHH12" s="118"/>
      <c r="UHI12" s="118"/>
      <c r="UHJ12" s="118"/>
      <c r="UHK12" s="118"/>
      <c r="UHL12" s="118"/>
      <c r="UHM12" s="118"/>
      <c r="UHN12" s="118"/>
      <c r="UHO12" s="118"/>
      <c r="UHP12" s="118"/>
      <c r="UHQ12" s="118"/>
      <c r="UHR12" s="118"/>
      <c r="UHS12" s="118"/>
      <c r="UHT12" s="118"/>
      <c r="UHU12" s="118"/>
      <c r="UHV12" s="118"/>
      <c r="UHW12" s="118"/>
      <c r="UHX12" s="118"/>
      <c r="UHY12" s="118"/>
      <c r="UHZ12" s="118"/>
      <c r="UIA12" s="118"/>
      <c r="UIB12" s="118"/>
      <c r="UIC12" s="118"/>
      <c r="UID12" s="118"/>
      <c r="UIE12" s="118"/>
      <c r="UIF12" s="118"/>
      <c r="UIG12" s="118"/>
      <c r="UIH12" s="118"/>
      <c r="UII12" s="118"/>
      <c r="UIJ12" s="118"/>
      <c r="UIK12" s="118"/>
      <c r="UIL12" s="118"/>
      <c r="UIM12" s="118"/>
      <c r="UIN12" s="118"/>
      <c r="UIO12" s="118"/>
      <c r="UIP12" s="118"/>
      <c r="UIQ12" s="118"/>
      <c r="UIR12" s="118"/>
      <c r="UIS12" s="118"/>
      <c r="UIT12" s="118"/>
      <c r="UIU12" s="118"/>
      <c r="UIV12" s="118"/>
      <c r="UIW12" s="118"/>
      <c r="UIX12" s="118"/>
      <c r="UIY12" s="118"/>
      <c r="UIZ12" s="118"/>
      <c r="UJA12" s="118"/>
      <c r="UJB12" s="118"/>
      <c r="UJC12" s="118"/>
      <c r="UJD12" s="118"/>
      <c r="UJE12" s="118"/>
      <c r="UJF12" s="118"/>
      <c r="UJG12" s="118"/>
      <c r="UJH12" s="118"/>
      <c r="UJI12" s="118"/>
      <c r="UJJ12" s="118"/>
      <c r="UJK12" s="118"/>
      <c r="UJL12" s="118"/>
      <c r="UJM12" s="118"/>
      <c r="UJN12" s="118"/>
      <c r="UJO12" s="118"/>
      <c r="UJP12" s="118"/>
      <c r="UJQ12" s="118"/>
      <c r="UJR12" s="118"/>
      <c r="UJS12" s="118"/>
      <c r="UJT12" s="118"/>
      <c r="UJU12" s="118"/>
      <c r="UJV12" s="118"/>
      <c r="UJW12" s="118"/>
      <c r="UJX12" s="118"/>
      <c r="UJY12" s="118"/>
      <c r="UJZ12" s="118"/>
      <c r="UKA12" s="118"/>
      <c r="UKB12" s="118"/>
      <c r="UKC12" s="118"/>
      <c r="UKD12" s="118"/>
      <c r="UKE12" s="118"/>
      <c r="UKF12" s="118"/>
      <c r="UKG12" s="118"/>
      <c r="UKH12" s="118"/>
      <c r="UKI12" s="118"/>
      <c r="UKJ12" s="118"/>
      <c r="UKK12" s="118"/>
      <c r="UKL12" s="118"/>
      <c r="UKM12" s="118"/>
      <c r="UKN12" s="118"/>
      <c r="UKO12" s="118"/>
      <c r="UKP12" s="118"/>
      <c r="UKQ12" s="118"/>
      <c r="UKR12" s="118"/>
      <c r="UKS12" s="118"/>
      <c r="UKT12" s="118"/>
      <c r="UKU12" s="118"/>
      <c r="UKV12" s="118"/>
      <c r="UKW12" s="118"/>
      <c r="UKX12" s="118"/>
      <c r="UKY12" s="118"/>
      <c r="UKZ12" s="118"/>
      <c r="ULA12" s="118"/>
      <c r="ULB12" s="118"/>
      <c r="ULC12" s="118"/>
      <c r="ULD12" s="118"/>
      <c r="ULE12" s="118"/>
      <c r="ULF12" s="118"/>
      <c r="ULG12" s="118"/>
      <c r="ULH12" s="118"/>
      <c r="ULI12" s="118"/>
      <c r="ULJ12" s="118"/>
      <c r="ULK12" s="118"/>
      <c r="ULL12" s="118"/>
      <c r="ULM12" s="118"/>
      <c r="ULN12" s="118"/>
      <c r="ULO12" s="118"/>
      <c r="ULP12" s="118"/>
      <c r="ULQ12" s="118"/>
      <c r="ULR12" s="118"/>
      <c r="ULS12" s="118"/>
      <c r="ULT12" s="118"/>
      <c r="ULU12" s="118"/>
      <c r="ULV12" s="118"/>
      <c r="ULW12" s="118"/>
      <c r="ULX12" s="118"/>
      <c r="ULY12" s="118"/>
      <c r="ULZ12" s="118"/>
      <c r="UMA12" s="118"/>
      <c r="UMB12" s="118"/>
      <c r="UMC12" s="118"/>
      <c r="UMD12" s="118"/>
      <c r="UME12" s="118"/>
      <c r="UMF12" s="118"/>
      <c r="UMG12" s="118"/>
      <c r="UMH12" s="118"/>
      <c r="UMI12" s="118"/>
      <c r="UMJ12" s="118"/>
      <c r="UMK12" s="118"/>
      <c r="UML12" s="118"/>
      <c r="UMM12" s="118"/>
      <c r="UMN12" s="118"/>
      <c r="UMO12" s="118"/>
      <c r="UMP12" s="118"/>
      <c r="UMQ12" s="118"/>
      <c r="UMR12" s="118"/>
      <c r="UMS12" s="118"/>
      <c r="UMT12" s="118"/>
      <c r="UMU12" s="118"/>
      <c r="UMV12" s="118"/>
      <c r="UMW12" s="118"/>
      <c r="UMX12" s="118"/>
      <c r="UMY12" s="118"/>
      <c r="UMZ12" s="118"/>
      <c r="UNA12" s="118"/>
      <c r="UNB12" s="118"/>
      <c r="UNC12" s="118"/>
      <c r="UND12" s="118"/>
      <c r="UNE12" s="118"/>
      <c r="UNF12" s="118"/>
      <c r="UNG12" s="118"/>
      <c r="UNH12" s="118"/>
      <c r="UNI12" s="118"/>
      <c r="UNJ12" s="118"/>
      <c r="UNK12" s="118"/>
      <c r="UNL12" s="118"/>
      <c r="UNM12" s="118"/>
      <c r="UNN12" s="118"/>
      <c r="UNO12" s="118"/>
      <c r="UNP12" s="118"/>
      <c r="UNQ12" s="118"/>
      <c r="UNR12" s="118"/>
      <c r="UNS12" s="118"/>
      <c r="UNT12" s="118"/>
      <c r="UNU12" s="118"/>
      <c r="UNV12" s="118"/>
      <c r="UNW12" s="118"/>
      <c r="UNX12" s="118"/>
      <c r="UNY12" s="118"/>
      <c r="UNZ12" s="118"/>
      <c r="UOA12" s="118"/>
      <c r="UOB12" s="118"/>
      <c r="UOC12" s="118"/>
      <c r="UOD12" s="118"/>
      <c r="UOE12" s="118"/>
      <c r="UOF12" s="118"/>
      <c r="UOG12" s="118"/>
      <c r="UOH12" s="118"/>
      <c r="UOI12" s="118"/>
      <c r="UOJ12" s="118"/>
      <c r="UOK12" s="118"/>
      <c r="UOL12" s="118"/>
      <c r="UOM12" s="118"/>
      <c r="UON12" s="118"/>
      <c r="UOO12" s="118"/>
      <c r="UOP12" s="118"/>
      <c r="UOQ12" s="118"/>
      <c r="UOR12" s="118"/>
      <c r="UOS12" s="118"/>
      <c r="UOT12" s="118"/>
      <c r="UOU12" s="118"/>
      <c r="UOV12" s="118"/>
      <c r="UOW12" s="118"/>
      <c r="UOX12" s="118"/>
      <c r="UOY12" s="118"/>
      <c r="UOZ12" s="118"/>
      <c r="UPA12" s="118"/>
      <c r="UPB12" s="118"/>
      <c r="UPC12" s="118"/>
      <c r="UPD12" s="118"/>
      <c r="UPE12" s="118"/>
      <c r="UPF12" s="118"/>
      <c r="UPG12" s="118"/>
      <c r="UPH12" s="118"/>
      <c r="UPI12" s="118"/>
      <c r="UPJ12" s="118"/>
      <c r="UPK12" s="118"/>
      <c r="UPL12" s="118"/>
      <c r="UPM12" s="118"/>
      <c r="UPN12" s="118"/>
      <c r="UPO12" s="118"/>
      <c r="UPP12" s="118"/>
      <c r="UPQ12" s="118"/>
      <c r="UPR12" s="118"/>
      <c r="UPS12" s="118"/>
      <c r="UPT12" s="118"/>
    </row>
    <row r="13" spans="1:14632" s="66" customFormat="1" ht="15" customHeight="1" x14ac:dyDescent="0.25">
      <c r="A13" s="65"/>
      <c r="B13" s="106"/>
      <c r="C13" s="106"/>
      <c r="D13" s="106"/>
      <c r="E13" s="253" t="e">
        <f>IF(Setup!AC45="Initiative Game","",BattleRef!D15)</f>
        <v>#N/A</v>
      </c>
      <c r="F13" s="253"/>
      <c r="G13" s="253"/>
      <c r="H13" s="253"/>
      <c r="I13" s="253"/>
      <c r="J13" s="253"/>
      <c r="K13" s="253"/>
      <c r="L13" s="253"/>
      <c r="M13" s="253"/>
      <c r="N13" s="253"/>
      <c r="O13" s="253"/>
      <c r="P13" s="253"/>
      <c r="Q13" s="253"/>
      <c r="R13" s="253"/>
      <c r="S13" s="253"/>
      <c r="T13" s="253"/>
      <c r="U13" s="253"/>
      <c r="V13" s="253"/>
      <c r="W13" s="253"/>
      <c r="X13" s="253"/>
      <c r="Y13" s="253"/>
      <c r="Z13" s="253"/>
      <c r="AA13" s="253"/>
      <c r="AB13" s="253"/>
      <c r="AC13" s="253"/>
      <c r="AD13" s="187"/>
      <c r="AE13" s="187"/>
      <c r="AF13" s="187"/>
      <c r="AG13" s="187"/>
      <c r="AH13" s="106"/>
      <c r="AI13" s="106"/>
      <c r="AJ13" s="187"/>
      <c r="AK13" s="187"/>
      <c r="AL13" s="187"/>
      <c r="AM13" s="187"/>
      <c r="AN13" s="253" t="e">
        <f>IF(Setup!AC45="Initiative Game","",BattleRef!D16)</f>
        <v>#N/A</v>
      </c>
      <c r="AO13" s="253"/>
      <c r="AP13" s="253"/>
      <c r="AQ13" s="253"/>
      <c r="AR13" s="253"/>
      <c r="AS13" s="253"/>
      <c r="AT13" s="253"/>
      <c r="AU13" s="253"/>
      <c r="AV13" s="253"/>
      <c r="AW13" s="253"/>
      <c r="AX13" s="253"/>
      <c r="AY13" s="253"/>
      <c r="AZ13" s="253"/>
      <c r="BA13" s="253"/>
      <c r="BB13" s="253"/>
      <c r="BC13" s="253"/>
      <c r="BD13" s="253"/>
      <c r="BE13" s="253"/>
      <c r="BF13" s="253"/>
      <c r="BG13" s="253"/>
      <c r="BH13" s="253"/>
      <c r="BI13" s="253"/>
      <c r="BJ13" s="253"/>
      <c r="BK13" s="253"/>
      <c r="BL13" s="253"/>
      <c r="BM13" s="106"/>
      <c r="BN13" s="106"/>
      <c r="BO13" s="106"/>
    </row>
    <row r="14" spans="1:14632" s="66" customFormat="1" ht="15" customHeight="1" x14ac:dyDescent="0.25">
      <c r="A14" s="65"/>
      <c r="B14" s="110"/>
      <c r="C14" s="110"/>
      <c r="D14" s="187"/>
      <c r="E14" s="253"/>
      <c r="F14" s="253"/>
      <c r="G14" s="253"/>
      <c r="H14" s="253"/>
      <c r="I14" s="253"/>
      <c r="J14" s="253"/>
      <c r="K14" s="253"/>
      <c r="L14" s="253"/>
      <c r="M14" s="253"/>
      <c r="N14" s="253"/>
      <c r="O14" s="253"/>
      <c r="P14" s="253"/>
      <c r="Q14" s="253"/>
      <c r="R14" s="253"/>
      <c r="S14" s="253"/>
      <c r="T14" s="253"/>
      <c r="U14" s="253"/>
      <c r="V14" s="253"/>
      <c r="W14" s="253"/>
      <c r="X14" s="253"/>
      <c r="Y14" s="253"/>
      <c r="Z14" s="253"/>
      <c r="AA14" s="253"/>
      <c r="AB14" s="253"/>
      <c r="AC14" s="253"/>
      <c r="AD14" s="187"/>
      <c r="AE14" s="187"/>
      <c r="AF14" s="187"/>
      <c r="AG14" s="187"/>
      <c r="AH14" s="106"/>
      <c r="AI14" s="106"/>
      <c r="AJ14" s="187"/>
      <c r="AK14" s="187"/>
      <c r="AL14" s="187"/>
      <c r="AM14" s="187"/>
      <c r="AN14" s="253"/>
      <c r="AO14" s="253"/>
      <c r="AP14" s="253"/>
      <c r="AQ14" s="253"/>
      <c r="AR14" s="253"/>
      <c r="AS14" s="253"/>
      <c r="AT14" s="253"/>
      <c r="AU14" s="253"/>
      <c r="AV14" s="253"/>
      <c r="AW14" s="253"/>
      <c r="AX14" s="253"/>
      <c r="AY14" s="253"/>
      <c r="AZ14" s="253"/>
      <c r="BA14" s="253"/>
      <c r="BB14" s="253"/>
      <c r="BC14" s="253"/>
      <c r="BD14" s="253"/>
      <c r="BE14" s="253"/>
      <c r="BF14" s="253"/>
      <c r="BG14" s="253"/>
      <c r="BH14" s="253"/>
      <c r="BI14" s="253"/>
      <c r="BJ14" s="253"/>
      <c r="BK14" s="253"/>
      <c r="BL14" s="253"/>
      <c r="BM14" s="187"/>
      <c r="BN14" s="110"/>
      <c r="BO14" s="110"/>
    </row>
    <row r="15" spans="1:14632" s="66" customFormat="1" ht="15" customHeight="1" x14ac:dyDescent="0.25">
      <c r="A15" s="65"/>
      <c r="B15" s="110"/>
      <c r="C15" s="110"/>
      <c r="D15" s="187"/>
      <c r="E15" s="253"/>
      <c r="F15" s="253"/>
      <c r="G15" s="253"/>
      <c r="H15" s="253"/>
      <c r="I15" s="253"/>
      <c r="J15" s="253"/>
      <c r="K15" s="253"/>
      <c r="L15" s="253"/>
      <c r="M15" s="253"/>
      <c r="N15" s="253"/>
      <c r="O15" s="253"/>
      <c r="P15" s="253"/>
      <c r="Q15" s="253"/>
      <c r="R15" s="253"/>
      <c r="S15" s="253"/>
      <c r="T15" s="253"/>
      <c r="U15" s="253"/>
      <c r="V15" s="253"/>
      <c r="W15" s="253"/>
      <c r="X15" s="253"/>
      <c r="Y15" s="253"/>
      <c r="Z15" s="253"/>
      <c r="AA15" s="253"/>
      <c r="AB15" s="253"/>
      <c r="AC15" s="253"/>
      <c r="AD15" s="187"/>
      <c r="AE15" s="187"/>
      <c r="AF15" s="187"/>
      <c r="AG15" s="187"/>
      <c r="AH15" s="106"/>
      <c r="AI15" s="106"/>
      <c r="AJ15" s="187"/>
      <c r="AK15" s="187"/>
      <c r="AL15" s="187"/>
      <c r="AM15" s="187"/>
      <c r="AN15" s="253"/>
      <c r="AO15" s="253"/>
      <c r="AP15" s="253"/>
      <c r="AQ15" s="253"/>
      <c r="AR15" s="253"/>
      <c r="AS15" s="253"/>
      <c r="AT15" s="253"/>
      <c r="AU15" s="253"/>
      <c r="AV15" s="253"/>
      <c r="AW15" s="253"/>
      <c r="AX15" s="253"/>
      <c r="AY15" s="253"/>
      <c r="AZ15" s="253"/>
      <c r="BA15" s="253"/>
      <c r="BB15" s="253"/>
      <c r="BC15" s="253"/>
      <c r="BD15" s="253"/>
      <c r="BE15" s="253"/>
      <c r="BF15" s="253"/>
      <c r="BG15" s="253"/>
      <c r="BH15" s="253"/>
      <c r="BI15" s="253"/>
      <c r="BJ15" s="253"/>
      <c r="BK15" s="253"/>
      <c r="BL15" s="253"/>
      <c r="BM15" s="187"/>
      <c r="BN15" s="110"/>
      <c r="BO15" s="110"/>
    </row>
    <row r="16" spans="1:14632" s="66" customFormat="1" ht="15" customHeight="1" x14ac:dyDescent="0.25">
      <c r="A16" s="65"/>
      <c r="B16" s="110"/>
      <c r="C16" s="110"/>
      <c r="D16" s="239" t="e">
        <f>IF(Setup!AC45="Initiative Game","",BattleRef!L20)</f>
        <v>#N/A</v>
      </c>
      <c r="E16" s="239"/>
      <c r="F16" s="239"/>
      <c r="G16" s="239"/>
      <c r="H16" s="239"/>
      <c r="I16" s="239"/>
      <c r="J16" s="239"/>
      <c r="K16" s="239"/>
      <c r="L16" s="239"/>
      <c r="M16" s="239" t="e">
        <f>IF(Setup!AC45="Initiative Game","",BattleRef!M20)</f>
        <v>#N/A</v>
      </c>
      <c r="N16" s="239"/>
      <c r="O16" s="239"/>
      <c r="P16" s="239"/>
      <c r="Q16" s="239"/>
      <c r="R16" s="239"/>
      <c r="S16" s="239"/>
      <c r="T16" s="239"/>
      <c r="U16" s="239"/>
      <c r="V16" s="239" t="e">
        <f>IF(Setup!AC45="Initiative Game","",BattleRef!N20)</f>
        <v>#N/A</v>
      </c>
      <c r="W16" s="239"/>
      <c r="X16" s="239"/>
      <c r="Y16" s="239"/>
      <c r="Z16" s="239"/>
      <c r="AA16" s="239"/>
      <c r="AB16" s="239"/>
      <c r="AC16" s="239"/>
      <c r="AD16" s="239"/>
      <c r="AE16" s="188"/>
      <c r="AF16" s="188"/>
      <c r="AG16" s="188"/>
      <c r="AH16" s="105"/>
      <c r="AI16" s="105"/>
      <c r="AJ16" s="188"/>
      <c r="AK16" s="188"/>
      <c r="AL16" s="188"/>
      <c r="AM16" s="239" t="e">
        <f>IF(Setup!AC45="Initiative Game","",BattleRef!N21)</f>
        <v>#N/A</v>
      </c>
      <c r="AN16" s="239"/>
      <c r="AO16" s="239"/>
      <c r="AP16" s="239"/>
      <c r="AQ16" s="239"/>
      <c r="AR16" s="239"/>
      <c r="AS16" s="239"/>
      <c r="AT16" s="239"/>
      <c r="AU16" s="239"/>
      <c r="AV16" s="239" t="e">
        <f>IF(Setup!AC45="Initiative Game","",BattleRef!M21)</f>
        <v>#N/A</v>
      </c>
      <c r="AW16" s="239"/>
      <c r="AX16" s="239"/>
      <c r="AY16" s="239"/>
      <c r="AZ16" s="239"/>
      <c r="BA16" s="239"/>
      <c r="BB16" s="239"/>
      <c r="BC16" s="239"/>
      <c r="BD16" s="239"/>
      <c r="BE16" s="239" t="e">
        <f>IF(Setup!AC45="Initiative Game","",BattleRef!L21)</f>
        <v>#N/A</v>
      </c>
      <c r="BF16" s="239"/>
      <c r="BG16" s="239"/>
      <c r="BH16" s="239"/>
      <c r="BI16" s="239"/>
      <c r="BJ16" s="239"/>
      <c r="BK16" s="239"/>
      <c r="BL16" s="239"/>
      <c r="BM16" s="239"/>
      <c r="BN16" s="110"/>
      <c r="BO16" s="110"/>
    </row>
    <row r="17" spans="1:67" s="66" customFormat="1" ht="15" customHeight="1" x14ac:dyDescent="0.25">
      <c r="A17" s="65"/>
      <c r="B17" s="110"/>
      <c r="C17" s="110"/>
      <c r="D17" s="239"/>
      <c r="E17" s="239"/>
      <c r="F17" s="239"/>
      <c r="G17" s="239"/>
      <c r="H17" s="239"/>
      <c r="I17" s="239"/>
      <c r="J17" s="239"/>
      <c r="K17" s="239"/>
      <c r="L17" s="239"/>
      <c r="M17" s="239"/>
      <c r="N17" s="239"/>
      <c r="O17" s="239"/>
      <c r="P17" s="239"/>
      <c r="Q17" s="239"/>
      <c r="R17" s="239"/>
      <c r="S17" s="239"/>
      <c r="T17" s="239"/>
      <c r="U17" s="239"/>
      <c r="V17" s="239"/>
      <c r="W17" s="239"/>
      <c r="X17" s="239"/>
      <c r="Y17" s="239"/>
      <c r="Z17" s="239"/>
      <c r="AA17" s="239"/>
      <c r="AB17" s="239"/>
      <c r="AC17" s="239"/>
      <c r="AD17" s="239"/>
      <c r="AE17" s="188"/>
      <c r="AF17" s="188"/>
      <c r="AG17" s="188"/>
      <c r="AH17" s="105"/>
      <c r="AI17" s="105"/>
      <c r="AJ17" s="188"/>
      <c r="AK17" s="188"/>
      <c r="AL17" s="188"/>
      <c r="AM17" s="239"/>
      <c r="AN17" s="239"/>
      <c r="AO17" s="239"/>
      <c r="AP17" s="239"/>
      <c r="AQ17" s="239"/>
      <c r="AR17" s="239"/>
      <c r="AS17" s="239"/>
      <c r="AT17" s="239"/>
      <c r="AU17" s="239"/>
      <c r="AV17" s="239"/>
      <c r="AW17" s="239"/>
      <c r="AX17" s="239"/>
      <c r="AY17" s="239"/>
      <c r="AZ17" s="239"/>
      <c r="BA17" s="239"/>
      <c r="BB17" s="239"/>
      <c r="BC17" s="239"/>
      <c r="BD17" s="239"/>
      <c r="BE17" s="239"/>
      <c r="BF17" s="239"/>
      <c r="BG17" s="239"/>
      <c r="BH17" s="239"/>
      <c r="BI17" s="239"/>
      <c r="BJ17" s="239"/>
      <c r="BK17" s="239"/>
      <c r="BL17" s="239"/>
      <c r="BM17" s="239"/>
      <c r="BN17" s="110"/>
      <c r="BO17" s="110"/>
    </row>
    <row r="18" spans="1:67" s="66" customFormat="1" ht="15" customHeight="1" x14ac:dyDescent="0.25">
      <c r="A18" s="65"/>
      <c r="B18" s="110"/>
      <c r="C18" s="110"/>
      <c r="D18" s="239" t="e">
        <f>IF(Setup!AC45="Initiative Game","",BattleRef!O20)</f>
        <v>#N/A</v>
      </c>
      <c r="E18" s="239"/>
      <c r="F18" s="239"/>
      <c r="G18" s="239"/>
      <c r="H18" s="239"/>
      <c r="I18" s="239"/>
      <c r="J18" s="239"/>
      <c r="K18" s="239"/>
      <c r="L18" s="239"/>
      <c r="M18" s="239" t="e">
        <f>IF(Setup!AC45="Initiative Game","",BattleRef!P20)</f>
        <v>#N/A</v>
      </c>
      <c r="N18" s="239"/>
      <c r="O18" s="239"/>
      <c r="P18" s="239"/>
      <c r="Q18" s="239"/>
      <c r="R18" s="239"/>
      <c r="S18" s="239"/>
      <c r="T18" s="239"/>
      <c r="U18" s="239"/>
      <c r="V18" s="239" t="e">
        <f>IF(Setup!AC45="Initiative Game","",BattleRef!Q20)</f>
        <v>#N/A</v>
      </c>
      <c r="W18" s="239"/>
      <c r="X18" s="239"/>
      <c r="Y18" s="239"/>
      <c r="Z18" s="239"/>
      <c r="AA18" s="239"/>
      <c r="AB18" s="239"/>
      <c r="AC18" s="239"/>
      <c r="AD18" s="239"/>
      <c r="AE18" s="188"/>
      <c r="AF18" s="188"/>
      <c r="AG18" s="188"/>
      <c r="AH18" s="105"/>
      <c r="AI18" s="105"/>
      <c r="AJ18" s="188"/>
      <c r="AK18" s="188"/>
      <c r="AL18" s="188"/>
      <c r="AM18" s="239" t="e">
        <f>IF(Setup!AC45="Initiative Game","",BattleRef!Q21)</f>
        <v>#N/A</v>
      </c>
      <c r="AN18" s="239"/>
      <c r="AO18" s="239"/>
      <c r="AP18" s="239"/>
      <c r="AQ18" s="239"/>
      <c r="AR18" s="239"/>
      <c r="AS18" s="239"/>
      <c r="AT18" s="239"/>
      <c r="AU18" s="239"/>
      <c r="AV18" s="239" t="e">
        <f>IF(Setup!AC45="Initiative Game","",BattleRef!P21)</f>
        <v>#N/A</v>
      </c>
      <c r="AW18" s="239"/>
      <c r="AX18" s="239"/>
      <c r="AY18" s="239"/>
      <c r="AZ18" s="239"/>
      <c r="BA18" s="239"/>
      <c r="BB18" s="239"/>
      <c r="BC18" s="239"/>
      <c r="BD18" s="239"/>
      <c r="BE18" s="239" t="e">
        <f>IF(Setup!AC45="Initiative Game","",BattleRef!O21)</f>
        <v>#N/A</v>
      </c>
      <c r="BF18" s="239"/>
      <c r="BG18" s="239"/>
      <c r="BH18" s="239"/>
      <c r="BI18" s="239"/>
      <c r="BJ18" s="239"/>
      <c r="BK18" s="239"/>
      <c r="BL18" s="239"/>
      <c r="BM18" s="239"/>
      <c r="BN18" s="110"/>
      <c r="BO18" s="110"/>
    </row>
    <row r="19" spans="1:67" s="66" customFormat="1" ht="15" customHeight="1" x14ac:dyDescent="0.25">
      <c r="A19" s="65"/>
      <c r="B19" s="110"/>
      <c r="C19" s="110"/>
      <c r="D19" s="239"/>
      <c r="E19" s="239"/>
      <c r="F19" s="239"/>
      <c r="G19" s="239"/>
      <c r="H19" s="239"/>
      <c r="I19" s="239"/>
      <c r="J19" s="239"/>
      <c r="K19" s="239"/>
      <c r="L19" s="239"/>
      <c r="M19" s="239"/>
      <c r="N19" s="239"/>
      <c r="O19" s="239"/>
      <c r="P19" s="239"/>
      <c r="Q19" s="239"/>
      <c r="R19" s="239"/>
      <c r="S19" s="239"/>
      <c r="T19" s="239"/>
      <c r="U19" s="239"/>
      <c r="V19" s="239"/>
      <c r="W19" s="239"/>
      <c r="X19" s="239"/>
      <c r="Y19" s="239"/>
      <c r="Z19" s="239"/>
      <c r="AA19" s="239"/>
      <c r="AB19" s="239"/>
      <c r="AC19" s="239"/>
      <c r="AD19" s="239"/>
      <c r="AE19" s="188"/>
      <c r="AF19" s="188"/>
      <c r="AG19" s="188"/>
      <c r="AH19" s="105"/>
      <c r="AI19" s="105"/>
      <c r="AJ19" s="188"/>
      <c r="AK19" s="188"/>
      <c r="AL19" s="188"/>
      <c r="AM19" s="239"/>
      <c r="AN19" s="239"/>
      <c r="AO19" s="239"/>
      <c r="AP19" s="239"/>
      <c r="AQ19" s="239"/>
      <c r="AR19" s="239"/>
      <c r="AS19" s="239"/>
      <c r="AT19" s="239"/>
      <c r="AU19" s="239"/>
      <c r="AV19" s="239"/>
      <c r="AW19" s="239"/>
      <c r="AX19" s="239"/>
      <c r="AY19" s="239"/>
      <c r="AZ19" s="239"/>
      <c r="BA19" s="239"/>
      <c r="BB19" s="239"/>
      <c r="BC19" s="239"/>
      <c r="BD19" s="239"/>
      <c r="BE19" s="239"/>
      <c r="BF19" s="239"/>
      <c r="BG19" s="239"/>
      <c r="BH19" s="239"/>
      <c r="BI19" s="239"/>
      <c r="BJ19" s="239"/>
      <c r="BK19" s="239"/>
      <c r="BL19" s="239"/>
      <c r="BM19" s="239"/>
      <c r="BN19" s="110"/>
      <c r="BO19" s="110"/>
    </row>
    <row r="20" spans="1:67" s="66" customFormat="1" ht="15" customHeight="1" x14ac:dyDescent="0.25">
      <c r="A20" s="65"/>
      <c r="B20" s="106"/>
      <c r="C20" s="106"/>
      <c r="D20" s="240" t="str">
        <f>BattleRef!T33</f>
        <v/>
      </c>
      <c r="E20" s="240"/>
      <c r="F20" s="240"/>
      <c r="G20" s="240"/>
      <c r="H20" s="240"/>
      <c r="I20" s="240"/>
      <c r="J20" s="240"/>
      <c r="K20" s="240"/>
      <c r="L20" s="240"/>
      <c r="M20" s="240" t="str">
        <f>BattleRef!T34</f>
        <v/>
      </c>
      <c r="N20" s="240"/>
      <c r="O20" s="240"/>
      <c r="P20" s="240"/>
      <c r="Q20" s="240"/>
      <c r="R20" s="240"/>
      <c r="S20" s="240"/>
      <c r="T20" s="240"/>
      <c r="U20" s="240"/>
      <c r="V20" s="240" t="str">
        <f>BattleRef!T35</f>
        <v/>
      </c>
      <c r="W20" s="240"/>
      <c r="X20" s="240"/>
      <c r="Y20" s="240"/>
      <c r="Z20" s="240"/>
      <c r="AA20" s="240"/>
      <c r="AB20" s="240"/>
      <c r="AC20" s="240"/>
      <c r="AD20" s="240"/>
      <c r="AE20" s="69"/>
      <c r="AF20" s="69"/>
      <c r="AG20" s="106"/>
      <c r="AH20" s="106"/>
      <c r="AI20" s="106"/>
      <c r="AJ20" s="106"/>
      <c r="AK20" s="69"/>
      <c r="AL20" s="69"/>
      <c r="AM20" s="240" t="str">
        <f>BattleRef!AD35</f>
        <v/>
      </c>
      <c r="AN20" s="240"/>
      <c r="AO20" s="240"/>
      <c r="AP20" s="240"/>
      <c r="AQ20" s="240"/>
      <c r="AR20" s="240"/>
      <c r="AS20" s="240"/>
      <c r="AT20" s="240"/>
      <c r="AU20" s="240"/>
      <c r="AV20" s="240" t="str">
        <f>BattleRef!AD34</f>
        <v/>
      </c>
      <c r="AW20" s="240"/>
      <c r="AX20" s="240"/>
      <c r="AY20" s="240"/>
      <c r="AZ20" s="240"/>
      <c r="BA20" s="240"/>
      <c r="BB20" s="240"/>
      <c r="BC20" s="240"/>
      <c r="BD20" s="240"/>
      <c r="BE20" s="240" t="str">
        <f>BattleRef!AD33</f>
        <v/>
      </c>
      <c r="BF20" s="240"/>
      <c r="BG20" s="240"/>
      <c r="BH20" s="240"/>
      <c r="BI20" s="240"/>
      <c r="BJ20" s="240"/>
      <c r="BK20" s="240"/>
      <c r="BL20" s="240"/>
      <c r="BM20" s="240"/>
      <c r="BN20" s="106"/>
      <c r="BO20" s="106"/>
    </row>
    <row r="21" spans="1:67" s="66" customFormat="1" ht="15" customHeight="1" x14ac:dyDescent="0.25">
      <c r="A21" s="65"/>
      <c r="B21" s="106"/>
      <c r="C21" s="106"/>
      <c r="D21" s="240"/>
      <c r="E21" s="240"/>
      <c r="F21" s="240"/>
      <c r="G21" s="240"/>
      <c r="H21" s="240"/>
      <c r="I21" s="240"/>
      <c r="J21" s="240"/>
      <c r="K21" s="240"/>
      <c r="L21" s="240"/>
      <c r="M21" s="240"/>
      <c r="N21" s="240"/>
      <c r="O21" s="240"/>
      <c r="P21" s="240"/>
      <c r="Q21" s="240"/>
      <c r="R21" s="240"/>
      <c r="S21" s="240"/>
      <c r="T21" s="240"/>
      <c r="U21" s="240"/>
      <c r="V21" s="240"/>
      <c r="W21" s="240"/>
      <c r="X21" s="240"/>
      <c r="Y21" s="240"/>
      <c r="Z21" s="240"/>
      <c r="AA21" s="240"/>
      <c r="AB21" s="240"/>
      <c r="AC21" s="240"/>
      <c r="AD21" s="240"/>
      <c r="AE21" s="106"/>
      <c r="AF21" s="106"/>
      <c r="AG21" s="106"/>
      <c r="AH21" s="106"/>
      <c r="AI21" s="106"/>
      <c r="AJ21" s="106"/>
      <c r="AK21" s="69"/>
      <c r="AL21" s="69"/>
      <c r="AM21" s="240"/>
      <c r="AN21" s="240"/>
      <c r="AO21" s="240"/>
      <c r="AP21" s="240"/>
      <c r="AQ21" s="240"/>
      <c r="AR21" s="240"/>
      <c r="AS21" s="240"/>
      <c r="AT21" s="240"/>
      <c r="AU21" s="240"/>
      <c r="AV21" s="240"/>
      <c r="AW21" s="240"/>
      <c r="AX21" s="240"/>
      <c r="AY21" s="240"/>
      <c r="AZ21" s="240"/>
      <c r="BA21" s="240"/>
      <c r="BB21" s="240"/>
      <c r="BC21" s="240"/>
      <c r="BD21" s="240"/>
      <c r="BE21" s="240"/>
      <c r="BF21" s="240"/>
      <c r="BG21" s="240"/>
      <c r="BH21" s="240"/>
      <c r="BI21" s="240"/>
      <c r="BJ21" s="240"/>
      <c r="BK21" s="240"/>
      <c r="BL21" s="240"/>
      <c r="BM21" s="240"/>
      <c r="BN21" s="106"/>
      <c r="BO21" s="106"/>
    </row>
    <row r="22" spans="1:67" s="66" customFormat="1" ht="15" customHeight="1" x14ac:dyDescent="0.25">
      <c r="A22" s="65"/>
      <c r="B22" s="106"/>
      <c r="C22" s="106"/>
      <c r="D22" s="240" t="str">
        <f>BattleRef!T39</f>
        <v/>
      </c>
      <c r="E22" s="240"/>
      <c r="F22" s="240"/>
      <c r="G22" s="240"/>
      <c r="H22" s="240"/>
      <c r="I22" s="240"/>
      <c r="J22" s="240"/>
      <c r="K22" s="240"/>
      <c r="L22" s="240"/>
      <c r="M22" s="240" t="str">
        <f>BattleRef!T40</f>
        <v/>
      </c>
      <c r="N22" s="240"/>
      <c r="O22" s="240"/>
      <c r="P22" s="240"/>
      <c r="Q22" s="240"/>
      <c r="R22" s="240"/>
      <c r="S22" s="240"/>
      <c r="T22" s="240"/>
      <c r="U22" s="240"/>
      <c r="V22" s="240" t="str">
        <f>BattleRef!T41</f>
        <v/>
      </c>
      <c r="W22" s="240"/>
      <c r="X22" s="240"/>
      <c r="Y22" s="240"/>
      <c r="Z22" s="240"/>
      <c r="AA22" s="240"/>
      <c r="AB22" s="240"/>
      <c r="AC22" s="240"/>
      <c r="AD22" s="240"/>
      <c r="AE22" s="106"/>
      <c r="AF22" s="106"/>
      <c r="AG22" s="106"/>
      <c r="AH22" s="106"/>
      <c r="AI22" s="106"/>
      <c r="AJ22" s="106"/>
      <c r="AK22" s="69"/>
      <c r="AL22" s="69"/>
      <c r="AM22" s="240" t="str">
        <f>BattleRef!AD41</f>
        <v/>
      </c>
      <c r="AN22" s="240"/>
      <c r="AO22" s="240"/>
      <c r="AP22" s="240"/>
      <c r="AQ22" s="240"/>
      <c r="AR22" s="240"/>
      <c r="AS22" s="240"/>
      <c r="AT22" s="240"/>
      <c r="AU22" s="240"/>
      <c r="AV22" s="240" t="str">
        <f>BattleRef!AD40</f>
        <v/>
      </c>
      <c r="AW22" s="240"/>
      <c r="AX22" s="240"/>
      <c r="AY22" s="240"/>
      <c r="AZ22" s="240"/>
      <c r="BA22" s="240"/>
      <c r="BB22" s="240"/>
      <c r="BC22" s="240"/>
      <c r="BD22" s="240"/>
      <c r="BE22" s="240" t="str">
        <f>BattleRef!AD39</f>
        <v/>
      </c>
      <c r="BF22" s="240"/>
      <c r="BG22" s="240"/>
      <c r="BH22" s="240"/>
      <c r="BI22" s="240"/>
      <c r="BJ22" s="240"/>
      <c r="BK22" s="240"/>
      <c r="BL22" s="240"/>
      <c r="BM22" s="240"/>
      <c r="BN22" s="106"/>
      <c r="BO22" s="69"/>
    </row>
    <row r="23" spans="1:67" s="66" customFormat="1" ht="15" customHeight="1" x14ac:dyDescent="0.25">
      <c r="A23" s="65"/>
      <c r="B23" s="106"/>
      <c r="C23" s="106"/>
      <c r="D23" s="240"/>
      <c r="E23" s="240"/>
      <c r="F23" s="240"/>
      <c r="G23" s="240"/>
      <c r="H23" s="240"/>
      <c r="I23" s="240"/>
      <c r="J23" s="240"/>
      <c r="K23" s="240"/>
      <c r="L23" s="240"/>
      <c r="M23" s="240"/>
      <c r="N23" s="240"/>
      <c r="O23" s="240"/>
      <c r="P23" s="240"/>
      <c r="Q23" s="240"/>
      <c r="R23" s="240"/>
      <c r="S23" s="240"/>
      <c r="T23" s="240"/>
      <c r="U23" s="240"/>
      <c r="V23" s="240"/>
      <c r="W23" s="240"/>
      <c r="X23" s="240"/>
      <c r="Y23" s="240"/>
      <c r="Z23" s="240"/>
      <c r="AA23" s="240"/>
      <c r="AB23" s="240"/>
      <c r="AC23" s="240"/>
      <c r="AD23" s="240"/>
      <c r="AE23" s="106"/>
      <c r="AF23" s="106"/>
      <c r="AG23" s="106"/>
      <c r="AH23" s="106"/>
      <c r="AI23" s="106"/>
      <c r="AJ23" s="106"/>
      <c r="AK23" s="69"/>
      <c r="AL23" s="69"/>
      <c r="AM23" s="240"/>
      <c r="AN23" s="240"/>
      <c r="AO23" s="240"/>
      <c r="AP23" s="240"/>
      <c r="AQ23" s="240"/>
      <c r="AR23" s="240"/>
      <c r="AS23" s="240"/>
      <c r="AT23" s="240"/>
      <c r="AU23" s="240"/>
      <c r="AV23" s="240"/>
      <c r="AW23" s="240"/>
      <c r="AX23" s="240"/>
      <c r="AY23" s="240"/>
      <c r="AZ23" s="240"/>
      <c r="BA23" s="240"/>
      <c r="BB23" s="240"/>
      <c r="BC23" s="240"/>
      <c r="BD23" s="240"/>
      <c r="BE23" s="240"/>
      <c r="BF23" s="240"/>
      <c r="BG23" s="240"/>
      <c r="BH23" s="240"/>
      <c r="BI23" s="240"/>
      <c r="BJ23" s="240"/>
      <c r="BK23" s="240"/>
      <c r="BL23" s="240"/>
      <c r="BM23" s="240"/>
      <c r="BN23" s="69"/>
      <c r="BO23" s="69"/>
    </row>
    <row r="24" spans="1:67" s="66" customFormat="1" ht="15" customHeight="1" x14ac:dyDescent="0.25">
      <c r="A24" s="65"/>
      <c r="B24" s="201"/>
      <c r="C24" s="106"/>
      <c r="D24" s="106"/>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c r="AD24" s="106"/>
      <c r="AE24" s="106"/>
      <c r="AF24" s="106"/>
      <c r="AG24" s="106"/>
      <c r="AH24" s="106"/>
      <c r="AI24" s="106"/>
      <c r="AJ24" s="106"/>
      <c r="AK24" s="69"/>
      <c r="AL24" s="69"/>
      <c r="AM24" s="69"/>
      <c r="AN24" s="69"/>
      <c r="AO24" s="69"/>
      <c r="AP24" s="69"/>
      <c r="AQ24" s="69"/>
      <c r="AR24" s="69"/>
      <c r="AS24" s="69"/>
      <c r="AT24" s="69"/>
      <c r="AU24" s="69"/>
      <c r="AV24" s="69"/>
      <c r="AW24" s="69"/>
      <c r="AX24" s="69"/>
      <c r="AY24" s="106"/>
      <c r="AZ24" s="106"/>
      <c r="BA24" s="69"/>
      <c r="BB24" s="69"/>
      <c r="BC24" s="69"/>
      <c r="BD24" s="69"/>
      <c r="BE24" s="69"/>
      <c r="BF24" s="69"/>
      <c r="BG24" s="69"/>
      <c r="BH24" s="69"/>
      <c r="BI24" s="69"/>
      <c r="BJ24" s="69"/>
      <c r="BK24" s="69"/>
      <c r="BL24" s="69"/>
      <c r="BM24" s="69"/>
      <c r="BN24" s="69"/>
      <c r="BO24" s="69"/>
    </row>
    <row r="25" spans="1:67" s="66" customFormat="1" ht="15" customHeight="1" x14ac:dyDescent="0.25">
      <c r="A25" s="65"/>
      <c r="B25" s="201"/>
      <c r="C25" s="69"/>
      <c r="D25" s="69"/>
      <c r="E25" s="69"/>
      <c r="F25" s="240" t="str">
        <f>BattleRef!C41</f>
        <v/>
      </c>
      <c r="G25" s="240"/>
      <c r="H25" s="240"/>
      <c r="I25" s="240"/>
      <c r="J25" s="240"/>
      <c r="K25" s="240"/>
      <c r="L25" s="240"/>
      <c r="M25" s="240"/>
      <c r="N25" s="240"/>
      <c r="O25" s="240"/>
      <c r="P25" s="240"/>
      <c r="Q25" s="240"/>
      <c r="R25" s="240"/>
      <c r="S25" s="240"/>
      <c r="T25" s="240"/>
      <c r="U25" s="240"/>
      <c r="V25" s="240"/>
      <c r="W25" s="240"/>
      <c r="X25" s="240"/>
      <c r="Y25" s="240"/>
      <c r="Z25" s="240"/>
      <c r="AA25" s="240"/>
      <c r="AB25" s="240"/>
      <c r="AC25" s="240"/>
      <c r="AD25" s="69"/>
      <c r="AE25" s="69"/>
      <c r="AF25" s="69"/>
      <c r="AG25" s="106"/>
      <c r="AH25" s="106"/>
      <c r="AI25" s="106"/>
      <c r="AJ25" s="106"/>
      <c r="AK25" s="69"/>
      <c r="AL25" s="69"/>
      <c r="AM25" s="69"/>
      <c r="AN25" s="240" t="str">
        <f>BattleRef!E41</f>
        <v/>
      </c>
      <c r="AO25" s="240"/>
      <c r="AP25" s="240"/>
      <c r="AQ25" s="240"/>
      <c r="AR25" s="240"/>
      <c r="AS25" s="240"/>
      <c r="AT25" s="240"/>
      <c r="AU25" s="240"/>
      <c r="AV25" s="240"/>
      <c r="AW25" s="240"/>
      <c r="AX25" s="240"/>
      <c r="AY25" s="240"/>
      <c r="AZ25" s="240"/>
      <c r="BA25" s="240"/>
      <c r="BB25" s="240"/>
      <c r="BC25" s="240"/>
      <c r="BD25" s="240"/>
      <c r="BE25" s="240"/>
      <c r="BF25" s="240"/>
      <c r="BG25" s="240"/>
      <c r="BH25" s="240"/>
      <c r="BI25" s="240"/>
      <c r="BJ25" s="240"/>
      <c r="BK25" s="240"/>
      <c r="BL25" s="69"/>
      <c r="BM25" s="69"/>
      <c r="BN25" s="69"/>
      <c r="BO25" s="69"/>
    </row>
    <row r="26" spans="1:67" s="66" customFormat="1" ht="15" customHeight="1" x14ac:dyDescent="0.25">
      <c r="A26" s="65"/>
      <c r="B26" s="69"/>
      <c r="C26" s="69"/>
      <c r="D26" s="69"/>
      <c r="E26" s="69"/>
      <c r="F26" s="240"/>
      <c r="G26" s="240"/>
      <c r="H26" s="240"/>
      <c r="I26" s="240"/>
      <c r="J26" s="240"/>
      <c r="K26" s="240"/>
      <c r="L26" s="240"/>
      <c r="M26" s="240"/>
      <c r="N26" s="240"/>
      <c r="O26" s="240"/>
      <c r="P26" s="240"/>
      <c r="Q26" s="240"/>
      <c r="R26" s="240"/>
      <c r="S26" s="240"/>
      <c r="T26" s="240"/>
      <c r="U26" s="240"/>
      <c r="V26" s="240"/>
      <c r="W26" s="240"/>
      <c r="X26" s="240"/>
      <c r="Y26" s="240"/>
      <c r="Z26" s="240"/>
      <c r="AA26" s="240"/>
      <c r="AB26" s="240"/>
      <c r="AC26" s="240"/>
      <c r="AD26" s="69"/>
      <c r="AE26" s="69"/>
      <c r="AF26" s="69"/>
      <c r="AG26" s="106"/>
      <c r="AH26" s="106"/>
      <c r="AI26" s="106"/>
      <c r="AJ26" s="106"/>
      <c r="AK26" s="69"/>
      <c r="AL26" s="69"/>
      <c r="AM26" s="69"/>
      <c r="AN26" s="240"/>
      <c r="AO26" s="240"/>
      <c r="AP26" s="240"/>
      <c r="AQ26" s="240"/>
      <c r="AR26" s="240"/>
      <c r="AS26" s="240"/>
      <c r="AT26" s="240"/>
      <c r="AU26" s="240"/>
      <c r="AV26" s="240"/>
      <c r="AW26" s="240"/>
      <c r="AX26" s="240"/>
      <c r="AY26" s="240"/>
      <c r="AZ26" s="240"/>
      <c r="BA26" s="240"/>
      <c r="BB26" s="240"/>
      <c r="BC26" s="240"/>
      <c r="BD26" s="240"/>
      <c r="BE26" s="240"/>
      <c r="BF26" s="240"/>
      <c r="BG26" s="240"/>
      <c r="BH26" s="240"/>
      <c r="BI26" s="240"/>
      <c r="BJ26" s="240"/>
      <c r="BK26" s="240"/>
      <c r="BL26" s="69"/>
      <c r="BM26" s="69"/>
      <c r="BN26" s="69"/>
      <c r="BO26" s="69"/>
    </row>
    <row r="27" spans="1:67" s="66" customFormat="1" ht="15" customHeight="1" x14ac:dyDescent="0.25">
      <c r="A27" s="65"/>
      <c r="B27" s="240" t="str">
        <f>BattleRef!C42</f>
        <v/>
      </c>
      <c r="C27" s="240"/>
      <c r="D27" s="240"/>
      <c r="E27" s="240"/>
      <c r="F27" s="240"/>
      <c r="G27" s="240"/>
      <c r="H27" s="240"/>
      <c r="I27" s="240"/>
      <c r="J27" s="240"/>
      <c r="K27" s="240"/>
      <c r="L27" s="240"/>
      <c r="M27" s="240"/>
      <c r="N27" s="240"/>
      <c r="O27" s="240"/>
      <c r="P27" s="240"/>
      <c r="Q27" s="240"/>
      <c r="R27" s="240"/>
      <c r="S27" s="240"/>
      <c r="T27" s="240"/>
      <c r="U27" s="240"/>
      <c r="V27" s="240"/>
      <c r="W27" s="240"/>
      <c r="X27" s="240"/>
      <c r="Y27" s="240"/>
      <c r="Z27" s="240"/>
      <c r="AA27" s="240"/>
      <c r="AB27" s="240"/>
      <c r="AC27" s="240"/>
      <c r="AD27" s="240"/>
      <c r="AE27" s="240"/>
      <c r="AF27" s="240"/>
      <c r="AG27" s="106"/>
      <c r="AH27" s="106"/>
      <c r="AI27" s="106"/>
      <c r="AJ27" s="106"/>
      <c r="AK27" s="240" t="str">
        <f>BattleRef!E42</f>
        <v/>
      </c>
      <c r="AL27" s="240"/>
      <c r="AM27" s="240"/>
      <c r="AN27" s="240"/>
      <c r="AO27" s="240"/>
      <c r="AP27" s="240"/>
      <c r="AQ27" s="240"/>
      <c r="AR27" s="240"/>
      <c r="AS27" s="240"/>
      <c r="AT27" s="240"/>
      <c r="AU27" s="240"/>
      <c r="AV27" s="240"/>
      <c r="AW27" s="240"/>
      <c r="AX27" s="240"/>
      <c r="AY27" s="240"/>
      <c r="AZ27" s="240"/>
      <c r="BA27" s="240"/>
      <c r="BB27" s="240"/>
      <c r="BC27" s="240"/>
      <c r="BD27" s="240"/>
      <c r="BE27" s="240"/>
      <c r="BF27" s="240"/>
      <c r="BG27" s="240"/>
      <c r="BH27" s="240"/>
      <c r="BI27" s="240"/>
      <c r="BJ27" s="240"/>
      <c r="BK27" s="240"/>
      <c r="BL27" s="240"/>
      <c r="BM27" s="240"/>
      <c r="BN27" s="240"/>
      <c r="BO27" s="240"/>
    </row>
    <row r="28" spans="1:67" s="66" customFormat="1" ht="15" customHeight="1" x14ac:dyDescent="0.25">
      <c r="A28" s="65"/>
      <c r="B28" s="240"/>
      <c r="C28" s="240"/>
      <c r="D28" s="240"/>
      <c r="E28" s="240"/>
      <c r="F28" s="240"/>
      <c r="G28" s="240"/>
      <c r="H28" s="240"/>
      <c r="I28" s="240"/>
      <c r="J28" s="240"/>
      <c r="K28" s="240"/>
      <c r="L28" s="240"/>
      <c r="M28" s="240"/>
      <c r="N28" s="240"/>
      <c r="O28" s="240"/>
      <c r="P28" s="240"/>
      <c r="Q28" s="240"/>
      <c r="R28" s="240"/>
      <c r="S28" s="240"/>
      <c r="T28" s="240"/>
      <c r="U28" s="240"/>
      <c r="V28" s="240"/>
      <c r="W28" s="240"/>
      <c r="X28" s="240"/>
      <c r="Y28" s="240"/>
      <c r="Z28" s="240"/>
      <c r="AA28" s="240"/>
      <c r="AB28" s="240"/>
      <c r="AC28" s="240"/>
      <c r="AD28" s="240"/>
      <c r="AE28" s="240"/>
      <c r="AF28" s="240"/>
      <c r="AG28" s="106"/>
      <c r="AH28" s="106"/>
      <c r="AI28" s="106"/>
      <c r="AJ28" s="106"/>
      <c r="AK28" s="240"/>
      <c r="AL28" s="240"/>
      <c r="AM28" s="240"/>
      <c r="AN28" s="240"/>
      <c r="AO28" s="240"/>
      <c r="AP28" s="240"/>
      <c r="AQ28" s="240"/>
      <c r="AR28" s="240"/>
      <c r="AS28" s="240"/>
      <c r="AT28" s="240"/>
      <c r="AU28" s="240"/>
      <c r="AV28" s="240"/>
      <c r="AW28" s="240"/>
      <c r="AX28" s="240"/>
      <c r="AY28" s="240"/>
      <c r="AZ28" s="240"/>
      <c r="BA28" s="240"/>
      <c r="BB28" s="240"/>
      <c r="BC28" s="240"/>
      <c r="BD28" s="240"/>
      <c r="BE28" s="240"/>
      <c r="BF28" s="240"/>
      <c r="BG28" s="240"/>
      <c r="BH28" s="240"/>
      <c r="BI28" s="240"/>
      <c r="BJ28" s="240"/>
      <c r="BK28" s="240"/>
      <c r="BL28" s="240"/>
      <c r="BM28" s="240"/>
      <c r="BN28" s="240"/>
      <c r="BO28" s="240"/>
    </row>
    <row r="29" spans="1:67" s="66" customFormat="1" ht="15" customHeight="1" x14ac:dyDescent="0.25">
      <c r="A29" s="65"/>
      <c r="B29" s="240" t="str">
        <f>BattleRef!C43</f>
        <v/>
      </c>
      <c r="C29" s="240"/>
      <c r="D29" s="240"/>
      <c r="E29" s="240"/>
      <c r="F29" s="240"/>
      <c r="G29" s="240"/>
      <c r="H29" s="240"/>
      <c r="I29" s="240"/>
      <c r="J29" s="240"/>
      <c r="K29" s="240"/>
      <c r="L29" s="240"/>
      <c r="M29" s="240"/>
      <c r="N29" s="240"/>
      <c r="O29" s="240"/>
      <c r="P29" s="240"/>
      <c r="Q29" s="240"/>
      <c r="R29" s="240"/>
      <c r="S29" s="240"/>
      <c r="T29" s="240"/>
      <c r="U29" s="240"/>
      <c r="V29" s="240"/>
      <c r="W29" s="240"/>
      <c r="X29" s="240"/>
      <c r="Y29" s="240"/>
      <c r="Z29" s="240"/>
      <c r="AA29" s="240"/>
      <c r="AB29" s="240"/>
      <c r="AC29" s="240"/>
      <c r="AD29" s="240"/>
      <c r="AE29" s="240"/>
      <c r="AF29" s="240"/>
      <c r="AG29" s="106"/>
      <c r="AH29" s="106"/>
      <c r="AI29" s="106"/>
      <c r="AJ29" s="106"/>
      <c r="AK29" s="240" t="str">
        <f>BattleRef!E43</f>
        <v/>
      </c>
      <c r="AL29" s="240"/>
      <c r="AM29" s="240"/>
      <c r="AN29" s="240"/>
      <c r="AO29" s="240"/>
      <c r="AP29" s="240"/>
      <c r="AQ29" s="240"/>
      <c r="AR29" s="240"/>
      <c r="AS29" s="240"/>
      <c r="AT29" s="240"/>
      <c r="AU29" s="240"/>
      <c r="AV29" s="240"/>
      <c r="AW29" s="240"/>
      <c r="AX29" s="240"/>
      <c r="AY29" s="240"/>
      <c r="AZ29" s="240"/>
      <c r="BA29" s="240"/>
      <c r="BB29" s="240"/>
      <c r="BC29" s="240"/>
      <c r="BD29" s="240"/>
      <c r="BE29" s="240"/>
      <c r="BF29" s="240"/>
      <c r="BG29" s="240"/>
      <c r="BH29" s="240"/>
      <c r="BI29" s="240"/>
      <c r="BJ29" s="240"/>
      <c r="BK29" s="240"/>
      <c r="BL29" s="240"/>
      <c r="BM29" s="240"/>
      <c r="BN29" s="240"/>
      <c r="BO29" s="240"/>
    </row>
    <row r="30" spans="1:67" s="66" customFormat="1" ht="15" customHeight="1" x14ac:dyDescent="0.25">
      <c r="A30" s="65"/>
      <c r="B30" s="240"/>
      <c r="C30" s="240"/>
      <c r="D30" s="240"/>
      <c r="E30" s="240"/>
      <c r="F30" s="240"/>
      <c r="G30" s="240"/>
      <c r="H30" s="240"/>
      <c r="I30" s="240"/>
      <c r="J30" s="240"/>
      <c r="K30" s="240"/>
      <c r="L30" s="240"/>
      <c r="M30" s="240"/>
      <c r="N30" s="240"/>
      <c r="O30" s="240"/>
      <c r="P30" s="240"/>
      <c r="Q30" s="240"/>
      <c r="R30" s="240"/>
      <c r="S30" s="240"/>
      <c r="T30" s="240"/>
      <c r="U30" s="240"/>
      <c r="V30" s="240"/>
      <c r="W30" s="240"/>
      <c r="X30" s="240"/>
      <c r="Y30" s="240"/>
      <c r="Z30" s="240"/>
      <c r="AA30" s="240"/>
      <c r="AB30" s="240"/>
      <c r="AC30" s="240"/>
      <c r="AD30" s="240"/>
      <c r="AE30" s="240"/>
      <c r="AF30" s="240"/>
      <c r="AG30" s="106"/>
      <c r="AH30" s="106"/>
      <c r="AI30" s="106"/>
      <c r="AJ30" s="106"/>
      <c r="AK30" s="240"/>
      <c r="AL30" s="240"/>
      <c r="AM30" s="240"/>
      <c r="AN30" s="240"/>
      <c r="AO30" s="240"/>
      <c r="AP30" s="240"/>
      <c r="AQ30" s="240"/>
      <c r="AR30" s="240"/>
      <c r="AS30" s="240"/>
      <c r="AT30" s="240"/>
      <c r="AU30" s="240"/>
      <c r="AV30" s="240"/>
      <c r="AW30" s="240"/>
      <c r="AX30" s="240"/>
      <c r="AY30" s="240"/>
      <c r="AZ30" s="240"/>
      <c r="BA30" s="240"/>
      <c r="BB30" s="240"/>
      <c r="BC30" s="240"/>
      <c r="BD30" s="240"/>
      <c r="BE30" s="240"/>
      <c r="BF30" s="240"/>
      <c r="BG30" s="240"/>
      <c r="BH30" s="240"/>
      <c r="BI30" s="240"/>
      <c r="BJ30" s="240"/>
      <c r="BK30" s="240"/>
      <c r="BL30" s="240"/>
      <c r="BM30" s="240"/>
      <c r="BN30" s="240"/>
      <c r="BO30" s="240"/>
    </row>
    <row r="31" spans="1:67" s="66" customFormat="1" ht="15" customHeight="1" x14ac:dyDescent="0.25">
      <c r="A31" s="65"/>
      <c r="B31" s="240" t="str">
        <f>BattleRef!C44</f>
        <v/>
      </c>
      <c r="C31" s="240"/>
      <c r="D31" s="240"/>
      <c r="E31" s="240"/>
      <c r="F31" s="240"/>
      <c r="G31" s="240"/>
      <c r="H31" s="240"/>
      <c r="I31" s="240"/>
      <c r="J31" s="240"/>
      <c r="K31" s="240"/>
      <c r="L31" s="240"/>
      <c r="M31" s="240"/>
      <c r="N31" s="240"/>
      <c r="O31" s="240"/>
      <c r="P31" s="240"/>
      <c r="Q31" s="240"/>
      <c r="R31" s="240"/>
      <c r="S31" s="240"/>
      <c r="T31" s="240"/>
      <c r="U31" s="240"/>
      <c r="V31" s="240"/>
      <c r="W31" s="240"/>
      <c r="X31" s="240"/>
      <c r="Y31" s="240"/>
      <c r="Z31" s="240"/>
      <c r="AA31" s="240"/>
      <c r="AB31" s="240"/>
      <c r="AC31" s="240"/>
      <c r="AD31" s="240"/>
      <c r="AE31" s="240"/>
      <c r="AF31" s="240"/>
      <c r="AG31" s="106"/>
      <c r="AH31" s="106"/>
      <c r="AI31" s="106"/>
      <c r="AJ31" s="106"/>
      <c r="AK31" s="240" t="str">
        <f>BattleRef!E44</f>
        <v/>
      </c>
      <c r="AL31" s="240"/>
      <c r="AM31" s="240"/>
      <c r="AN31" s="240"/>
      <c r="AO31" s="240"/>
      <c r="AP31" s="240"/>
      <c r="AQ31" s="240"/>
      <c r="AR31" s="240"/>
      <c r="AS31" s="240"/>
      <c r="AT31" s="240"/>
      <c r="AU31" s="240"/>
      <c r="AV31" s="240"/>
      <c r="AW31" s="240"/>
      <c r="AX31" s="240"/>
      <c r="AY31" s="240"/>
      <c r="AZ31" s="240"/>
      <c r="BA31" s="240"/>
      <c r="BB31" s="240"/>
      <c r="BC31" s="240"/>
      <c r="BD31" s="240"/>
      <c r="BE31" s="240"/>
      <c r="BF31" s="240"/>
      <c r="BG31" s="240"/>
      <c r="BH31" s="240"/>
      <c r="BI31" s="240"/>
      <c r="BJ31" s="240"/>
      <c r="BK31" s="240"/>
      <c r="BL31" s="240"/>
      <c r="BM31" s="240"/>
      <c r="BN31" s="240"/>
      <c r="BO31" s="240"/>
    </row>
    <row r="32" spans="1:67" s="66" customFormat="1" ht="15" customHeight="1" x14ac:dyDescent="0.25">
      <c r="A32" s="65"/>
      <c r="B32" s="240"/>
      <c r="C32" s="240"/>
      <c r="D32" s="240"/>
      <c r="E32" s="240"/>
      <c r="F32" s="240"/>
      <c r="G32" s="240"/>
      <c r="H32" s="240"/>
      <c r="I32" s="240"/>
      <c r="J32" s="240"/>
      <c r="K32" s="240"/>
      <c r="L32" s="240"/>
      <c r="M32" s="240"/>
      <c r="N32" s="240"/>
      <c r="O32" s="240"/>
      <c r="P32" s="240"/>
      <c r="Q32" s="240"/>
      <c r="R32" s="240"/>
      <c r="S32" s="240"/>
      <c r="T32" s="240"/>
      <c r="U32" s="240"/>
      <c r="V32" s="240"/>
      <c r="W32" s="240"/>
      <c r="X32" s="240"/>
      <c r="Y32" s="240"/>
      <c r="Z32" s="240"/>
      <c r="AA32" s="240"/>
      <c r="AB32" s="240"/>
      <c r="AC32" s="240"/>
      <c r="AD32" s="240"/>
      <c r="AE32" s="240"/>
      <c r="AF32" s="240"/>
      <c r="AG32" s="106"/>
      <c r="AH32" s="106"/>
      <c r="AI32" s="106"/>
      <c r="AJ32" s="106"/>
      <c r="AK32" s="240"/>
      <c r="AL32" s="240"/>
      <c r="AM32" s="240"/>
      <c r="AN32" s="240"/>
      <c r="AO32" s="240"/>
      <c r="AP32" s="240"/>
      <c r="AQ32" s="240"/>
      <c r="AR32" s="240"/>
      <c r="AS32" s="240"/>
      <c r="AT32" s="240"/>
      <c r="AU32" s="240"/>
      <c r="AV32" s="240"/>
      <c r="AW32" s="240"/>
      <c r="AX32" s="240"/>
      <c r="AY32" s="240"/>
      <c r="AZ32" s="240"/>
      <c r="BA32" s="240"/>
      <c r="BB32" s="240"/>
      <c r="BC32" s="240"/>
      <c r="BD32" s="240"/>
      <c r="BE32" s="240"/>
      <c r="BF32" s="240"/>
      <c r="BG32" s="240"/>
      <c r="BH32" s="240"/>
      <c r="BI32" s="240"/>
      <c r="BJ32" s="240"/>
      <c r="BK32" s="240"/>
      <c r="BL32" s="240"/>
      <c r="BM32" s="240"/>
      <c r="BN32" s="240"/>
      <c r="BO32" s="240"/>
    </row>
    <row r="33" spans="1:68" s="66" customFormat="1" ht="15" customHeight="1" x14ac:dyDescent="0.25">
      <c r="A33" s="65"/>
      <c r="B33" s="240" t="str">
        <f>BattleRef!C45</f>
        <v/>
      </c>
      <c r="C33" s="240"/>
      <c r="D33" s="240"/>
      <c r="E33" s="240"/>
      <c r="F33" s="240"/>
      <c r="G33" s="240"/>
      <c r="H33" s="240"/>
      <c r="I33" s="240"/>
      <c r="J33" s="240"/>
      <c r="K33" s="240"/>
      <c r="L33" s="240"/>
      <c r="M33" s="240"/>
      <c r="N33" s="240"/>
      <c r="O33" s="240"/>
      <c r="P33" s="240"/>
      <c r="Q33" s="240"/>
      <c r="R33" s="240"/>
      <c r="S33" s="240"/>
      <c r="T33" s="240"/>
      <c r="U33" s="240"/>
      <c r="V33" s="240"/>
      <c r="W33" s="240"/>
      <c r="X33" s="240"/>
      <c r="Y33" s="240"/>
      <c r="Z33" s="240"/>
      <c r="AA33" s="240"/>
      <c r="AB33" s="240"/>
      <c r="AC33" s="240"/>
      <c r="AD33" s="240"/>
      <c r="AE33" s="240"/>
      <c r="AF33" s="240"/>
      <c r="AG33" s="105"/>
      <c r="AH33" s="105"/>
      <c r="AI33" s="105"/>
      <c r="AJ33" s="105"/>
      <c r="AK33" s="240" t="str">
        <f>BattleRef!E45</f>
        <v/>
      </c>
      <c r="AL33" s="240"/>
      <c r="AM33" s="240"/>
      <c r="AN33" s="240"/>
      <c r="AO33" s="240"/>
      <c r="AP33" s="240"/>
      <c r="AQ33" s="240"/>
      <c r="AR33" s="240"/>
      <c r="AS33" s="240"/>
      <c r="AT33" s="240"/>
      <c r="AU33" s="240"/>
      <c r="AV33" s="240"/>
      <c r="AW33" s="240"/>
      <c r="AX33" s="240"/>
      <c r="AY33" s="240"/>
      <c r="AZ33" s="240"/>
      <c r="BA33" s="240"/>
      <c r="BB33" s="240"/>
      <c r="BC33" s="240"/>
      <c r="BD33" s="240"/>
      <c r="BE33" s="240"/>
      <c r="BF33" s="240"/>
      <c r="BG33" s="240"/>
      <c r="BH33" s="240"/>
      <c r="BI33" s="240"/>
      <c r="BJ33" s="240"/>
      <c r="BK33" s="240"/>
      <c r="BL33" s="240"/>
      <c r="BM33" s="240"/>
      <c r="BN33" s="240"/>
      <c r="BO33" s="240"/>
    </row>
    <row r="34" spans="1:68" s="66" customFormat="1" ht="15" customHeight="1" x14ac:dyDescent="0.25">
      <c r="A34" s="65"/>
      <c r="B34" s="240"/>
      <c r="C34" s="240"/>
      <c r="D34" s="240"/>
      <c r="E34" s="240"/>
      <c r="F34" s="240"/>
      <c r="G34" s="240"/>
      <c r="H34" s="240"/>
      <c r="I34" s="240"/>
      <c r="J34" s="240"/>
      <c r="K34" s="240"/>
      <c r="L34" s="240"/>
      <c r="M34" s="240"/>
      <c r="N34" s="240"/>
      <c r="O34" s="240"/>
      <c r="P34" s="240"/>
      <c r="Q34" s="240"/>
      <c r="R34" s="240"/>
      <c r="S34" s="240"/>
      <c r="T34" s="240"/>
      <c r="U34" s="240"/>
      <c r="V34" s="240"/>
      <c r="W34" s="240"/>
      <c r="X34" s="240"/>
      <c r="Y34" s="240"/>
      <c r="Z34" s="240"/>
      <c r="AA34" s="240"/>
      <c r="AB34" s="240"/>
      <c r="AC34" s="240"/>
      <c r="AD34" s="240"/>
      <c r="AE34" s="240"/>
      <c r="AF34" s="240"/>
      <c r="AG34" s="105"/>
      <c r="AH34" s="105"/>
      <c r="AI34" s="105"/>
      <c r="AJ34" s="105"/>
      <c r="AK34" s="240"/>
      <c r="AL34" s="240"/>
      <c r="AM34" s="240"/>
      <c r="AN34" s="240"/>
      <c r="AO34" s="240"/>
      <c r="AP34" s="240"/>
      <c r="AQ34" s="240"/>
      <c r="AR34" s="240"/>
      <c r="AS34" s="240"/>
      <c r="AT34" s="240"/>
      <c r="AU34" s="240"/>
      <c r="AV34" s="240"/>
      <c r="AW34" s="240"/>
      <c r="AX34" s="240"/>
      <c r="AY34" s="240"/>
      <c r="AZ34" s="240"/>
      <c r="BA34" s="240"/>
      <c r="BB34" s="240"/>
      <c r="BC34" s="240"/>
      <c r="BD34" s="240"/>
      <c r="BE34" s="240"/>
      <c r="BF34" s="240"/>
      <c r="BG34" s="240"/>
      <c r="BH34" s="240"/>
      <c r="BI34" s="240"/>
      <c r="BJ34" s="240"/>
      <c r="BK34" s="240"/>
      <c r="BL34" s="240"/>
      <c r="BM34" s="240"/>
      <c r="BN34" s="240"/>
      <c r="BO34" s="240"/>
    </row>
    <row r="35" spans="1:68" ht="15" customHeight="1" x14ac:dyDescent="0.25">
      <c r="A35" s="65"/>
      <c r="B35" s="240" t="str">
        <f>BattleRef!C46</f>
        <v/>
      </c>
      <c r="C35" s="240"/>
      <c r="D35" s="240"/>
      <c r="E35" s="240"/>
      <c r="F35" s="240"/>
      <c r="G35" s="240"/>
      <c r="H35" s="240"/>
      <c r="I35" s="240"/>
      <c r="J35" s="240"/>
      <c r="K35" s="240"/>
      <c r="L35" s="240"/>
      <c r="M35" s="240"/>
      <c r="N35" s="240"/>
      <c r="O35" s="240"/>
      <c r="P35" s="240"/>
      <c r="Q35" s="240"/>
      <c r="R35" s="240"/>
      <c r="S35" s="240"/>
      <c r="T35" s="240"/>
      <c r="U35" s="240"/>
      <c r="V35" s="240"/>
      <c r="W35" s="240"/>
      <c r="X35" s="240"/>
      <c r="Y35" s="240"/>
      <c r="Z35" s="240"/>
      <c r="AA35" s="240"/>
      <c r="AB35" s="240"/>
      <c r="AC35" s="240"/>
      <c r="AD35" s="240"/>
      <c r="AE35" s="240"/>
      <c r="AF35" s="240"/>
      <c r="AG35" s="105"/>
      <c r="AH35" s="105"/>
      <c r="AI35" s="105"/>
      <c r="AJ35" s="105"/>
      <c r="AK35" s="240" t="str">
        <f>BattleRef!E46</f>
        <v/>
      </c>
      <c r="AL35" s="240"/>
      <c r="AM35" s="240"/>
      <c r="AN35" s="240"/>
      <c r="AO35" s="240"/>
      <c r="AP35" s="240"/>
      <c r="AQ35" s="240"/>
      <c r="AR35" s="240"/>
      <c r="AS35" s="240"/>
      <c r="AT35" s="240"/>
      <c r="AU35" s="240"/>
      <c r="AV35" s="240"/>
      <c r="AW35" s="240"/>
      <c r="AX35" s="240"/>
      <c r="AY35" s="240"/>
      <c r="AZ35" s="240"/>
      <c r="BA35" s="240"/>
      <c r="BB35" s="240"/>
      <c r="BC35" s="240"/>
      <c r="BD35" s="240"/>
      <c r="BE35" s="240"/>
      <c r="BF35" s="240"/>
      <c r="BG35" s="240"/>
      <c r="BH35" s="240"/>
      <c r="BI35" s="240"/>
      <c r="BJ35" s="240"/>
      <c r="BK35" s="240"/>
      <c r="BL35" s="240"/>
      <c r="BM35" s="240"/>
      <c r="BN35" s="240"/>
      <c r="BO35" s="240"/>
      <c r="BP35" s="66"/>
    </row>
    <row r="36" spans="1:68" ht="15" customHeight="1" x14ac:dyDescent="0.25">
      <c r="B36" s="240"/>
      <c r="C36" s="240"/>
      <c r="D36" s="240"/>
      <c r="E36" s="240"/>
      <c r="F36" s="240"/>
      <c r="G36" s="240"/>
      <c r="H36" s="240"/>
      <c r="I36" s="240"/>
      <c r="J36" s="240"/>
      <c r="K36" s="240"/>
      <c r="L36" s="240"/>
      <c r="M36" s="240"/>
      <c r="N36" s="240"/>
      <c r="O36" s="240"/>
      <c r="P36" s="240"/>
      <c r="Q36" s="240"/>
      <c r="R36" s="240"/>
      <c r="S36" s="240"/>
      <c r="T36" s="240"/>
      <c r="U36" s="240"/>
      <c r="V36" s="240"/>
      <c r="W36" s="240"/>
      <c r="X36" s="240"/>
      <c r="Y36" s="240"/>
      <c r="Z36" s="240"/>
      <c r="AA36" s="240"/>
      <c r="AB36" s="240"/>
      <c r="AC36" s="240"/>
      <c r="AD36" s="240"/>
      <c r="AE36" s="240"/>
      <c r="AF36" s="240"/>
      <c r="AG36" s="84"/>
      <c r="AH36" s="84"/>
      <c r="AI36" s="84"/>
      <c r="AJ36" s="57"/>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40"/>
      <c r="BH36" s="240"/>
      <c r="BI36" s="240"/>
      <c r="BJ36" s="240"/>
      <c r="BK36" s="240"/>
      <c r="BL36" s="240"/>
      <c r="BM36" s="240"/>
      <c r="BN36" s="240"/>
      <c r="BO36" s="240"/>
    </row>
    <row r="37" spans="1:68" ht="15" customHeight="1" x14ac:dyDescent="0.25">
      <c r="B37" s="240" t="str">
        <f>BattleRef!C47</f>
        <v/>
      </c>
      <c r="C37" s="240"/>
      <c r="D37" s="240"/>
      <c r="E37" s="240"/>
      <c r="F37" s="240"/>
      <c r="G37" s="240"/>
      <c r="H37" s="240"/>
      <c r="I37" s="240"/>
      <c r="J37" s="240"/>
      <c r="K37" s="240"/>
      <c r="L37" s="240"/>
      <c r="M37" s="240"/>
      <c r="N37" s="240"/>
      <c r="O37" s="240"/>
      <c r="P37" s="240"/>
      <c r="Q37" s="240"/>
      <c r="R37" s="240"/>
      <c r="S37" s="240"/>
      <c r="T37" s="240"/>
      <c r="U37" s="240"/>
      <c r="V37" s="240"/>
      <c r="W37" s="240"/>
      <c r="X37" s="240"/>
      <c r="Y37" s="240"/>
      <c r="Z37" s="240"/>
      <c r="AA37" s="240"/>
      <c r="AB37" s="240"/>
      <c r="AC37" s="240"/>
      <c r="AD37" s="240"/>
      <c r="AE37" s="240"/>
      <c r="AF37" s="240"/>
      <c r="AG37" s="84"/>
      <c r="AH37" s="84"/>
      <c r="AI37" s="84"/>
      <c r="AJ37" s="57"/>
      <c r="AK37" s="240" t="str">
        <f>BattleRef!E47</f>
        <v/>
      </c>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40"/>
      <c r="BH37" s="240"/>
      <c r="BI37" s="240"/>
      <c r="BJ37" s="240"/>
      <c r="BK37" s="240"/>
      <c r="BL37" s="240"/>
      <c r="BM37" s="240"/>
      <c r="BN37" s="240"/>
      <c r="BO37" s="240"/>
    </row>
    <row r="38" spans="1:68" ht="15" customHeight="1" x14ac:dyDescent="0.25">
      <c r="B38" s="240"/>
      <c r="C38" s="240"/>
      <c r="D38" s="240"/>
      <c r="E38" s="240"/>
      <c r="F38" s="240"/>
      <c r="G38" s="240"/>
      <c r="H38" s="240"/>
      <c r="I38" s="240"/>
      <c r="J38" s="240"/>
      <c r="K38" s="240"/>
      <c r="L38" s="240"/>
      <c r="M38" s="240"/>
      <c r="N38" s="240"/>
      <c r="O38" s="240"/>
      <c r="P38" s="240"/>
      <c r="Q38" s="240"/>
      <c r="R38" s="240"/>
      <c r="S38" s="240"/>
      <c r="T38" s="240"/>
      <c r="U38" s="240"/>
      <c r="V38" s="240"/>
      <c r="W38" s="240"/>
      <c r="X38" s="240"/>
      <c r="Y38" s="240"/>
      <c r="Z38" s="240"/>
      <c r="AA38" s="240"/>
      <c r="AB38" s="240"/>
      <c r="AC38" s="240"/>
      <c r="AD38" s="240"/>
      <c r="AE38" s="240"/>
      <c r="AF38" s="240"/>
      <c r="AG38" s="84"/>
      <c r="AH38" s="84"/>
      <c r="AI38" s="84"/>
      <c r="AJ38" s="57"/>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40"/>
      <c r="BH38" s="240"/>
      <c r="BI38" s="240"/>
      <c r="BJ38" s="240"/>
      <c r="BK38" s="240"/>
      <c r="BL38" s="240"/>
      <c r="BM38" s="240"/>
      <c r="BN38" s="240"/>
      <c r="BO38" s="240"/>
    </row>
    <row r="39" spans="1:68" ht="15" customHeight="1" x14ac:dyDescent="0.25">
      <c r="B39" s="240" t="str">
        <f>BattleRef!C48</f>
        <v/>
      </c>
      <c r="C39" s="240"/>
      <c r="D39" s="240"/>
      <c r="E39" s="240"/>
      <c r="F39" s="240"/>
      <c r="G39" s="240"/>
      <c r="H39" s="240"/>
      <c r="I39" s="240"/>
      <c r="J39" s="240"/>
      <c r="K39" s="240"/>
      <c r="L39" s="240"/>
      <c r="M39" s="240"/>
      <c r="N39" s="240"/>
      <c r="O39" s="240"/>
      <c r="P39" s="240"/>
      <c r="Q39" s="240"/>
      <c r="R39" s="240"/>
      <c r="S39" s="240"/>
      <c r="T39" s="240"/>
      <c r="U39" s="240"/>
      <c r="V39" s="240"/>
      <c r="W39" s="240"/>
      <c r="X39" s="240"/>
      <c r="Y39" s="240"/>
      <c r="Z39" s="240"/>
      <c r="AA39" s="240"/>
      <c r="AB39" s="240"/>
      <c r="AC39" s="240"/>
      <c r="AD39" s="240"/>
      <c r="AE39" s="240"/>
      <c r="AF39" s="240"/>
      <c r="AG39" s="84"/>
      <c r="AH39" s="84"/>
      <c r="AI39" s="84"/>
      <c r="AJ39" s="57"/>
      <c r="AK39" s="240" t="str">
        <f>BattleRef!E48</f>
        <v/>
      </c>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40"/>
      <c r="BH39" s="240"/>
      <c r="BI39" s="240"/>
      <c r="BJ39" s="240"/>
      <c r="BK39" s="240"/>
      <c r="BL39" s="240"/>
      <c r="BM39" s="240"/>
      <c r="BN39" s="240"/>
      <c r="BO39" s="240"/>
    </row>
    <row r="40" spans="1:68" ht="15" customHeight="1" x14ac:dyDescent="0.25">
      <c r="B40" s="240"/>
      <c r="C40" s="240"/>
      <c r="D40" s="240"/>
      <c r="E40" s="240"/>
      <c r="F40" s="240"/>
      <c r="G40" s="240"/>
      <c r="H40" s="240"/>
      <c r="I40" s="240"/>
      <c r="J40" s="240"/>
      <c r="K40" s="240"/>
      <c r="L40" s="240"/>
      <c r="M40" s="240"/>
      <c r="N40" s="240"/>
      <c r="O40" s="240"/>
      <c r="P40" s="240"/>
      <c r="Q40" s="240"/>
      <c r="R40" s="240"/>
      <c r="S40" s="240"/>
      <c r="T40" s="240"/>
      <c r="U40" s="240"/>
      <c r="V40" s="240"/>
      <c r="W40" s="240"/>
      <c r="X40" s="240"/>
      <c r="Y40" s="240"/>
      <c r="Z40" s="240"/>
      <c r="AA40" s="240"/>
      <c r="AB40" s="240"/>
      <c r="AC40" s="240"/>
      <c r="AD40" s="240"/>
      <c r="AE40" s="240"/>
      <c r="AF40" s="240"/>
      <c r="AG40" s="84"/>
      <c r="AH40" s="84"/>
      <c r="AI40" s="84"/>
      <c r="AJ40" s="57"/>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40"/>
      <c r="BH40" s="240"/>
      <c r="BI40" s="240"/>
      <c r="BJ40" s="240"/>
      <c r="BK40" s="240"/>
      <c r="BL40" s="240"/>
      <c r="BM40" s="240"/>
      <c r="BN40" s="240"/>
      <c r="BO40" s="240"/>
    </row>
    <row r="41" spans="1:68" ht="15" customHeight="1" x14ac:dyDescent="0.25">
      <c r="B41" s="240" t="str">
        <f>BattleRef!C49</f>
        <v/>
      </c>
      <c r="C41" s="240"/>
      <c r="D41" s="240"/>
      <c r="E41" s="240"/>
      <c r="F41" s="240"/>
      <c r="G41" s="240"/>
      <c r="H41" s="240"/>
      <c r="I41" s="240"/>
      <c r="J41" s="240"/>
      <c r="K41" s="240"/>
      <c r="L41" s="240"/>
      <c r="M41" s="240"/>
      <c r="N41" s="240"/>
      <c r="O41" s="240"/>
      <c r="P41" s="240"/>
      <c r="Q41" s="240"/>
      <c r="R41" s="240"/>
      <c r="S41" s="240"/>
      <c r="T41" s="240"/>
      <c r="U41" s="240"/>
      <c r="V41" s="240"/>
      <c r="W41" s="240"/>
      <c r="X41" s="240"/>
      <c r="Y41" s="240"/>
      <c r="Z41" s="240"/>
      <c r="AA41" s="240"/>
      <c r="AB41" s="240"/>
      <c r="AC41" s="240"/>
      <c r="AD41" s="240"/>
      <c r="AE41" s="240"/>
      <c r="AF41" s="240"/>
      <c r="AG41" s="85"/>
      <c r="AH41" s="85"/>
      <c r="AI41" s="85"/>
      <c r="AJ41" s="53"/>
      <c r="AK41" s="240" t="str">
        <f>BattleRef!E49</f>
        <v/>
      </c>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40"/>
      <c r="BH41" s="240"/>
      <c r="BI41" s="240"/>
      <c r="BJ41" s="240"/>
      <c r="BK41" s="240"/>
      <c r="BL41" s="240"/>
      <c r="BM41" s="240"/>
      <c r="BN41" s="240"/>
      <c r="BO41" s="240"/>
    </row>
    <row r="42" spans="1:68" ht="15" customHeight="1" x14ac:dyDescent="0.25">
      <c r="B42" s="240"/>
      <c r="C42" s="240"/>
      <c r="D42" s="240"/>
      <c r="E42" s="240"/>
      <c r="F42" s="240"/>
      <c r="G42" s="240"/>
      <c r="H42" s="240"/>
      <c r="I42" s="240"/>
      <c r="J42" s="240"/>
      <c r="K42" s="240"/>
      <c r="L42" s="240"/>
      <c r="M42" s="240"/>
      <c r="N42" s="240"/>
      <c r="O42" s="240"/>
      <c r="P42" s="240"/>
      <c r="Q42" s="240"/>
      <c r="R42" s="240"/>
      <c r="S42" s="240"/>
      <c r="T42" s="240"/>
      <c r="U42" s="240"/>
      <c r="V42" s="240"/>
      <c r="W42" s="240"/>
      <c r="X42" s="240"/>
      <c r="Y42" s="240"/>
      <c r="Z42" s="240"/>
      <c r="AA42" s="240"/>
      <c r="AB42" s="240"/>
      <c r="AC42" s="240"/>
      <c r="AD42" s="240"/>
      <c r="AE42" s="240"/>
      <c r="AF42" s="240"/>
      <c r="AG42" s="53"/>
      <c r="AH42" s="53"/>
      <c r="AI42" s="53"/>
      <c r="AJ42" s="53"/>
      <c r="AK42" s="240"/>
      <c r="AL42" s="240"/>
      <c r="AM42" s="240"/>
      <c r="AN42" s="240"/>
      <c r="AO42" s="240"/>
      <c r="AP42" s="240"/>
      <c r="AQ42" s="240"/>
      <c r="AR42" s="240"/>
      <c r="AS42" s="240"/>
      <c r="AT42" s="240"/>
      <c r="AU42" s="240"/>
      <c r="AV42" s="240"/>
      <c r="AW42" s="240"/>
      <c r="AX42" s="240"/>
      <c r="AY42" s="240"/>
      <c r="AZ42" s="240"/>
      <c r="BA42" s="240"/>
      <c r="BB42" s="240"/>
      <c r="BC42" s="240"/>
      <c r="BD42" s="240"/>
      <c r="BE42" s="240"/>
      <c r="BF42" s="240"/>
      <c r="BG42" s="240"/>
      <c r="BH42" s="240"/>
      <c r="BI42" s="240"/>
      <c r="BJ42" s="240"/>
      <c r="BK42" s="240"/>
      <c r="BL42" s="240"/>
      <c r="BM42" s="240"/>
      <c r="BN42" s="240"/>
      <c r="BO42" s="240"/>
    </row>
    <row r="43" spans="1:68" s="54" customFormat="1" ht="15" customHeight="1" x14ac:dyDescent="0.25">
      <c r="A43" s="51"/>
      <c r="B43" s="69"/>
      <c r="C43" s="69"/>
      <c r="D43" s="69"/>
      <c r="E43" s="69"/>
      <c r="F43" s="69"/>
      <c r="G43" s="69"/>
      <c r="H43" s="69"/>
      <c r="I43" s="69"/>
      <c r="J43" s="69"/>
      <c r="K43" s="69"/>
      <c r="L43" s="69"/>
      <c r="M43" s="250" t="str">
        <f>IF(COUNTIF(Setup!AC19:AD19,Setup!AC23)=1,"Confirm",IF(LEFT(Setup!AC23,3)="PL2","Loser","Winner"))</f>
        <v>Winner</v>
      </c>
      <c r="N43" s="250"/>
      <c r="O43" s="250"/>
      <c r="P43" s="250"/>
      <c r="Q43" s="250"/>
      <c r="R43" s="250"/>
      <c r="S43" s="250"/>
      <c r="T43" s="250"/>
      <c r="U43" s="250"/>
      <c r="V43" s="69"/>
      <c r="W43" s="69"/>
      <c r="X43" s="69"/>
      <c r="Y43" s="69"/>
      <c r="Z43" s="69"/>
      <c r="AA43" s="69"/>
      <c r="AB43" s="69"/>
      <c r="AC43" s="69"/>
      <c r="AD43" s="249" t="str">
        <f>IF(AV43="Confirm","Comment",IF(M43="Confirm","Comment",IF(Drop!D4="DefenseDropOk",IF(Setup!AC35="DefenseDropConfirm","Confirm Drop","Defense Drop"),"")))</f>
        <v/>
      </c>
      <c r="AE43" s="249"/>
      <c r="AF43" s="249"/>
      <c r="AG43" s="249"/>
      <c r="AH43" s="249"/>
      <c r="AI43" s="249"/>
      <c r="AJ43" s="249"/>
      <c r="AK43" s="249"/>
      <c r="AL43" s="249"/>
      <c r="AM43" s="249"/>
      <c r="AN43" s="69"/>
      <c r="AO43" s="69"/>
      <c r="AP43" s="69"/>
      <c r="AQ43" s="69"/>
      <c r="AR43" s="69"/>
      <c r="AS43" s="69"/>
      <c r="AT43" s="69"/>
      <c r="AU43" s="69"/>
      <c r="AV43" s="251" t="str">
        <f>IF(COUNTIF(Setup!AC20:AD20,Setup!AC23)=1,"Confirm",IF(LEFT(Setup!AC23,3)="PL1","Loser","Winner"))</f>
        <v>Winner</v>
      </c>
      <c r="AW43" s="251"/>
      <c r="AX43" s="251"/>
      <c r="AY43" s="251"/>
      <c r="AZ43" s="251"/>
      <c r="BA43" s="251"/>
      <c r="BB43" s="251"/>
      <c r="BC43" s="251"/>
      <c r="BD43" s="251"/>
      <c r="BE43" s="69"/>
      <c r="BF43" s="69"/>
      <c r="BG43" s="69"/>
      <c r="BH43" s="69"/>
      <c r="BI43" s="69"/>
      <c r="BJ43" s="69"/>
      <c r="BK43" s="69"/>
      <c r="BL43" s="69"/>
      <c r="BM43" s="69"/>
      <c r="BN43" s="69"/>
      <c r="BO43" s="69"/>
      <c r="BP43" s="51"/>
    </row>
    <row r="44" spans="1:68" s="54" customFormat="1" ht="15" customHeight="1" x14ac:dyDescent="0.25">
      <c r="B44" s="69"/>
      <c r="C44" s="69"/>
      <c r="D44" s="69"/>
      <c r="E44" s="69"/>
      <c r="F44" s="69"/>
      <c r="G44" s="69"/>
      <c r="H44" s="69"/>
      <c r="I44" s="69"/>
      <c r="J44" s="69"/>
      <c r="K44" s="69"/>
      <c r="L44" s="69"/>
      <c r="M44" s="250"/>
      <c r="N44" s="250"/>
      <c r="O44" s="250"/>
      <c r="P44" s="250"/>
      <c r="Q44" s="250"/>
      <c r="R44" s="250"/>
      <c r="S44" s="250"/>
      <c r="T44" s="250"/>
      <c r="U44" s="250"/>
      <c r="V44" s="69"/>
      <c r="W44" s="69"/>
      <c r="X44" s="69"/>
      <c r="Y44" s="69"/>
      <c r="Z44" s="69"/>
      <c r="AA44" s="69"/>
      <c r="AB44" s="69"/>
      <c r="AC44" s="69"/>
      <c r="AD44" s="248"/>
      <c r="AE44" s="248"/>
      <c r="AF44" s="248"/>
      <c r="AG44" s="248"/>
      <c r="AH44" s="248"/>
      <c r="AI44" s="248"/>
      <c r="AJ44" s="248"/>
      <c r="AK44" s="248"/>
      <c r="AL44" s="248"/>
      <c r="AM44" s="248"/>
      <c r="AN44" s="69"/>
      <c r="AO44" s="69"/>
      <c r="AP44" s="69"/>
      <c r="AQ44" s="69"/>
      <c r="AR44" s="69"/>
      <c r="AS44" s="69"/>
      <c r="AT44" s="69"/>
      <c r="AU44" s="69"/>
      <c r="AV44" s="251"/>
      <c r="AW44" s="251"/>
      <c r="AX44" s="251"/>
      <c r="AY44" s="251"/>
      <c r="AZ44" s="251"/>
      <c r="BA44" s="251"/>
      <c r="BB44" s="251"/>
      <c r="BC44" s="251"/>
      <c r="BD44" s="251"/>
      <c r="BE44" s="69"/>
      <c r="BF44" s="69"/>
      <c r="BG44" s="69"/>
      <c r="BH44" s="69"/>
      <c r="BI44" s="69"/>
      <c r="BJ44" s="69"/>
      <c r="BK44" s="69"/>
      <c r="BL44" s="69"/>
      <c r="BM44" s="69"/>
      <c r="BN44" s="69"/>
      <c r="BO44" s="69"/>
    </row>
    <row r="45" spans="1:68" ht="15" customHeight="1" x14ac:dyDescent="0.25">
      <c r="A45" s="54"/>
      <c r="B45" s="54"/>
      <c r="C45" s="54"/>
      <c r="D45" s="54"/>
      <c r="E45" s="54"/>
      <c r="F45" s="55"/>
      <c r="G45" s="55"/>
      <c r="H45" s="55"/>
      <c r="I45" s="55"/>
      <c r="J45" s="55"/>
      <c r="K45" s="55"/>
      <c r="L45" s="55"/>
      <c r="M45" s="250"/>
      <c r="N45" s="250"/>
      <c r="O45" s="250"/>
      <c r="P45" s="250"/>
      <c r="Q45" s="250"/>
      <c r="R45" s="250"/>
      <c r="S45" s="250"/>
      <c r="T45" s="250"/>
      <c r="U45" s="250"/>
      <c r="V45" s="55"/>
      <c r="W45" s="55"/>
      <c r="X45" s="55"/>
      <c r="Y45" s="55"/>
      <c r="Z45" s="55"/>
      <c r="AA45" s="55"/>
      <c r="AB45" s="55"/>
      <c r="AC45" s="55"/>
      <c r="AD45" s="248"/>
      <c r="AE45" s="248"/>
      <c r="AF45" s="248"/>
      <c r="AG45" s="248"/>
      <c r="AH45" s="248"/>
      <c r="AI45" s="248"/>
      <c r="AJ45" s="248"/>
      <c r="AK45" s="248"/>
      <c r="AL45" s="248"/>
      <c r="AM45" s="248"/>
      <c r="AN45" s="56"/>
      <c r="AO45" s="56"/>
      <c r="AP45" s="56"/>
      <c r="AQ45" s="56"/>
      <c r="AR45" s="56"/>
      <c r="AS45" s="56"/>
      <c r="AT45" s="56"/>
      <c r="AU45" s="56"/>
      <c r="AV45" s="251"/>
      <c r="AW45" s="251"/>
      <c r="AX45" s="251"/>
      <c r="AY45" s="251"/>
      <c r="AZ45" s="251"/>
      <c r="BA45" s="251"/>
      <c r="BB45" s="251"/>
      <c r="BC45" s="251"/>
      <c r="BD45" s="251"/>
      <c r="BE45" s="56"/>
      <c r="BF45" s="56"/>
      <c r="BG45" s="56"/>
      <c r="BH45" s="56"/>
      <c r="BI45" s="56"/>
      <c r="BJ45" s="56"/>
      <c r="BK45" s="56"/>
      <c r="BL45" s="54"/>
      <c r="BM45" s="54"/>
      <c r="BN45" s="54"/>
      <c r="BO45" s="54"/>
      <c r="BP45" s="54"/>
    </row>
    <row r="46" spans="1:68" s="113" customFormat="1" ht="15" customHeight="1" x14ac:dyDescent="0.25">
      <c r="A46" s="51"/>
      <c r="B46" s="51"/>
      <c r="C46" s="51"/>
      <c r="D46" s="51"/>
      <c r="E46" s="51"/>
      <c r="F46" s="51"/>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86"/>
      <c r="AI46" s="86"/>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row>
    <row r="47" spans="1:68" s="113" customFormat="1" ht="15" customHeight="1" x14ac:dyDescent="0.25">
      <c r="AH47" s="114"/>
      <c r="AI47" s="114"/>
    </row>
    <row r="48" spans="1:68" s="113" customFormat="1" ht="15" customHeight="1" x14ac:dyDescent="0.25">
      <c r="AD48" s="247" t="str">
        <f>IF(A57="AttackCancelConfirm","Confirm Cancel","Attack Cancel")</f>
        <v>Attack Cancel</v>
      </c>
      <c r="AE48" s="247"/>
      <c r="AF48" s="247"/>
      <c r="AG48" s="247"/>
      <c r="AH48" s="247"/>
      <c r="AI48" s="247"/>
      <c r="AJ48" s="247"/>
      <c r="AK48" s="247"/>
      <c r="AL48" s="247"/>
      <c r="AM48" s="247"/>
    </row>
    <row r="49" spans="1:39" s="113" customFormat="1" ht="15" customHeight="1" x14ac:dyDescent="0.25">
      <c r="AD49" s="247"/>
      <c r="AE49" s="247"/>
      <c r="AF49" s="247"/>
      <c r="AG49" s="247"/>
      <c r="AH49" s="247"/>
      <c r="AI49" s="247"/>
      <c r="AJ49" s="247"/>
      <c r="AK49" s="247"/>
      <c r="AL49" s="247"/>
      <c r="AM49" s="247"/>
    </row>
    <row r="50" spans="1:39" s="113" customFormat="1" ht="15" customHeight="1" x14ac:dyDescent="0.25">
      <c r="AD50" s="247"/>
      <c r="AE50" s="247"/>
      <c r="AF50" s="247"/>
      <c r="AG50" s="247"/>
      <c r="AH50" s="247"/>
      <c r="AI50" s="247"/>
      <c r="AJ50" s="247"/>
      <c r="AK50" s="247"/>
      <c r="AL50" s="247"/>
      <c r="AM50" s="247"/>
    </row>
    <row r="51" spans="1:39" s="113" customFormat="1" ht="15" customHeight="1" x14ac:dyDescent="0.25"/>
    <row r="52" spans="1:39" s="113" customFormat="1" ht="15" customHeight="1" x14ac:dyDescent="0.25"/>
    <row r="53" spans="1:39" s="113" customFormat="1" ht="15" customHeight="1" x14ac:dyDescent="0.25">
      <c r="F53" s="115"/>
      <c r="G53" s="116"/>
    </row>
    <row r="54" spans="1:39" s="113" customFormat="1" ht="15" customHeight="1" x14ac:dyDescent="0.25">
      <c r="F54" s="115"/>
      <c r="G54" s="116"/>
    </row>
    <row r="55" spans="1:39" s="113" customFormat="1" ht="15" hidden="1" customHeight="1" x14ac:dyDescent="0.25">
      <c r="A55" s="113" t="str">
        <f>IF(Setup!AC23="","Playing","Confirm"&amp;Setup!AA25)</f>
        <v>Playing</v>
      </c>
      <c r="B55" s="113" t="s">
        <v>1320</v>
      </c>
      <c r="F55" s="115"/>
      <c r="G55" s="116"/>
    </row>
    <row r="56" spans="1:39" s="113" customFormat="1" ht="15" hidden="1" customHeight="1" x14ac:dyDescent="0.25">
      <c r="A56" s="113" t="str">
        <f>IF(Setup!AC35="DefenseDropConfirm",Setup!AC35,Drop!D4)</f>
        <v>Wrong Mode</v>
      </c>
      <c r="F56" s="115"/>
      <c r="G56" s="116"/>
      <c r="AF56" s="115"/>
      <c r="AG56" s="115"/>
      <c r="AH56" s="115"/>
      <c r="AI56" s="115"/>
      <c r="AJ56" s="115"/>
      <c r="AK56" s="115"/>
    </row>
    <row r="57" spans="1:39" s="113" customFormat="1" ht="15" hidden="1" customHeight="1" x14ac:dyDescent="0.25">
      <c r="A57" s="113" t="str">
        <f>IF(Setup!AC44="Battle",IF(Setup!AD38="AttackCancelConfirm",Setup!AD38,"AttackCancelOk"),"NotBattle")</f>
        <v>NotBattle</v>
      </c>
      <c r="F57" s="115"/>
      <c r="G57" s="116"/>
      <c r="AF57" s="115"/>
      <c r="AG57" s="115"/>
      <c r="AH57" s="115"/>
      <c r="AI57" s="115"/>
      <c r="AJ57" s="115"/>
      <c r="AK57" s="115"/>
    </row>
    <row r="58" spans="1:39" s="113" customFormat="1" ht="15" hidden="1" customHeight="1" x14ac:dyDescent="0.25">
      <c r="A58" s="113" t="str">
        <f>IF(Setup!AC45="Initiative Game","InitiationGame",DefenseRef!C12)</f>
        <v>NeedDefense</v>
      </c>
      <c r="F58" s="115"/>
      <c r="G58" s="116"/>
      <c r="AF58" s="115"/>
      <c r="AG58" s="115"/>
      <c r="AH58" s="115"/>
      <c r="AI58" s="115"/>
      <c r="AJ58" s="115"/>
      <c r="AK58" s="115"/>
    </row>
    <row r="59" spans="1:39" s="113" customFormat="1" ht="15" hidden="1" customHeight="1" x14ac:dyDescent="0.25">
      <c r="A59" s="113" t="e">
        <f>BattleRef!F8</f>
        <v>#N/A</v>
      </c>
      <c r="G59" s="116"/>
      <c r="AF59" s="115"/>
      <c r="AG59" s="115"/>
      <c r="AH59" s="115"/>
      <c r="AI59" s="115"/>
      <c r="AJ59" s="115"/>
      <c r="AK59" s="115"/>
    </row>
    <row r="60" spans="1:39" s="113" customFormat="1" ht="15" hidden="1" customHeight="1" x14ac:dyDescent="0.25">
      <c r="A60" s="113" t="str">
        <f>IF(DefenseRef!B4="","AlreadyHadDefense","DefenseChoosen")</f>
        <v>AlreadyHadDefense</v>
      </c>
      <c r="AF60" s="115"/>
      <c r="AG60" s="115"/>
      <c r="AH60" s="115"/>
      <c r="AI60" s="115"/>
      <c r="AJ60" s="115"/>
      <c r="AK60" s="115"/>
    </row>
    <row r="61" spans="1:39" s="113" customFormat="1" ht="15" customHeight="1" x14ac:dyDescent="0.25"/>
    <row r="62" spans="1:39" s="113" customFormat="1" ht="15" customHeight="1" x14ac:dyDescent="0.25"/>
    <row r="63" spans="1:39" s="113" customFormat="1" ht="15" customHeight="1" x14ac:dyDescent="0.25">
      <c r="AF63" s="115"/>
      <c r="AG63" s="115"/>
      <c r="AH63" s="115"/>
      <c r="AI63" s="115"/>
      <c r="AJ63" s="115"/>
      <c r="AK63" s="115"/>
    </row>
    <row r="64" spans="1:39" s="113" customFormat="1" ht="15" customHeight="1" x14ac:dyDescent="0.25">
      <c r="AF64" s="115"/>
      <c r="AG64" s="115"/>
      <c r="AH64" s="115"/>
      <c r="AI64" s="115"/>
      <c r="AJ64" s="115"/>
      <c r="AK64" s="115"/>
    </row>
    <row r="65" spans="32:37" s="113" customFormat="1" ht="15" customHeight="1" x14ac:dyDescent="0.25">
      <c r="AF65" s="115"/>
      <c r="AG65" s="115"/>
      <c r="AH65" s="115"/>
      <c r="AI65" s="115"/>
      <c r="AJ65" s="115"/>
      <c r="AK65" s="115"/>
    </row>
    <row r="66" spans="32:37" s="113" customFormat="1" ht="15" customHeight="1" x14ac:dyDescent="0.25">
      <c r="AF66" s="115"/>
      <c r="AG66" s="115"/>
      <c r="AH66" s="115"/>
      <c r="AI66" s="115"/>
      <c r="AJ66" s="115"/>
      <c r="AK66" s="115"/>
    </row>
    <row r="67" spans="32:37" s="113" customFormat="1" ht="15" customHeight="1" x14ac:dyDescent="0.25">
      <c r="AH67" s="114"/>
      <c r="AI67" s="114"/>
    </row>
    <row r="68" spans="32:37" s="113" customFormat="1" ht="15" customHeight="1" x14ac:dyDescent="0.25">
      <c r="AH68" s="114"/>
      <c r="AI68" s="114"/>
    </row>
    <row r="69" spans="32:37" s="113" customFormat="1" ht="15" customHeight="1" x14ac:dyDescent="0.25">
      <c r="AH69" s="114"/>
      <c r="AI69" s="114"/>
    </row>
    <row r="70" spans="32:37" s="113" customFormat="1" ht="15" customHeight="1" x14ac:dyDescent="0.25">
      <c r="AH70" s="114"/>
      <c r="AI70" s="114"/>
    </row>
    <row r="71" spans="32:37" s="113" customFormat="1" ht="15" customHeight="1" x14ac:dyDescent="0.25">
      <c r="AH71" s="114"/>
      <c r="AI71" s="114"/>
    </row>
    <row r="72" spans="32:37" s="113" customFormat="1" ht="15" customHeight="1" x14ac:dyDescent="0.25">
      <c r="AH72" s="114"/>
      <c r="AI72" s="114"/>
    </row>
    <row r="73" spans="32:37" s="113" customFormat="1" ht="15" customHeight="1" x14ac:dyDescent="0.25">
      <c r="AH73" s="114"/>
      <c r="AI73" s="114"/>
    </row>
    <row r="74" spans="32:37" s="113" customFormat="1" ht="15" customHeight="1" x14ac:dyDescent="0.25">
      <c r="AH74" s="114"/>
      <c r="AI74" s="114"/>
    </row>
    <row r="75" spans="32:37" s="113" customFormat="1" ht="15" customHeight="1" x14ac:dyDescent="0.25">
      <c r="AH75" s="114"/>
      <c r="AI75" s="114"/>
    </row>
    <row r="76" spans="32:37" s="113" customFormat="1" ht="15" customHeight="1" x14ac:dyDescent="0.25">
      <c r="AH76" s="114"/>
      <c r="AI76" s="114"/>
    </row>
    <row r="77" spans="32:37" s="113" customFormat="1" ht="15" customHeight="1" x14ac:dyDescent="0.25">
      <c r="AH77" s="114"/>
      <c r="AI77" s="114"/>
    </row>
    <row r="78" spans="32:37" s="113" customFormat="1" ht="15" customHeight="1" x14ac:dyDescent="0.25">
      <c r="AH78" s="114"/>
      <c r="AI78" s="114"/>
    </row>
    <row r="79" spans="32:37" s="113" customFormat="1" ht="15" customHeight="1" x14ac:dyDescent="0.25">
      <c r="AH79" s="114"/>
      <c r="AI79" s="114"/>
    </row>
    <row r="80" spans="32:37" s="113" customFormat="1" ht="15" customHeight="1" x14ac:dyDescent="0.25">
      <c r="AH80" s="114"/>
      <c r="AI80" s="114"/>
    </row>
    <row r="81" spans="34:35" s="113" customFormat="1" ht="15" customHeight="1" x14ac:dyDescent="0.25">
      <c r="AH81" s="114"/>
      <c r="AI81" s="114"/>
    </row>
    <row r="82" spans="34:35" s="113" customFormat="1" ht="15" customHeight="1" x14ac:dyDescent="0.25">
      <c r="AH82" s="114"/>
      <c r="AI82" s="114"/>
    </row>
    <row r="83" spans="34:35" s="113" customFormat="1" ht="15" customHeight="1" x14ac:dyDescent="0.25">
      <c r="AH83" s="114"/>
      <c r="AI83" s="114"/>
    </row>
    <row r="84" spans="34:35" s="113" customFormat="1" ht="15" customHeight="1" x14ac:dyDescent="0.25">
      <c r="AH84" s="114"/>
      <c r="AI84" s="114"/>
    </row>
    <row r="85" spans="34:35" s="113" customFormat="1" ht="15" customHeight="1" x14ac:dyDescent="0.25">
      <c r="AH85" s="114"/>
      <c r="AI85" s="114"/>
    </row>
    <row r="86" spans="34:35" s="113" customFormat="1" ht="15" customHeight="1" x14ac:dyDescent="0.25">
      <c r="AH86" s="114"/>
      <c r="AI86" s="114"/>
    </row>
    <row r="87" spans="34:35" s="113" customFormat="1" ht="15" customHeight="1" x14ac:dyDescent="0.25">
      <c r="AH87" s="114"/>
      <c r="AI87" s="114"/>
    </row>
    <row r="88" spans="34:35" s="113" customFormat="1" ht="15" customHeight="1" x14ac:dyDescent="0.25">
      <c r="AH88" s="114"/>
      <c r="AI88" s="114"/>
    </row>
    <row r="89" spans="34:35" s="113" customFormat="1" ht="15" customHeight="1" x14ac:dyDescent="0.25">
      <c r="AH89" s="114"/>
      <c r="AI89" s="114"/>
    </row>
    <row r="90" spans="34:35" s="113" customFormat="1" ht="15" customHeight="1" x14ac:dyDescent="0.25">
      <c r="AH90" s="114"/>
      <c r="AI90" s="114"/>
    </row>
    <row r="91" spans="34:35" s="113" customFormat="1" ht="15" customHeight="1" x14ac:dyDescent="0.25">
      <c r="AH91" s="114"/>
      <c r="AI91" s="114"/>
    </row>
    <row r="92" spans="34:35" s="113" customFormat="1" ht="15" customHeight="1" x14ac:dyDescent="0.25">
      <c r="AH92" s="114"/>
      <c r="AI92" s="114"/>
    </row>
    <row r="93" spans="34:35" s="113" customFormat="1" ht="15" customHeight="1" x14ac:dyDescent="0.25">
      <c r="AH93" s="114"/>
      <c r="AI93" s="114"/>
    </row>
    <row r="94" spans="34:35" s="113" customFormat="1" ht="15" customHeight="1" x14ac:dyDescent="0.25">
      <c r="AH94" s="114"/>
      <c r="AI94" s="114"/>
    </row>
    <row r="95" spans="34:35" s="113" customFormat="1" ht="15" customHeight="1" x14ac:dyDescent="0.25">
      <c r="AH95" s="114"/>
      <c r="AI95" s="114"/>
    </row>
    <row r="96" spans="34:35" s="113" customFormat="1" ht="15" customHeight="1" x14ac:dyDescent="0.25">
      <c r="AH96" s="114"/>
      <c r="AI96" s="114"/>
    </row>
    <row r="97" spans="34:35" s="113" customFormat="1" ht="15" customHeight="1" x14ac:dyDescent="0.25">
      <c r="AH97" s="114"/>
      <c r="AI97" s="114"/>
    </row>
    <row r="98" spans="34:35" s="113" customFormat="1" ht="15" customHeight="1" x14ac:dyDescent="0.25">
      <c r="AH98" s="114"/>
      <c r="AI98" s="114"/>
    </row>
    <row r="99" spans="34:35" s="113" customFormat="1" ht="15" customHeight="1" x14ac:dyDescent="0.25">
      <c r="AH99" s="114"/>
      <c r="AI99" s="114"/>
    </row>
    <row r="100" spans="34:35" s="113" customFormat="1" ht="15" customHeight="1" x14ac:dyDescent="0.25">
      <c r="AH100" s="114"/>
      <c r="AI100" s="114"/>
    </row>
    <row r="101" spans="34:35" s="113" customFormat="1" ht="15" customHeight="1" x14ac:dyDescent="0.25">
      <c r="AH101" s="114"/>
      <c r="AI101" s="114"/>
    </row>
    <row r="102" spans="34:35" s="113" customFormat="1" ht="15" customHeight="1" x14ac:dyDescent="0.25">
      <c r="AH102" s="114"/>
      <c r="AI102" s="114"/>
    </row>
    <row r="103" spans="34:35" s="113" customFormat="1" ht="15" customHeight="1" x14ac:dyDescent="0.25">
      <c r="AH103" s="114"/>
      <c r="AI103" s="114"/>
    </row>
    <row r="104" spans="34:35" s="113" customFormat="1" ht="15" customHeight="1" x14ac:dyDescent="0.25">
      <c r="AH104" s="114"/>
      <c r="AI104" s="114"/>
    </row>
    <row r="105" spans="34:35" s="113" customFormat="1" ht="15" customHeight="1" x14ac:dyDescent="0.25">
      <c r="AH105" s="114"/>
      <c r="AI105" s="114"/>
    </row>
    <row r="106" spans="34:35" s="113" customFormat="1" ht="15" customHeight="1" x14ac:dyDescent="0.25">
      <c r="AH106" s="114"/>
      <c r="AI106" s="114"/>
    </row>
    <row r="107" spans="34:35" s="113" customFormat="1" ht="15" customHeight="1" x14ac:dyDescent="0.25">
      <c r="AH107" s="114"/>
      <c r="AI107" s="114"/>
    </row>
    <row r="108" spans="34:35" s="113" customFormat="1" ht="15" customHeight="1" x14ac:dyDescent="0.25">
      <c r="AH108" s="114"/>
      <c r="AI108" s="114"/>
    </row>
    <row r="109" spans="34:35" s="113" customFormat="1" ht="15" customHeight="1" x14ac:dyDescent="0.25">
      <c r="AH109" s="114"/>
      <c r="AI109" s="114"/>
    </row>
    <row r="110" spans="34:35" s="113" customFormat="1" ht="15" customHeight="1" x14ac:dyDescent="0.25">
      <c r="AH110" s="114"/>
      <c r="AI110" s="114"/>
    </row>
    <row r="111" spans="34:35" s="113" customFormat="1" ht="15" customHeight="1" x14ac:dyDescent="0.25">
      <c r="AH111" s="114"/>
      <c r="AI111" s="114"/>
    </row>
    <row r="112" spans="34:35" s="113" customFormat="1" ht="15" customHeight="1" x14ac:dyDescent="0.25">
      <c r="AH112" s="114"/>
      <c r="AI112" s="114"/>
    </row>
    <row r="113" spans="34:35" s="113" customFormat="1" ht="15" customHeight="1" x14ac:dyDescent="0.25">
      <c r="AH113" s="114"/>
      <c r="AI113" s="114"/>
    </row>
    <row r="114" spans="34:35" s="113" customFormat="1" ht="15" customHeight="1" x14ac:dyDescent="0.25">
      <c r="AH114" s="114"/>
      <c r="AI114" s="114"/>
    </row>
    <row r="115" spans="34:35" s="113" customFormat="1" ht="15" customHeight="1" x14ac:dyDescent="0.25">
      <c r="AH115" s="114"/>
      <c r="AI115" s="114"/>
    </row>
    <row r="116" spans="34:35" s="113" customFormat="1" ht="15" customHeight="1" x14ac:dyDescent="0.25">
      <c r="AH116" s="114"/>
      <c r="AI116" s="114"/>
    </row>
    <row r="117" spans="34:35" s="113" customFormat="1" ht="15" customHeight="1" x14ac:dyDescent="0.25">
      <c r="AH117" s="114"/>
      <c r="AI117" s="114"/>
    </row>
    <row r="118" spans="34:35" s="113" customFormat="1" ht="15" customHeight="1" x14ac:dyDescent="0.25">
      <c r="AH118" s="114"/>
      <c r="AI118" s="114"/>
    </row>
    <row r="119" spans="34:35" s="113" customFormat="1" ht="15" customHeight="1" x14ac:dyDescent="0.25">
      <c r="AH119" s="114"/>
      <c r="AI119" s="114"/>
    </row>
    <row r="120" spans="34:35" s="113" customFormat="1" ht="15" customHeight="1" x14ac:dyDescent="0.25">
      <c r="AH120" s="114"/>
      <c r="AI120" s="114"/>
    </row>
    <row r="121" spans="34:35" s="113" customFormat="1" ht="15" customHeight="1" x14ac:dyDescent="0.25">
      <c r="AH121" s="114"/>
      <c r="AI121" s="114"/>
    </row>
    <row r="122" spans="34:35" s="113" customFormat="1" ht="15" customHeight="1" x14ac:dyDescent="0.25">
      <c r="AH122" s="114"/>
      <c r="AI122" s="114"/>
    </row>
    <row r="123" spans="34:35" s="113" customFormat="1" ht="15" customHeight="1" x14ac:dyDescent="0.25">
      <c r="AH123" s="114"/>
      <c r="AI123" s="114"/>
    </row>
    <row r="124" spans="34:35" s="113" customFormat="1" ht="15" customHeight="1" x14ac:dyDescent="0.25">
      <c r="AH124" s="114"/>
      <c r="AI124" s="114"/>
    </row>
    <row r="125" spans="34:35" s="113" customFormat="1" ht="15" customHeight="1" x14ac:dyDescent="0.25">
      <c r="AH125" s="114"/>
      <c r="AI125" s="114"/>
    </row>
    <row r="126" spans="34:35" s="113" customFormat="1" ht="15" customHeight="1" x14ac:dyDescent="0.25">
      <c r="AH126" s="114"/>
      <c r="AI126" s="114"/>
    </row>
    <row r="127" spans="34:35" s="113" customFormat="1" ht="15" customHeight="1" x14ac:dyDescent="0.25">
      <c r="AH127" s="114"/>
      <c r="AI127" s="114"/>
    </row>
    <row r="128" spans="34:35" s="113" customFormat="1" ht="15" customHeight="1" x14ac:dyDescent="0.25">
      <c r="AH128" s="114"/>
      <c r="AI128" s="114"/>
    </row>
    <row r="129" spans="34:35" s="113" customFormat="1" ht="15" customHeight="1" x14ac:dyDescent="0.25">
      <c r="AH129" s="114"/>
      <c r="AI129" s="114"/>
    </row>
    <row r="130" spans="34:35" s="113" customFormat="1" ht="15" customHeight="1" x14ac:dyDescent="0.25">
      <c r="AH130" s="114"/>
      <c r="AI130" s="114"/>
    </row>
    <row r="131" spans="34:35" s="113" customFormat="1" ht="15" customHeight="1" x14ac:dyDescent="0.25">
      <c r="AH131" s="114"/>
      <c r="AI131" s="114"/>
    </row>
    <row r="132" spans="34:35" s="113" customFormat="1" ht="15" customHeight="1" x14ac:dyDescent="0.25">
      <c r="AH132" s="114"/>
      <c r="AI132" s="114"/>
    </row>
    <row r="133" spans="34:35" s="113" customFormat="1" ht="15" customHeight="1" x14ac:dyDescent="0.25">
      <c r="AH133" s="114"/>
      <c r="AI133" s="114"/>
    </row>
    <row r="134" spans="34:35" s="113" customFormat="1" ht="15" customHeight="1" x14ac:dyDescent="0.25">
      <c r="AH134" s="114"/>
      <c r="AI134" s="114"/>
    </row>
    <row r="135" spans="34:35" s="113" customFormat="1" ht="15" customHeight="1" x14ac:dyDescent="0.25">
      <c r="AH135" s="114"/>
      <c r="AI135" s="114"/>
    </row>
    <row r="136" spans="34:35" s="113" customFormat="1" ht="15" customHeight="1" x14ac:dyDescent="0.25">
      <c r="AH136" s="114"/>
      <c r="AI136" s="114"/>
    </row>
    <row r="137" spans="34:35" s="113" customFormat="1" ht="15" customHeight="1" x14ac:dyDescent="0.25">
      <c r="AH137" s="114"/>
      <c r="AI137" s="114"/>
    </row>
    <row r="138" spans="34:35" s="113" customFormat="1" ht="15" customHeight="1" x14ac:dyDescent="0.25">
      <c r="AH138" s="114"/>
      <c r="AI138" s="114"/>
    </row>
    <row r="139" spans="34:35" s="113" customFormat="1" ht="15" customHeight="1" x14ac:dyDescent="0.25">
      <c r="AH139" s="114"/>
      <c r="AI139" s="114"/>
    </row>
    <row r="140" spans="34:35" s="113" customFormat="1" ht="15" customHeight="1" x14ac:dyDescent="0.25">
      <c r="AH140" s="114"/>
      <c r="AI140" s="114"/>
    </row>
    <row r="141" spans="34:35" s="113" customFormat="1" ht="15" customHeight="1" x14ac:dyDescent="0.25">
      <c r="AH141" s="114"/>
      <c r="AI141" s="114"/>
    </row>
    <row r="142" spans="34:35" s="113" customFormat="1" ht="15" customHeight="1" x14ac:dyDescent="0.25">
      <c r="AH142" s="114"/>
      <c r="AI142" s="114"/>
    </row>
    <row r="143" spans="34:35" s="113" customFormat="1" ht="15" customHeight="1" x14ac:dyDescent="0.25">
      <c r="AH143" s="114"/>
      <c r="AI143" s="114"/>
    </row>
    <row r="144" spans="34:35" s="113" customFormat="1" ht="15" customHeight="1" x14ac:dyDescent="0.25">
      <c r="AH144" s="114"/>
      <c r="AI144" s="114"/>
    </row>
    <row r="145" spans="1:68" s="113" customFormat="1" ht="15" customHeight="1" x14ac:dyDescent="0.25">
      <c r="AH145" s="114"/>
      <c r="AI145" s="114"/>
    </row>
    <row r="146" spans="1:68" s="113" customFormat="1" ht="15" customHeight="1" x14ac:dyDescent="0.25">
      <c r="AH146" s="114"/>
      <c r="AI146" s="114"/>
    </row>
    <row r="147" spans="1:68" s="113" customFormat="1" ht="15" customHeight="1" x14ac:dyDescent="0.25">
      <c r="AH147" s="114"/>
      <c r="AI147" s="114"/>
    </row>
    <row r="148" spans="1:68" s="113" customFormat="1" ht="15" customHeight="1" x14ac:dyDescent="0.25">
      <c r="AH148" s="114"/>
      <c r="AI148" s="114"/>
    </row>
    <row r="149" spans="1:68" ht="15" customHeight="1" x14ac:dyDescent="0.25">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4"/>
      <c r="AI149" s="114"/>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row>
  </sheetData>
  <sheetProtection sheet="1" objects="1" scenarios="1" selectLockedCells="1"/>
  <mergeCells count="70">
    <mergeCell ref="K1:X1"/>
    <mergeCell ref="AS1:BF1"/>
    <mergeCell ref="B37:AF38"/>
    <mergeCell ref="B39:AF40"/>
    <mergeCell ref="B41:AF42"/>
    <mergeCell ref="AK27:BO28"/>
    <mergeCell ref="AK29:BO30"/>
    <mergeCell ref="AK31:BO32"/>
    <mergeCell ref="AK33:BO34"/>
    <mergeCell ref="AK35:BO36"/>
    <mergeCell ref="AK37:BO38"/>
    <mergeCell ref="AK39:BO40"/>
    <mergeCell ref="AK41:BO42"/>
    <mergeCell ref="B27:AF28"/>
    <mergeCell ref="B29:AF30"/>
    <mergeCell ref="D20:L21"/>
    <mergeCell ref="M20:U21"/>
    <mergeCell ref="V20:AD21"/>
    <mergeCell ref="D22:L23"/>
    <mergeCell ref="M22:U23"/>
    <mergeCell ref="V22:AD23"/>
    <mergeCell ref="D18:L19"/>
    <mergeCell ref="M18:U19"/>
    <mergeCell ref="V18:AD19"/>
    <mergeCell ref="AV16:BD17"/>
    <mergeCell ref="AV18:BD19"/>
    <mergeCell ref="AM16:AU17"/>
    <mergeCell ref="AM18:AU19"/>
    <mergeCell ref="Y1:AR1"/>
    <mergeCell ref="D16:L17"/>
    <mergeCell ref="M16:U17"/>
    <mergeCell ref="V16:AD17"/>
    <mergeCell ref="BE16:BM17"/>
    <mergeCell ref="E13:AC15"/>
    <mergeCell ref="AN13:BL15"/>
    <mergeCell ref="D10:L12"/>
    <mergeCell ref="V10:AD12"/>
    <mergeCell ref="AM10:AU12"/>
    <mergeCell ref="BE10:BM12"/>
    <mergeCell ref="B2:E3"/>
    <mergeCell ref="BL2:BO3"/>
    <mergeCell ref="M10:U12"/>
    <mergeCell ref="AV10:BD12"/>
    <mergeCell ref="F4:AC4"/>
    <mergeCell ref="B31:AF32"/>
    <mergeCell ref="B33:AF34"/>
    <mergeCell ref="B35:AF36"/>
    <mergeCell ref="F25:AC26"/>
    <mergeCell ref="AN25:BK26"/>
    <mergeCell ref="AD48:AM50"/>
    <mergeCell ref="AD44:AM45"/>
    <mergeCell ref="AD43:AM43"/>
    <mergeCell ref="M43:U45"/>
    <mergeCell ref="AV43:BD45"/>
    <mergeCell ref="F7:AC7"/>
    <mergeCell ref="AN7:BK7"/>
    <mergeCell ref="AN4:BK4"/>
    <mergeCell ref="F2:AC3"/>
    <mergeCell ref="AN2:BK3"/>
    <mergeCell ref="F5:AC6"/>
    <mergeCell ref="AN5:BK6"/>
    <mergeCell ref="AD2:AM4"/>
    <mergeCell ref="AD5:AM7"/>
    <mergeCell ref="BE18:BM19"/>
    <mergeCell ref="AM20:AU21"/>
    <mergeCell ref="AV20:BD21"/>
    <mergeCell ref="BE20:BM21"/>
    <mergeCell ref="AM22:AU23"/>
    <mergeCell ref="AV22:BD23"/>
    <mergeCell ref="BE22:BM23"/>
  </mergeCells>
  <conditionalFormatting sqref="M43:U45">
    <cfRule type="containsText" dxfId="459" priority="135" operator="containsText" text="Confirm">
      <formula>NOT(ISERROR(SEARCH("Confirm",M43)))</formula>
    </cfRule>
  </conditionalFormatting>
  <conditionalFormatting sqref="AV43:BD45">
    <cfRule type="containsText" dxfId="458" priority="134" operator="containsText" text="Confirm">
      <formula>NOT(ISERROR(SEARCH("Confirm",AV43)))</formula>
    </cfRule>
  </conditionalFormatting>
  <conditionalFormatting sqref="F5:AC6 AN5:BK6">
    <cfRule type="containsBlanks" dxfId="457" priority="132">
      <formula>LEN(TRIM(F5))=0</formula>
    </cfRule>
  </conditionalFormatting>
  <conditionalFormatting sqref="AN45:BK45 AV43:BD44">
    <cfRule type="expression" dxfId="456" priority="129">
      <formula>$M$43="Confirm"</formula>
    </cfRule>
  </conditionalFormatting>
  <conditionalFormatting sqref="F45:AC45 M43:U44">
    <cfRule type="expression" dxfId="455" priority="128">
      <formula>$AV$43="Confirm"</formula>
    </cfRule>
  </conditionalFormatting>
  <conditionalFormatting sqref="AD44:AM45">
    <cfRule type="expression" dxfId="454" priority="126">
      <formula>$M$43="Confirm"</formula>
    </cfRule>
    <cfRule type="expression" dxfId="453" priority="127">
      <formula>$AV$43="Confirm"</formula>
    </cfRule>
  </conditionalFormatting>
  <conditionalFormatting sqref="A45:E45 A1:A44 B1:K1 BG1:BP1 BP2:BP45 BL45:BO45">
    <cfRule type="expression" dxfId="452" priority="124">
      <formula>$AV$43="Confirm"</formula>
    </cfRule>
    <cfRule type="expression" dxfId="451" priority="125">
      <formula>$M$43="Confirm"</formula>
    </cfRule>
  </conditionalFormatting>
  <conditionalFormatting sqref="AD43:AM43">
    <cfRule type="beginsWith" dxfId="450" priority="121" operator="beginsWith" text="Confirm Drop">
      <formula>LEFT(AD43,LEN("Confirm Drop"))="Confirm Drop"</formula>
    </cfRule>
    <cfRule type="beginsWith" dxfId="449" priority="122" operator="beginsWith" text="Defense Drop">
      <formula>LEFT(AD43,LEN("Defense Drop"))="Defense Drop"</formula>
    </cfRule>
    <cfRule type="notContainsBlanks" dxfId="448" priority="123">
      <formula>LEN(TRIM(AD43))&gt;0</formula>
    </cfRule>
  </conditionalFormatting>
  <conditionalFormatting sqref="AD48:AM50">
    <cfRule type="expression" dxfId="447" priority="119">
      <formula>$A$57="NotBattle"</formula>
    </cfRule>
    <cfRule type="expression" dxfId="446" priority="120">
      <formula>$A$57="AttackCancelConfirm"</formula>
    </cfRule>
  </conditionalFormatting>
  <conditionalFormatting sqref="B2 AD2:AM7 AD8 AF8 AH8:AI8 AK8 AM8 BN8 BL8 C8 E8 BL4:BO7 BL2 B4:E7">
    <cfRule type="expression" dxfId="445" priority="112">
      <formula>$AD$2="Justin Choose Defense"</formula>
    </cfRule>
    <cfRule type="expression" dxfId="444" priority="113">
      <formula>$A$59="S"</formula>
    </cfRule>
    <cfRule type="expression" dxfId="443" priority="114">
      <formula>$A$59="W"</formula>
    </cfRule>
    <cfRule type="expression" dxfId="442" priority="115">
      <formula>$A$59="U"</formula>
    </cfRule>
    <cfRule type="expression" dxfId="441" priority="116">
      <formula>$A$59="R"</formula>
    </cfRule>
    <cfRule type="expression" dxfId="440" priority="117">
      <formula>$A$59="B"</formula>
    </cfRule>
    <cfRule type="expression" dxfId="439" priority="118">
      <formula>$A$59="G"</formula>
    </cfRule>
  </conditionalFormatting>
  <conditionalFormatting sqref="D16:L17 BE16:BM17">
    <cfRule type="containsText" dxfId="438" priority="48" operator="containsText" text="North America">
      <formula>NOT(ISERROR(SEARCH("North America",D16)))</formula>
    </cfRule>
  </conditionalFormatting>
  <conditionalFormatting sqref="M16:U17 AV16:BD17">
    <cfRule type="containsText" dxfId="437" priority="47" operator="containsText" text="Europe">
      <formula>NOT(ISERROR(SEARCH("Europe",M16)))</formula>
    </cfRule>
  </conditionalFormatting>
  <conditionalFormatting sqref="AM16:AU17 V16:AD17">
    <cfRule type="containsText" dxfId="436" priority="46" operator="containsText" text="Africa">
      <formula>NOT(ISERROR(SEARCH("Africa",V16)))</formula>
    </cfRule>
  </conditionalFormatting>
  <conditionalFormatting sqref="V18:AD19 AM18:AU19">
    <cfRule type="containsText" dxfId="435" priority="44" operator="containsText" text="Artifacts">
      <formula>NOT(ISERROR(SEARCH("Artifacts",V18)))</formula>
    </cfRule>
    <cfRule type="containsText" dxfId="434" priority="45" operator="containsText" text="South America">
      <formula>NOT(ISERROR(SEARCH("South America",V18)))</formula>
    </cfRule>
  </conditionalFormatting>
  <conditionalFormatting sqref="M18:U19 AV18:BD19">
    <cfRule type="containsText" dxfId="433" priority="43" operator="containsText" text="Asia">
      <formula>NOT(ISERROR(SEARCH("Asia",M18)))</formula>
    </cfRule>
  </conditionalFormatting>
  <conditionalFormatting sqref="D18:L19 BE18:BM19">
    <cfRule type="containsText" dxfId="432" priority="42" operator="containsText" text="Australia">
      <formula>NOT(ISERROR(SEARCH("Australia",D18)))</formula>
    </cfRule>
  </conditionalFormatting>
  <conditionalFormatting sqref="D20:AD21 AM22:BM23">
    <cfRule type="notContainsBlanks" dxfId="431" priority="34">
      <formula>LEN(TRIM(D20))&gt;0</formula>
    </cfRule>
  </conditionalFormatting>
  <conditionalFormatting sqref="D22:AD23 AM20:BM21">
    <cfRule type="notContainsBlanks" dxfId="430" priority="33">
      <formula>LEN(TRIM(D20))&gt;0</formula>
    </cfRule>
  </conditionalFormatting>
  <conditionalFormatting sqref="AS1">
    <cfRule type="expression" dxfId="429" priority="3">
      <formula>$AV$43="Confirm"</formula>
    </cfRule>
    <cfRule type="expression" dxfId="428" priority="4">
      <formula>$M$43="Confirm"</formula>
    </cfRule>
  </conditionalFormatting>
  <conditionalFormatting sqref="B26:E26 C25:F25 AD25:AF26">
    <cfRule type="containsText" dxfId="427" priority="2" operator="containsText" text="Vanguard">
      <formula>NOT(ISERROR(SEARCH("Vanguard",B25)))</formula>
    </cfRule>
  </conditionalFormatting>
  <conditionalFormatting sqref="AK26:AM26 BL25:BO26 AK25:AN25">
    <cfRule type="containsText" dxfId="426" priority="1" operator="containsText" text="Vanguard">
      <formula>NOT(ISERROR(SEARCH("Vanguard",AK25)))</formula>
    </cfRule>
  </conditionalFormatting>
  <pageMargins left="0.7" right="0.7" top="0.75" bottom="0.75" header="0.3" footer="0.3"/>
  <pageSetup orientation="portrait" r:id="rId1"/>
  <drawing r:id="rId2"/>
  <picture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AG53"/>
  <sheetViews>
    <sheetView workbookViewId="0">
      <selection activeCell="G55" sqref="G55"/>
    </sheetView>
  </sheetViews>
  <sheetFormatPr defaultRowHeight="15" x14ac:dyDescent="0.25"/>
  <cols>
    <col min="3" max="3" width="21.85546875" customWidth="1"/>
    <col min="4" max="4" width="16.28515625" customWidth="1"/>
    <col min="5" max="5" width="21.85546875" customWidth="1"/>
    <col min="7" max="11" width="11" customWidth="1"/>
    <col min="12" max="12" width="16.42578125" customWidth="1"/>
    <col min="13" max="17" width="11" customWidth="1"/>
    <col min="21" max="23" width="9.140625" customWidth="1"/>
  </cols>
  <sheetData>
    <row r="2" spans="2:24" x14ac:dyDescent="0.25">
      <c r="H2" s="144" t="s">
        <v>1330</v>
      </c>
      <c r="I2" s="124" t="e">
        <f>F8</f>
        <v>#N/A</v>
      </c>
    </row>
    <row r="3" spans="2:24" x14ac:dyDescent="0.25">
      <c r="D3" s="144" t="s">
        <v>819</v>
      </c>
      <c r="E3" s="124">
        <f>Setup!AC48</f>
        <v>0</v>
      </c>
      <c r="F3" s="144" t="s">
        <v>1019</v>
      </c>
      <c r="G3" s="182">
        <f>COUNTIF($D$19:$D$24,E3)-1</f>
        <v>-1</v>
      </c>
      <c r="I3" s="144" t="s">
        <v>1434</v>
      </c>
      <c r="L3" s="144" t="s">
        <v>3</v>
      </c>
      <c r="M3" s="144" t="s">
        <v>4</v>
      </c>
      <c r="N3" s="144" t="s">
        <v>5</v>
      </c>
      <c r="O3" s="144" t="s">
        <v>6</v>
      </c>
      <c r="P3" s="144" t="s">
        <v>7</v>
      </c>
      <c r="Q3" s="144" t="s">
        <v>380</v>
      </c>
    </row>
    <row r="4" spans="2:24" x14ac:dyDescent="0.25">
      <c r="E4" s="124">
        <f>Setup!AC49</f>
        <v>0</v>
      </c>
      <c r="F4" s="144" t="s">
        <v>1020</v>
      </c>
      <c r="G4" s="182">
        <f>COUNTIF($D$19:$D$24,E4)</f>
        <v>0</v>
      </c>
      <c r="I4" s="124" t="e">
        <f>IF($I$2="W",Reference!P52,IF($I$2="U",Reference!Q52,IF($I$2="B",Reference!R52,IF($I$2="R",Reference!S52,IF($I$2="G",Reference!T52,IF($I$2="S","WUBRG","Undecided"))))))</f>
        <v>#N/A</v>
      </c>
      <c r="L4" s="144" t="s">
        <v>381</v>
      </c>
      <c r="M4" s="144" t="s">
        <v>387</v>
      </c>
      <c r="N4" s="144" t="s">
        <v>394</v>
      </c>
      <c r="O4" s="144" t="s">
        <v>399</v>
      </c>
      <c r="P4" s="144" t="s">
        <v>392</v>
      </c>
      <c r="Q4" s="144" t="s">
        <v>407</v>
      </c>
      <c r="S4" s="144" t="str">
        <f>L4</f>
        <v>North America</v>
      </c>
      <c r="T4" s="144" t="str">
        <f t="shared" ref="T4:X4" si="0">M4</f>
        <v>Europe</v>
      </c>
      <c r="U4" s="144" t="str">
        <f t="shared" si="0"/>
        <v>Africa</v>
      </c>
      <c r="V4" s="144" t="str">
        <f t="shared" si="0"/>
        <v>Australia</v>
      </c>
      <c r="W4" s="144" t="str">
        <f t="shared" si="0"/>
        <v>Asia</v>
      </c>
      <c r="X4" s="144" t="str">
        <f t="shared" si="0"/>
        <v>South America</v>
      </c>
    </row>
    <row r="5" spans="2:24" x14ac:dyDescent="0.25">
      <c r="D5" s="144" t="s">
        <v>1455</v>
      </c>
      <c r="E5" s="124" t="e">
        <f>IF(Setup!AC45="Initiative Game","Initiation",VLOOKUP(E3,Setup!Z19:AE20,6,0)&amp;" attacks "&amp;E8&amp;" from "&amp;E9)</f>
        <v>#N/A</v>
      </c>
      <c r="I5" s="124" t="e">
        <f>IF($I$2="W",Reference!P53,IF($I$2="U",Reference!Q53,IF($I$2="B",Reference!R53,IF($I$2="R",Reference!S53,IF($I$2="G",Reference!T53,IF($I$2="S","","Undecided"))))))</f>
        <v>#N/A</v>
      </c>
    </row>
    <row r="6" spans="2:24" x14ac:dyDescent="0.25">
      <c r="I6" s="124" t="e">
        <f>IF($I$2="W",Reference!P54,IF($I$2="U",Reference!Q54,IF($I$2="B",Reference!R54,IF($I$2="R",Reference!S54,IF($I$2="G",Reference!T54,IF($I$2="S","","Undecided"))))))</f>
        <v>#N/A</v>
      </c>
      <c r="L6" s="144" t="s">
        <v>1448</v>
      </c>
      <c r="M6" s="144"/>
      <c r="N6" s="144"/>
      <c r="O6" s="144"/>
      <c r="P6" s="144"/>
      <c r="Q6" s="144"/>
      <c r="S6" s="144" t="s">
        <v>1453</v>
      </c>
      <c r="T6" s="144"/>
      <c r="U6" s="144"/>
      <c r="V6" s="144"/>
      <c r="W6" s="144"/>
      <c r="X6" s="144" t="s">
        <v>1454</v>
      </c>
    </row>
    <row r="7" spans="2:24" x14ac:dyDescent="0.25">
      <c r="D7" s="144" t="s">
        <v>1376</v>
      </c>
      <c r="E7" s="124" t="str">
        <f>GameLog!AE3001</f>
        <v/>
      </c>
      <c r="F7" s="124" t="e">
        <f>IF(Setup!AC45="Initiative Game","Initiation",VLOOKUP(E7,DefenseRef!H:I,2,0))</f>
        <v>#N/A</v>
      </c>
      <c r="I7" s="124" t="e">
        <f>IF($I$2="W",Reference!P55,IF($I$2="U",Reference!Q55,IF($I$2="B",Reference!R55,IF($I$2="R",Reference!S55,IF($I$2="G",Reference!T55,IF($I$2="S","","Undecided"))))))</f>
        <v>#N/A</v>
      </c>
      <c r="K7" s="144" t="s">
        <v>800</v>
      </c>
      <c r="L7" s="124" t="e">
        <f t="shared" ref="L7:P8" si="1">IF(IF(L$3=$F$8,$G15,"No")="Yes",L$4,"")</f>
        <v>#N/A</v>
      </c>
      <c r="M7" s="124" t="e">
        <f t="shared" si="1"/>
        <v>#N/A</v>
      </c>
      <c r="N7" s="124" t="e">
        <f t="shared" si="1"/>
        <v>#N/A</v>
      </c>
      <c r="O7" s="124" t="e">
        <f t="shared" si="1"/>
        <v>#N/A</v>
      </c>
      <c r="P7" s="124" t="e">
        <f t="shared" si="1"/>
        <v>#N/A</v>
      </c>
      <c r="Q7" s="182" t="e">
        <f>IF($F$8="S",IF(X7="WUBRG",Q$4,"Artfacts"),"")</f>
        <v>#N/A</v>
      </c>
      <c r="S7" s="124" t="str">
        <f>IF(COUNTIF(Reference!P52:P67,BattleRef!$F15)+COUNTIF(Reference!P52:P67,BattleRef!$E15)=0,"",L$3)</f>
        <v/>
      </c>
      <c r="T7" s="124" t="str">
        <f>IF(COUNTIF(Reference!Q52:Q67,BattleRef!$F15)+COUNTIF(Reference!Q52:Q67,BattleRef!$E15)=0,"",M$3)</f>
        <v/>
      </c>
      <c r="U7" s="124" t="str">
        <f>IF(COUNTIF(Reference!R52:R67,BattleRef!$F15)+COUNTIF(Reference!R52:R67,BattleRef!$E15)=0,"",N$3)</f>
        <v/>
      </c>
      <c r="V7" s="124" t="str">
        <f>IF(COUNTIF(Reference!S52:S67,BattleRef!$F15)+COUNTIF(Reference!S52:S67,BattleRef!$E15)=0,"",O$3)</f>
        <v/>
      </c>
      <c r="W7" s="124" t="str">
        <f>IF(COUNTIF(Reference!T52:T67,BattleRef!$F15)+COUNTIF(Reference!T52:T67,BattleRef!$E15)=0,"",P$3)</f>
        <v/>
      </c>
      <c r="X7" s="182" t="str">
        <f>S7&amp;T7&amp;U7&amp;V7&amp;W7</f>
        <v/>
      </c>
    </row>
    <row r="8" spans="2:24" x14ac:dyDescent="0.25">
      <c r="D8" s="144" t="s">
        <v>1330</v>
      </c>
      <c r="E8" s="124" t="e">
        <f>IF(Setup!AC45="Initiative Game","Initiation",VLOOKUP("Defending",Setup!Y28:AC29,5,0))</f>
        <v>#N/A</v>
      </c>
      <c r="F8" s="124" t="e">
        <f>IF(Setup!AC45="Initiative Game","Initiation",VLOOKUP(E8,Reference!X:Z,3,0))</f>
        <v>#N/A</v>
      </c>
      <c r="I8" s="124" t="e">
        <f>IF($I$2="W",Reference!P56,IF($I$2="U",Reference!Q56,IF($I$2="B",Reference!R56,IF($I$2="R",Reference!S56,IF($I$2="G",Reference!T56,IF($I$2="S","","Undecided"))))))</f>
        <v>#N/A</v>
      </c>
      <c r="K8" s="144" t="s">
        <v>801</v>
      </c>
      <c r="L8" s="124" t="e">
        <f t="shared" si="1"/>
        <v>#N/A</v>
      </c>
      <c r="M8" s="124" t="e">
        <f t="shared" si="1"/>
        <v>#N/A</v>
      </c>
      <c r="N8" s="124" t="e">
        <f t="shared" si="1"/>
        <v>#N/A</v>
      </c>
      <c r="O8" s="124" t="e">
        <f t="shared" si="1"/>
        <v>#N/A</v>
      </c>
      <c r="P8" s="124" t="e">
        <f t="shared" si="1"/>
        <v>#N/A</v>
      </c>
      <c r="Q8" s="182" t="e">
        <f>IF($F$8="S",IF(X8="WUBRG",Q$4,"Artfacts"),"")</f>
        <v>#N/A</v>
      </c>
      <c r="S8" s="124" t="str">
        <f>IF(COUNTIF(Reference!P53:P68,BattleRef!$F16)+COUNTIF(Reference!P53:P68,BattleRef!$E16)=0,"",L$3)</f>
        <v/>
      </c>
      <c r="T8" s="124" t="str">
        <f>IF(COUNTIF(Reference!Q53:Q68,BattleRef!$F16)+COUNTIF(Reference!Q53:Q68,BattleRef!$E16)=0,"",M$3)</f>
        <v/>
      </c>
      <c r="U8" s="124" t="str">
        <f>IF(COUNTIF(Reference!R53:R68,BattleRef!$F16)+COUNTIF(Reference!R53:R68,BattleRef!$E16)=0,"",N$3)</f>
        <v/>
      </c>
      <c r="V8" s="124" t="str">
        <f>IF(COUNTIF(Reference!S53:S68,BattleRef!$F16)+COUNTIF(Reference!S53:S68,BattleRef!$E16)=0,"",O$3)</f>
        <v/>
      </c>
      <c r="W8" s="124" t="str">
        <f>IF(COUNTIF(Reference!T53:T68,BattleRef!$F16)+COUNTIF(Reference!T53:T68,BattleRef!$E16)=0,"",P$3)</f>
        <v/>
      </c>
      <c r="X8" s="182" t="str">
        <f>S8&amp;T8&amp;U8&amp;V8&amp;W8</f>
        <v/>
      </c>
    </row>
    <row r="9" spans="2:24" x14ac:dyDescent="0.25">
      <c r="D9" s="144" t="s">
        <v>1432</v>
      </c>
      <c r="E9" s="124" t="e">
        <f>IF(Setup!AC45="Initiative Game","Initiation",VLOOKUP("Attacking From",Setup!Y28:AC29,5,0))</f>
        <v>#N/A</v>
      </c>
      <c r="F9" s="124" t="e">
        <f>IF(Setup!AC45="Initiative Game","Initiation",VLOOKUP(E9,Reference!X:Z,3,0))</f>
        <v>#N/A</v>
      </c>
      <c r="I9" s="124" t="e">
        <f>IF($I$2="W",Reference!P57,IF($I$2="U",Reference!Q57,IF($I$2="B",Reference!R57,IF($I$2="R",Reference!S57,IF($I$2="G",Reference!T57,IF($I$2="S","","Undecided"))))))</f>
        <v>#N/A</v>
      </c>
    </row>
    <row r="10" spans="2:24" x14ac:dyDescent="0.25">
      <c r="I10" s="124" t="e">
        <f>IF($I$2="W",Reference!P58,IF($I$2="U",Reference!Q58,IF($I$2="B",Reference!R58,IF($I$2="R",Reference!S58,IF($I$2="G",Reference!T58,IF($I$2="S","","Undecided"))))))</f>
        <v>#N/A</v>
      </c>
      <c r="L10" s="144" t="s">
        <v>1452</v>
      </c>
      <c r="M10" s="144"/>
      <c r="N10" s="144"/>
      <c r="O10" s="144"/>
      <c r="P10" s="144"/>
      <c r="Q10" s="144"/>
      <c r="S10" s="144" t="s">
        <v>1238</v>
      </c>
      <c r="T10" s="144"/>
      <c r="U10" s="144"/>
      <c r="V10" s="144"/>
      <c r="W10" s="144"/>
      <c r="X10" s="144"/>
    </row>
    <row r="11" spans="2:24" x14ac:dyDescent="0.25">
      <c r="D11" s="144" t="e">
        <f>IF(F7=F8,"Start in ",IF(F7=F9,"Start in ","Shuffle "))</f>
        <v>#N/A</v>
      </c>
      <c r="E11" s="124" t="e">
        <f>IF(Setup!AC45="Initiative Game","Initiation",D11&amp;E7&amp;"("&amp;F7&amp;") with the "&amp;VLOOKUP(F8,Reference!M52:N85,2,0)&amp;" Planes")</f>
        <v>#N/A</v>
      </c>
      <c r="F11" s="2"/>
      <c r="G11" s="2"/>
      <c r="H11" s="2"/>
      <c r="I11" s="124" t="e">
        <f>IF($I$2="W",Reference!P59,IF($I$2="U",Reference!Q59,IF($I$2="B",Reference!R59,IF($I$2="R",Reference!S59,IF($I$2="G",Reference!T59,IF($I$2="S","","Undecided"))))))</f>
        <v>#N/A</v>
      </c>
      <c r="K11" s="144" t="s">
        <v>800</v>
      </c>
      <c r="L11" s="124" t="str">
        <f>IF(COUNTIF(Reference!P52:P67,BattleRef!$E15)+COUNTIF(Reference!P52:P67,BattleRef!$F15)=0,"",IF(S11="","",L$4))</f>
        <v/>
      </c>
      <c r="M11" s="124" t="str">
        <f>IF(COUNTIF(Reference!Q52:Q67,BattleRef!$E15)+COUNTIF(Reference!Q52:Q67,BattleRef!$F15)=0,"",IF(T11="","",M$4))</f>
        <v/>
      </c>
      <c r="N11" s="124" t="str">
        <f>IF(COUNTIF(Reference!R52:R67,BattleRef!$E15)+COUNTIF(Reference!R52:R67,BattleRef!$F15)=0,"",IF(U11="","",N$4))</f>
        <v/>
      </c>
      <c r="O11" s="124" t="str">
        <f>IF(COUNTIF(Reference!S52:S67,BattleRef!$E15)+COUNTIF(Reference!S52:S67,BattleRef!$F15)=0,"",IF(V11="","",O$4))</f>
        <v/>
      </c>
      <c r="P11" s="124" t="str">
        <f>IF(COUNTIF(Reference!T52:T67,BattleRef!$E15)+COUNTIF(Reference!T52:T67,BattleRef!$F15)=0,"",IF(W11="","",P$4))</f>
        <v/>
      </c>
      <c r="Q11" s="182" t="str">
        <f>IF(X11="","",IF(X7="WUBRG",Q$4,"Artifacts"))</f>
        <v/>
      </c>
      <c r="S11" s="124" t="str">
        <f>IF(Reference!Z59="Controlled","Controlled",IF(Reference!Z59="Owned","Owned",""))</f>
        <v/>
      </c>
      <c r="T11" s="124" t="str">
        <f>IF(Reference!Z58="Controlled","Controlled",IF(Reference!Z58="Owned","Owned",""))</f>
        <v/>
      </c>
      <c r="U11" s="124" t="str">
        <f>IF(Reference!Z54="Controlled","Controlled",IF(Reference!Z54="Owned","Owned",""))</f>
        <v/>
      </c>
      <c r="V11" s="124" t="str">
        <f>IF(Reference!Z56="Controlled","Controlled",IF(Reference!Z56="Owned","Owned",""))</f>
        <v/>
      </c>
      <c r="W11" s="124" t="str">
        <f>IF(Reference!Z55="Controlled","Controlled",IF(Reference!Z55="Owned","Owned",""))</f>
        <v/>
      </c>
      <c r="X11" s="124" t="str">
        <f>IF(Reference!Z57="Controlled","Controlled",IF(Reference!Z57="Owned","Owned",""))</f>
        <v/>
      </c>
    </row>
    <row r="12" spans="2:24" x14ac:dyDescent="0.25">
      <c r="D12" s="144" t="s">
        <v>1433</v>
      </c>
      <c r="E12" s="124" t="e">
        <f>IF(Setup!AC45="Initiative Game","Initiation","Add a Phenomenon,"&amp;IF(F8=F9," and there ain't no Taint"," and a "&amp;VLOOKUP(F9,Reference!M52:N85,2,0)&amp;" Taint"))</f>
        <v>#N/A</v>
      </c>
      <c r="F12" s="2"/>
      <c r="G12" s="2"/>
      <c r="H12" s="2"/>
      <c r="I12" s="124" t="e">
        <f>IF($I$2="W",Reference!P60,IF($I$2="U",Reference!Q60,IF($I$2="B",Reference!R60,IF($I$2="R",Reference!S60,IF($I$2="G",Reference!T60,IF($I$2="S","","Undecided"))))))</f>
        <v>#N/A</v>
      </c>
      <c r="K12" s="144" t="s">
        <v>801</v>
      </c>
      <c r="L12" s="124" t="str">
        <f>IF(COUNTIF(Reference!P53:P68,BattleRef!$E16)+COUNTIF(Reference!P53:P68,BattleRef!$F16)=0,"",IF(S12="","",L$4))</f>
        <v/>
      </c>
      <c r="M12" s="124" t="str">
        <f>IF(COUNTIF(Reference!Q53:Q68,BattleRef!$E16)+COUNTIF(Reference!Q53:Q68,BattleRef!$F16)=0,"",IF(T12="","",M$4))</f>
        <v/>
      </c>
      <c r="N12" s="124" t="str">
        <f>IF(COUNTIF(Reference!R53:R68,BattleRef!$E16)+COUNTIF(Reference!R53:R68,BattleRef!$F16)=0,"",IF(U12="","",N$4))</f>
        <v/>
      </c>
      <c r="O12" s="124" t="str">
        <f>IF(COUNTIF(Reference!S53:S68,BattleRef!$E16)+COUNTIF(Reference!S53:S68,BattleRef!$F16)=0,"",IF(V12="","",O$4))</f>
        <v/>
      </c>
      <c r="P12" s="124" t="str">
        <f>IF(COUNTIF(Reference!T53:T68,BattleRef!$E16)+COUNTIF(Reference!T53:T68,BattleRef!$F16)=0,"",IF(W12="","",P$4))</f>
        <v/>
      </c>
      <c r="Q12" s="182" t="str">
        <f>IF(X12="","",IF(X8="WUBRG",Q$4,"Artifacts"))</f>
        <v/>
      </c>
      <c r="S12" s="124" t="str">
        <f>IF(Reference!AA59="Controlled","Controlled",IF(Reference!AA59="Owned","Owned",""))</f>
        <v/>
      </c>
      <c r="T12" s="124" t="str">
        <f>IF(Reference!AA58="Controlled","Controlled",IF(Reference!AA58="Owned","Owned",""))</f>
        <v/>
      </c>
      <c r="U12" s="124" t="str">
        <f>IF(Reference!AA54="Controlled","Controlled",IF(Reference!AA54="Owned","Owned",""))</f>
        <v/>
      </c>
      <c r="V12" s="124" t="str">
        <f>IF(Reference!AA56="Controlled","Controlled",IF(Reference!AA56="Owned","Owned",""))</f>
        <v/>
      </c>
      <c r="W12" s="124" t="str">
        <f>IF(Reference!AA55="Controlled","Controlled",IF(Reference!AA55="Owned","Owned",""))</f>
        <v/>
      </c>
      <c r="X12" s="124" t="str">
        <f>IF(Reference!AA57="Controlled","Controlled",IF(Reference!AA57="Owned","Owned",""))</f>
        <v/>
      </c>
    </row>
    <row r="13" spans="2:24" x14ac:dyDescent="0.25">
      <c r="I13" s="124" t="e">
        <f>IF($I$2="W",Reference!P61,IF($I$2="U",Reference!Q61,IF($I$2="B",Reference!R61,IF($I$2="R",Reference!S61,IF($I$2="G",Reference!T61,IF($I$2="S","","Undecided"))))))</f>
        <v>#N/A</v>
      </c>
    </row>
    <row r="14" spans="2:24" x14ac:dyDescent="0.25">
      <c r="D14" s="144" t="s">
        <v>1456</v>
      </c>
      <c r="E14" s="144" t="s">
        <v>1429</v>
      </c>
      <c r="F14" s="144" t="s">
        <v>1430</v>
      </c>
      <c r="G14" s="144" t="s">
        <v>1435</v>
      </c>
      <c r="I14" s="124" t="e">
        <f>IF($I$2="W",Reference!P62,IF($I$2="U",Reference!Q62,IF($I$2="B",Reference!R62,IF($I$2="R",Reference!S62,IF($I$2="G",Reference!T62,IF($I$2="S","","Undecided"))))))</f>
        <v>#N/A</v>
      </c>
      <c r="L14" s="144" t="s">
        <v>1451</v>
      </c>
      <c r="M14" s="144"/>
      <c r="N14" s="144"/>
      <c r="O14" s="144"/>
      <c r="P14" s="144"/>
      <c r="Q14" s="144"/>
      <c r="S14" s="144" t="s">
        <v>1449</v>
      </c>
      <c r="T14" s="144"/>
      <c r="U14" s="144"/>
      <c r="V14" s="144"/>
      <c r="W14" s="144"/>
      <c r="X14" s="144"/>
    </row>
    <row r="15" spans="2:24" x14ac:dyDescent="0.25">
      <c r="B15" s="144" t="s">
        <v>800</v>
      </c>
      <c r="C15" s="124" t="e">
        <f>IF(Setup!AC45="Initiative Game","Initiation",IF(LEFT(VLOOKUP(E8,MapReference!$Q$9:$AB$50,12,0),4)="Hero","Hero: ",IF(LEFT(VLOOKUP(E8,MapReference!$Q$9:$AB$50,12,0),4)="Cons","Conspiracy: ","Undecided")))</f>
        <v>#N/A</v>
      </c>
      <c r="D15" s="124" t="e">
        <f>IF(Setup!AC45="Initiative Game","Initiation",IF(VLOOKUP(E8,MapReference!$Q$9:$AB$50,12,0)="None","",C15&amp;VLOOKUP(VLOOKUP(E8,MapReference!$Q$9:$AB$50,12,0),Reference!AK:AL,2,0)))</f>
        <v>#N/A</v>
      </c>
      <c r="E15" s="124" t="e">
        <f>VLOOKUP(Setup!AC19,'PL1'!$H:$K,4,0)</f>
        <v>#N/A</v>
      </c>
      <c r="F15" s="124" t="e">
        <f>IF(Setup!AC45="Initiative Game","Initiation",VLOOKUP(Setup!AD19,'PL1'!$H:$K,4,0))</f>
        <v>#N/A</v>
      </c>
      <c r="G15" s="124" t="str">
        <f>IF(COUNTIF($I$4:$I$19,X7)=0,"No","Yes")</f>
        <v>No</v>
      </c>
      <c r="I15" s="124" t="e">
        <f>IF($I$2="W",Reference!P63,IF($I$2="U",Reference!Q63,IF($I$2="B",Reference!R63,IF($I$2="R",Reference!S63,IF($I$2="G",Reference!T63,IF($I$2="S","","Undecided"))))))</f>
        <v>#N/A</v>
      </c>
      <c r="K15" s="144" t="s">
        <v>800</v>
      </c>
      <c r="L15" s="124" t="str">
        <f t="shared" ref="L15:P16" si="2">IF(S11="Owned",IF(COUNTIF($S7:$W7,S15)=0,"",L$4),"")</f>
        <v/>
      </c>
      <c r="M15" s="124" t="str">
        <f t="shared" si="2"/>
        <v/>
      </c>
      <c r="N15" s="124" t="str">
        <f t="shared" si="2"/>
        <v/>
      </c>
      <c r="O15" s="124" t="str">
        <f t="shared" si="2"/>
        <v/>
      </c>
      <c r="P15" s="124" t="str">
        <f t="shared" si="2"/>
        <v/>
      </c>
      <c r="Q15" s="182" t="str">
        <f>IF(X15="","",IF(COUNTIF(S7:W7,X15)=0,"Artifacts",Q$4))</f>
        <v/>
      </c>
      <c r="S15" s="124" t="str">
        <f>IF(S11="Owned",IF(Setup!AN24=0,"",Setup!AN24),"")</f>
        <v/>
      </c>
      <c r="T15" s="124" t="str">
        <f>IF(T11="Owned",IF(Setup!AN23=0,"",Setup!AN23),"")</f>
        <v/>
      </c>
      <c r="U15" s="124" t="str">
        <f>IF(U11="Owned",IF(Setup!AN19=0,"",Setup!AN19),"")</f>
        <v/>
      </c>
      <c r="V15" s="124" t="str">
        <f>IF(V11="Owned",IF(Setup!AN21=0,"",Setup!AN21),"")</f>
        <v/>
      </c>
      <c r="W15" s="124" t="str">
        <f>IF(W11="Owned",IF(Setup!AN20=0,"",Setup!AN20),"")</f>
        <v/>
      </c>
      <c r="X15" s="124" t="str">
        <f>IF(X11="Owned",IF(Setup!AN22=0,"",Setup!AN22),"")</f>
        <v/>
      </c>
    </row>
    <row r="16" spans="2:24" x14ac:dyDescent="0.25">
      <c r="B16" s="144" t="s">
        <v>801</v>
      </c>
      <c r="C16" s="124" t="e">
        <f>IF(Setup!AC45="Initiative Game","Initiation",IF(LEFT(VLOOKUP(E9,MapReference!$Q$9:$AB$50,12,0),4)="Hero","Hero: ",IF(LEFT(VLOOKUP(E9,MapReference!$Q$9:$AB$50,12,0),4)="Cons","Conspiracy: ","Undecided")))</f>
        <v>#N/A</v>
      </c>
      <c r="D16" s="124" t="e">
        <f>IF(Setup!AC45="Initiative Game","Initiation",IF(VLOOKUP(E9,MapReference!$Q$9:$AB$50,12,0)="None","",C16&amp;VLOOKUP(VLOOKUP(E9,MapReference!$Q$9:$AB$50,12,0),Reference!AK:AL,2,0)))</f>
        <v>#N/A</v>
      </c>
      <c r="E16" s="124" t="e">
        <f>VLOOKUP(Setup!AC20,'PL2'!$H:$K,4,0)</f>
        <v>#N/A</v>
      </c>
      <c r="F16" s="124" t="e">
        <f>IF(Setup!AC45="Initiative Game","Initiation",VLOOKUP(Setup!AD20,'PL2'!$H:$K,4,0))</f>
        <v>#N/A</v>
      </c>
      <c r="G16" s="124" t="str">
        <f>IF(COUNTIF($I$4:$I$19,X8)=0,"No","Yes")</f>
        <v>No</v>
      </c>
      <c r="I16" s="124" t="e">
        <f>IF($I$2="W",Reference!P64,IF($I$2="U",Reference!Q64,IF($I$2="B",Reference!R64,IF($I$2="R",Reference!S64,IF($I$2="G",Reference!T64,IF($I$2="S","","Undecided"))))))</f>
        <v>#N/A</v>
      </c>
      <c r="K16" s="144" t="s">
        <v>801</v>
      </c>
      <c r="L16" s="124" t="str">
        <f t="shared" si="2"/>
        <v/>
      </c>
      <c r="M16" s="124" t="str">
        <f t="shared" si="2"/>
        <v/>
      </c>
      <c r="N16" s="124" t="str">
        <f t="shared" si="2"/>
        <v/>
      </c>
      <c r="O16" s="124" t="str">
        <f t="shared" si="2"/>
        <v/>
      </c>
      <c r="P16" s="124" t="str">
        <f t="shared" si="2"/>
        <v/>
      </c>
      <c r="Q16" s="182" t="str">
        <f>IF(X16="","",IF(COUNTIF(S8:W8,X16)=0,"Artifacts",Q$4))</f>
        <v/>
      </c>
      <c r="S16" s="124" t="str">
        <f>IF(S12="Owned",IF(Setup!AO24=0,"",Setup!AO24),"")</f>
        <v/>
      </c>
      <c r="T16" s="124" t="str">
        <f>IF(T12="Owned",IF(Setup!AO23=0,"",Setup!AO23),"")</f>
        <v/>
      </c>
      <c r="U16" s="124" t="str">
        <f>IF(U12="Owned",IF(Setup!AO19=0,"",Setup!AO19),"")</f>
        <v/>
      </c>
      <c r="V16" s="124" t="str">
        <f>IF(V12="Owned",IF(Setup!AO21=0,"",Setup!AO21),"")</f>
        <v/>
      </c>
      <c r="W16" s="124" t="str">
        <f>IF(W12="Owned",IF(Setup!AO20=0,"",Setup!AO20),"")</f>
        <v/>
      </c>
      <c r="X16" s="124" t="str">
        <f>IF(X12="Owned",IF(Setup!AO22=0,"",Setup!AO22),"")</f>
        <v/>
      </c>
    </row>
    <row r="17" spans="2:32" x14ac:dyDescent="0.25">
      <c r="I17" s="124" t="e">
        <f>IF($I$2="W",Reference!P65,IF($I$2="U",Reference!Q65,IF($I$2="B",Reference!R65,IF($I$2="R",Reference!S65,IF($I$2="G",Reference!T65,IF($I$2="S","","Undecided"))))))</f>
        <v>#N/A</v>
      </c>
    </row>
    <row r="18" spans="2:32" x14ac:dyDescent="0.25">
      <c r="C18" s="144" t="s">
        <v>1462</v>
      </c>
      <c r="D18" s="144" t="s">
        <v>1471</v>
      </c>
      <c r="I18" s="124" t="e">
        <f>IF($I$2="W",Reference!P66,IF($I$2="U",Reference!Q66,IF($I$2="B",Reference!R66,IF($I$2="R",Reference!S66,IF($I$2="G",Reference!T66,IF($I$2="S","","Undecided"))))))</f>
        <v>#N/A</v>
      </c>
    </row>
    <row r="19" spans="2:32" x14ac:dyDescent="0.25">
      <c r="B19" s="144">
        <v>4</v>
      </c>
      <c r="C19" s="124" t="e">
        <f>IF(Setup!AC45="Initiative Game","Initiation",VLOOKUP($E$8,Reference!$X$5:$AF$46,B19,0))</f>
        <v>#N/A</v>
      </c>
      <c r="D19" s="124" t="str">
        <f>IF(ISNA(VLOOKUP(C19,MapReference!$Q$9:$T$50,3,0)),"",IF(VLOOKUP(C19,MapReference!$Q$9:$T$50,3,0)="Dead","",LEFT(VLOOKUP(C19,MapReference!$Q$9:$T$50,3,0),3)))</f>
        <v/>
      </c>
      <c r="I19" s="124" t="e">
        <f>IF($I$2="W",Reference!P67,IF($I$2="U",Reference!Q67,IF($I$2="B",Reference!R67,IF($I$2="R",Reference!S67,IF($I$2="G",Reference!T67,IF($I$2="S","","Undecided"))))))</f>
        <v>#N/A</v>
      </c>
      <c r="L19" s="144" t="s">
        <v>1450</v>
      </c>
      <c r="M19" s="144"/>
      <c r="N19" s="144"/>
      <c r="O19" s="144"/>
      <c r="P19" s="144"/>
      <c r="Q19" s="144"/>
      <c r="S19" s="144" t="s">
        <v>1388</v>
      </c>
    </row>
    <row r="20" spans="2:32" x14ac:dyDescent="0.25">
      <c r="B20" s="144">
        <v>5</v>
      </c>
      <c r="C20" s="124" t="e">
        <f>IF(Setup!AC45="Initiative Game","Initiation",VLOOKUP($E$8,Reference!$X$5:$AF$46,B20,0))</f>
        <v>#N/A</v>
      </c>
      <c r="D20" s="124" t="str">
        <f>IF(ISNA(VLOOKUP(C20,MapReference!$Q$9:$T$50,3,0)),"",IF(VLOOKUP(C20,MapReference!$Q$9:$T$50,3,0)="Dead","",LEFT(VLOOKUP(C20,MapReference!$Q$9:$T$50,3,0),3)))</f>
        <v/>
      </c>
      <c r="K20" s="144" t="s">
        <v>800</v>
      </c>
      <c r="L20" s="124" t="e">
        <f>IF(L7="",IF(L11="",IF(L15="","",L15),L11),L7)</f>
        <v>#N/A</v>
      </c>
      <c r="M20" s="124" t="e">
        <f t="shared" ref="M20:P21" si="3">IF(M7="",IF(M11="",IF(M15="","",M15),M11),M7)</f>
        <v>#N/A</v>
      </c>
      <c r="N20" s="124" t="e">
        <f t="shared" si="3"/>
        <v>#N/A</v>
      </c>
      <c r="O20" s="124" t="e">
        <f t="shared" si="3"/>
        <v>#N/A</v>
      </c>
      <c r="P20" s="124" t="e">
        <f t="shared" si="3"/>
        <v>#N/A</v>
      </c>
      <c r="Q20" s="124" t="e">
        <f>IF(Q7="South America",Q7,IF(Q11="South America",Q11,IF(Q15="South America",Q15,IF(Q7="Artifacts",Q7,IF(Q11="Artifacts",Q11,IF(Q15="Artifacts",Q15,""))))))</f>
        <v>#N/A</v>
      </c>
      <c r="S20" s="144" t="s">
        <v>381</v>
      </c>
      <c r="T20" s="190" t="s">
        <v>1459</v>
      </c>
      <c r="U20" s="196">
        <v>40</v>
      </c>
    </row>
    <row r="21" spans="2:32" x14ac:dyDescent="0.25">
      <c r="B21" s="144">
        <v>6</v>
      </c>
      <c r="C21" s="124" t="e">
        <f>IF(Setup!AC45="Initiative Game","Initiation",VLOOKUP($E$8,Reference!$X$5:$AF$46,B21,0))</f>
        <v>#N/A</v>
      </c>
      <c r="D21" s="124" t="str">
        <f>IF(ISNA(VLOOKUP(C21,MapReference!$Q$9:$T$50,3,0)),"",IF(VLOOKUP(C21,MapReference!$Q$9:$T$50,3,0)="Dead","",LEFT(VLOOKUP(C21,MapReference!$Q$9:$T$50,3,0),3)))</f>
        <v/>
      </c>
      <c r="K21" s="144" t="s">
        <v>801</v>
      </c>
      <c r="L21" s="124" t="e">
        <f>IF(L8="",IF(L12="",IF(L16="","",L16),L12),L8)</f>
        <v>#N/A</v>
      </c>
      <c r="M21" s="124" t="e">
        <f t="shared" si="3"/>
        <v>#N/A</v>
      </c>
      <c r="N21" s="124" t="e">
        <f t="shared" si="3"/>
        <v>#N/A</v>
      </c>
      <c r="O21" s="124" t="e">
        <f t="shared" si="3"/>
        <v>#N/A</v>
      </c>
      <c r="P21" s="124" t="e">
        <f t="shared" si="3"/>
        <v>#N/A</v>
      </c>
      <c r="Q21" s="124" t="e">
        <f>IF(Q8="South America",Q8,IF(Q12="South America",Q12,IF(Q16="South America",Q16,IF(Q8="Artifacts",Q8,IF(Q12="Artifacts",Q12,IF(Q16="Artifacts",Q16,""))))))</f>
        <v>#N/A</v>
      </c>
      <c r="S21" s="144" t="s">
        <v>387</v>
      </c>
      <c r="T21" s="190" t="s">
        <v>1460</v>
      </c>
      <c r="U21" s="196">
        <v>3</v>
      </c>
    </row>
    <row r="22" spans="2:32" x14ac:dyDescent="0.25">
      <c r="B22" s="144">
        <v>7</v>
      </c>
      <c r="C22" s="124" t="e">
        <f>IF(Setup!AC45="Initiative Game","Initiation",VLOOKUP($E$8,Reference!$X$5:$AF$46,B22,0))</f>
        <v>#N/A</v>
      </c>
      <c r="D22" s="124" t="str">
        <f>IF(ISNA(VLOOKUP(C22,MapReference!$Q$9:$T$50,3,0)),"",IF(VLOOKUP(C22,MapReference!$Q$9:$T$50,3,0)="Dead","",LEFT(VLOOKUP(C22,MapReference!$Q$9:$T$50,3,0),3)))</f>
        <v/>
      </c>
    </row>
    <row r="23" spans="2:32" x14ac:dyDescent="0.25">
      <c r="B23" s="144">
        <v>8</v>
      </c>
      <c r="C23" s="124" t="e">
        <f>IF(Setup!AC45="Initiative Game","Initiation",VLOOKUP($E$8,Reference!$X$5:$AF$46,B23,0))</f>
        <v>#N/A</v>
      </c>
      <c r="D23" s="124" t="str">
        <f>IF(ISNA(VLOOKUP(C23,MapReference!$Q$9:$T$50,3,0)),"",IF(VLOOKUP(C23,MapReference!$Q$9:$T$50,3,0)="Dead","",LEFT(VLOOKUP(C23,MapReference!$Q$9:$T$50,3,0),3)))</f>
        <v/>
      </c>
    </row>
    <row r="24" spans="2:32" x14ac:dyDescent="0.25">
      <c r="B24" s="144">
        <v>9</v>
      </c>
      <c r="C24" s="124" t="e">
        <f>IF(Setup!AC45="Initiative Game","Initiation",VLOOKUP($E$8,Reference!$X$5:$AF$46,B24,0))</f>
        <v>#N/A</v>
      </c>
      <c r="D24" s="124" t="str">
        <f>IF(ISNA(VLOOKUP(C24,MapReference!$Q$9:$T$50,3,0)),"",IF(VLOOKUP(C24,MapReference!$Q$9:$T$50,3,0)="Dead","",LEFT(VLOOKUP(C24,MapReference!$Q$9:$T$50,3,0),3)))</f>
        <v/>
      </c>
    </row>
    <row r="28" spans="2:32" x14ac:dyDescent="0.25">
      <c r="D28" s="144" t="s">
        <v>1472</v>
      </c>
    </row>
    <row r="29" spans="2:32" x14ac:dyDescent="0.25">
      <c r="C29" s="144" t="s">
        <v>1463</v>
      </c>
      <c r="D29" s="196">
        <v>3.2</v>
      </c>
    </row>
    <row r="30" spans="2:32" x14ac:dyDescent="0.25">
      <c r="C30" s="144" t="s">
        <v>1464</v>
      </c>
      <c r="D30" s="196">
        <v>1.2</v>
      </c>
      <c r="G30" s="144" t="s">
        <v>800</v>
      </c>
      <c r="H30" s="144" t="str">
        <f t="shared" ref="H30:J30" si="4">M30</f>
        <v>Life</v>
      </c>
      <c r="I30" s="144" t="str">
        <f t="shared" si="4"/>
        <v>Power</v>
      </c>
      <c r="J30" s="144" t="str">
        <f t="shared" si="4"/>
        <v>Toughness</v>
      </c>
      <c r="K30" s="144" t="str">
        <f>P30</f>
        <v>Hand</v>
      </c>
      <c r="L30" s="144"/>
      <c r="M30" s="144" t="s">
        <v>383</v>
      </c>
      <c r="N30" s="144" t="s">
        <v>1001</v>
      </c>
      <c r="O30" s="144" t="s">
        <v>1185</v>
      </c>
      <c r="P30" s="144" t="s">
        <v>631</v>
      </c>
      <c r="Q30" s="144" t="s">
        <v>801</v>
      </c>
      <c r="V30" s="124">
        <f>Setup!AC56</f>
        <v>0</v>
      </c>
      <c r="W30" s="124">
        <f>Setup!AC19</f>
        <v>0</v>
      </c>
      <c r="X30" s="124">
        <f>Setup!AD19</f>
        <v>0</v>
      </c>
      <c r="Y30" s="144" t="s">
        <v>1390</v>
      </c>
      <c r="Z30" s="124">
        <f>Setup!AC20</f>
        <v>0</v>
      </c>
      <c r="AA30" s="124">
        <f>Setup!AD20</f>
        <v>0</v>
      </c>
      <c r="AB30" s="124">
        <f>Setup!AD56</f>
        <v>0</v>
      </c>
    </row>
    <row r="31" spans="2:32" x14ac:dyDescent="0.25">
      <c r="C31" s="144" t="s">
        <v>1465</v>
      </c>
      <c r="D31" s="196">
        <v>0.25</v>
      </c>
      <c r="G31" s="124" t="str">
        <f>IF(Setup!AK6="Yes","Two-Headed Giant","Lone Deck")</f>
        <v>Two-Headed Giant</v>
      </c>
      <c r="H31">
        <f>IF(Setup!AC45="Initiative Game",20,IF(Setup!AK6="Yes",40,20))</f>
        <v>40</v>
      </c>
      <c r="I31" s="4"/>
      <c r="J31" s="4"/>
      <c r="K31">
        <v>7</v>
      </c>
      <c r="L31" s="144" t="s">
        <v>1457</v>
      </c>
      <c r="M31">
        <f>H31</f>
        <v>40</v>
      </c>
      <c r="N31" s="4"/>
      <c r="O31" s="4"/>
      <c r="P31">
        <f>K31</f>
        <v>7</v>
      </c>
      <c r="Q31" s="124" t="str">
        <f>G31</f>
        <v>Two-Headed Giant</v>
      </c>
      <c r="V31" s="144"/>
      <c r="W31" s="144"/>
      <c r="X31" s="144" t="s">
        <v>800</v>
      </c>
      <c r="Y31" s="144" t="s">
        <v>11</v>
      </c>
      <c r="Z31" s="144" t="s">
        <v>801</v>
      </c>
      <c r="AA31" s="144"/>
      <c r="AB31" s="144"/>
    </row>
    <row r="32" spans="2:32" x14ac:dyDescent="0.25">
      <c r="C32" s="144" t="s">
        <v>1466</v>
      </c>
      <c r="D32" s="196">
        <v>0.4</v>
      </c>
      <c r="G32" s="124">
        <f>COUNTIF(Vanguard!$T$12:$T$87,BattleRef!C40)</f>
        <v>0</v>
      </c>
      <c r="H32" s="2">
        <f>C50</f>
        <v>0</v>
      </c>
      <c r="I32" s="2">
        <f>C51</f>
        <v>0</v>
      </c>
      <c r="J32" s="2">
        <f>C52</f>
        <v>0</v>
      </c>
      <c r="K32" s="2">
        <f>C53</f>
        <v>0</v>
      </c>
      <c r="L32" s="144" t="s">
        <v>630</v>
      </c>
      <c r="M32" s="2">
        <f>E50</f>
        <v>0</v>
      </c>
      <c r="N32" s="2">
        <f>E51</f>
        <v>0</v>
      </c>
      <c r="O32" s="2">
        <f>E52</f>
        <v>0</v>
      </c>
      <c r="P32" s="2">
        <f>E53</f>
        <v>0</v>
      </c>
      <c r="Q32" s="124">
        <f>COUNTIF(Vanguard!$T$12:$T$87,BattleRef!E40)</f>
        <v>0</v>
      </c>
      <c r="V32" s="124">
        <f>COUNTIF(Drop!$M$1:$V$300,BattleRef!V$30&amp;BattleRef!$Y33)</f>
        <v>0</v>
      </c>
      <c r="W32" s="124">
        <f>COUNTIF(Drop!$M$1:$V$300,BattleRef!W$30&amp;BattleRef!$Y33)</f>
        <v>0</v>
      </c>
      <c r="X32" s="124">
        <f>COUNTIF(Drop!$M$1:$V$300,BattleRef!X$30&amp;BattleRef!$Y33)</f>
        <v>0</v>
      </c>
      <c r="Y32" s="144" t="str">
        <f>Reference!I14</f>
        <v xml:space="preserve"> +Card</v>
      </c>
      <c r="Z32" s="124">
        <f>COUNTIF(Drop!$M$1:$V$300,BattleRef!Z$30&amp;BattleRef!$Y33)</f>
        <v>0</v>
      </c>
      <c r="AA32" s="124">
        <f>COUNTIF(Drop!$M$1:$V$300,BattleRef!AA$30&amp;BattleRef!$Y33)</f>
        <v>0</v>
      </c>
      <c r="AB32" s="124">
        <f>COUNTIF(Drop!$M$1:$V$300,BattleRef!AB$30&amp;BattleRef!$Y33)</f>
        <v>0</v>
      </c>
      <c r="AF32" s="196">
        <v>1</v>
      </c>
    </row>
    <row r="33" spans="3:33" x14ac:dyDescent="0.25">
      <c r="C33" s="144" t="s">
        <v>1467</v>
      </c>
      <c r="D33" s="197">
        <v>2.2000000000000002</v>
      </c>
      <c r="G33" s="124" t="e">
        <f>IF(Setup!AC45="Initiative Game","Initiation",VLOOKUP(E8,MapReference!$Q$9:$AB$50,12,0))</f>
        <v>#N/A</v>
      </c>
      <c r="H33" t="e">
        <f>IF(Setup!AC45="Initiative Game",0,VLOOKUP(G33,Reference!AK:AN,4,0))</f>
        <v>#N/A</v>
      </c>
      <c r="I33" s="4"/>
      <c r="J33" s="4"/>
      <c r="K33" t="e">
        <f>IF(Setup!AC45="Initiative Game",0,VLOOKUP(G33,Reference!AK:AM,3,0))</f>
        <v>#N/A</v>
      </c>
      <c r="L33" s="144" t="s">
        <v>1456</v>
      </c>
      <c r="M33" t="e">
        <f>IF(Setup!AC45="Initiative Game",0,VLOOKUP(Q33,Reference!AK:AN,4,0))</f>
        <v>#N/A</v>
      </c>
      <c r="N33" s="4"/>
      <c r="O33" s="4"/>
      <c r="P33" t="e">
        <f>IF(Setup!AC45="Initiative Game",0,VLOOKUP(Q33,Reference!AK:AM,3,0))</f>
        <v>#N/A</v>
      </c>
      <c r="Q33" s="124" t="e">
        <f>IF(Setup!AC45="Initiative Game","Initiation",VLOOKUP(E9,MapReference!$Q$9:$AB$50,12,0))</f>
        <v>#N/A</v>
      </c>
      <c r="T33" s="182" t="str">
        <f>IF(U33=0,"",IF(U33*AF33=1,U33*AF33&amp;" permant in play",U33*AF33&amp;" permanents in play"))</f>
        <v/>
      </c>
      <c r="U33" s="124">
        <f t="shared" ref="U33:U35" si="5">SUM(V33:X33)</f>
        <v>0</v>
      </c>
      <c r="V33" s="124">
        <f>COUNTIF(Drop!$M$1:$V$300,BattleRef!V$30&amp;BattleRef!$Y34)</f>
        <v>0</v>
      </c>
      <c r="W33" s="124">
        <f>COUNTIF(Drop!$M$1:$V$300,BattleRef!W$30&amp;BattleRef!$Y34)</f>
        <v>0</v>
      </c>
      <c r="X33" s="124">
        <f>COUNTIF(Drop!$M$1:$V$300,BattleRef!X$30&amp;BattleRef!$Y34)</f>
        <v>0</v>
      </c>
      <c r="Y33" s="144" t="str">
        <f>Reference!I15</f>
        <v>Permanent</v>
      </c>
      <c r="Z33" s="124">
        <f>COUNTIF(Drop!$M$1:$V$300,BattleRef!Z$30&amp;BattleRef!$Y34)</f>
        <v>0</v>
      </c>
      <c r="AA33" s="124">
        <f>COUNTIF(Drop!$M$1:$V$300,BattleRef!AA$30&amp;BattleRef!$Y34)</f>
        <v>0</v>
      </c>
      <c r="AB33" s="124">
        <f>COUNTIF(Drop!$M$1:$V$300,BattleRef!AB$30&amp;BattleRef!$Y34)</f>
        <v>0</v>
      </c>
      <c r="AC33" s="124">
        <f t="shared" ref="AC33:AC35" si="6">SUM(Z33:AB33)</f>
        <v>0</v>
      </c>
      <c r="AD33" s="182" t="str">
        <f>IF(AC33=0,"",IF(AC33*AF33=1,AC33*AF33&amp;" permant in play",AC33*AF33&amp;" permanents in play"))</f>
        <v/>
      </c>
      <c r="AF33" s="196">
        <v>1</v>
      </c>
    </row>
    <row r="34" spans="3:33" x14ac:dyDescent="0.25">
      <c r="C34" s="144" t="s">
        <v>1468</v>
      </c>
      <c r="D34" s="197">
        <v>0.9</v>
      </c>
      <c r="F34" s="124" t="e">
        <f>IF(Setup!AC45="Initiative Game","Initiation",VLOOKUP(G30,E3:F4,2,0))</f>
        <v>#N/A</v>
      </c>
      <c r="G34" s="124" t="e">
        <f>IF(Setup!AC45="Initiative Game","Initiation",VLOOKUP(G30,$E$3:$G$4,3,0))</f>
        <v>#N/A</v>
      </c>
      <c r="H34" s="2" t="e">
        <f>IF(Setup!AC45="Initiative Game",0,INT($G$34*IF($F$34="Attacker",$D$33,IF($F$34="Defender",$D$29,"Undecided"))))</f>
        <v>#N/A</v>
      </c>
      <c r="I34" s="2" t="e">
        <f>IF(Setup!AC45="Initiative Game",0,INT($G$34*IF($F$34="Attacker",$D$35,IF($F$34="Defender",$D$31,"Undecided"))))</f>
        <v>#N/A</v>
      </c>
      <c r="J34" s="2" t="e">
        <f>IF(Setup!AC45="Initiative Game",0,INT($G$34*IF($F$34="Attacker",$D$36,IF($F$34="Defender",$D$32,"Undecided"))))</f>
        <v>#N/A</v>
      </c>
      <c r="K34" s="2" t="e">
        <f>IF(Setup!AC45="Initiative Game",0,INT($G$34*IF($F$34="Attacker",$D$34,IF($F$34="Defender",$D$30,"Undecided"))))</f>
        <v>#N/A</v>
      </c>
      <c r="L34" s="144" t="s">
        <v>1387</v>
      </c>
      <c r="M34" s="2" t="e">
        <f>IF(Setup!AC45="Initiative Game",0,INT($Q$34*IF($R$34="Attacker",$D$33,IF($R$34="Defender",$D$29,"Undecided"))))</f>
        <v>#N/A</v>
      </c>
      <c r="N34" s="2" t="e">
        <f>IF(Setup!AC45="Initiative Game",0,INT($Q$34*IF($R$34="Attacker",$D$35,IF($R$34="Defender",$D$31,"Undecided"))))</f>
        <v>#N/A</v>
      </c>
      <c r="O34" s="2" t="e">
        <f>IF(Setup!AC45="Initiative Game",0,INT($Q$34*IF($R$34="Attacker",$D$36,IF($R$34="Defender",$D$32,"Undecided"))))</f>
        <v>#N/A</v>
      </c>
      <c r="P34" s="2" t="e">
        <f>IF(Setup!AC45="Initiative Game",0,INT($Q$34*IF($R$34="Attacker",$D$34,IF($R$34="Defender",$D$30,"Undecided"))))</f>
        <v>#N/A</v>
      </c>
      <c r="Q34" s="124" t="e">
        <f>IF(Setup!AC45="Initiative Game","Initiation",VLOOKUP(Q30,$E$3:$G$4,3,0))</f>
        <v>#N/A</v>
      </c>
      <c r="R34" s="124" t="e">
        <f>IF(Setup!AC45="Initiative Game","Initiation",VLOOKUP(Q30,E3:F4,2,0))</f>
        <v>#N/A</v>
      </c>
      <c r="T34" s="182" t="str">
        <f>IF(U34=0,"","Your spells are "&amp;U34*AF34&amp;" cheaper first "&amp;U34*AG34&amp;IF(U34*AG34=1," turn"," turns"))</f>
        <v/>
      </c>
      <c r="U34" s="124">
        <f t="shared" si="5"/>
        <v>0</v>
      </c>
      <c r="V34" s="124">
        <f>COUNTIF(Drop!$M$1:$V$300,BattleRef!V$30&amp;BattleRef!$Y35)</f>
        <v>0</v>
      </c>
      <c r="W34" s="124">
        <f>COUNTIF(Drop!$M$1:$V$300,BattleRef!W$30&amp;BattleRef!$Y35)</f>
        <v>0</v>
      </c>
      <c r="X34" s="124">
        <f>COUNTIF(Drop!$M$1:$V$300,BattleRef!X$30&amp;BattleRef!$Y35)</f>
        <v>0</v>
      </c>
      <c r="Y34" s="144" t="str">
        <f>Reference!I16</f>
        <v>Cheaper Spells</v>
      </c>
      <c r="Z34" s="124">
        <f>COUNTIF(Drop!$M$1:$V$300,BattleRef!Z$30&amp;BattleRef!$Y35)</f>
        <v>0</v>
      </c>
      <c r="AA34" s="124">
        <f>COUNTIF(Drop!$M$1:$V$300,BattleRef!AA$30&amp;BattleRef!$Y35)</f>
        <v>0</v>
      </c>
      <c r="AB34" s="124">
        <f>COUNTIF(Drop!$M$1:$V$300,BattleRef!AB$30&amp;BattleRef!$Y35)</f>
        <v>0</v>
      </c>
      <c r="AC34" s="124">
        <f t="shared" si="6"/>
        <v>0</v>
      </c>
      <c r="AD34" s="182" t="str">
        <f>IF(AC34=0,"","Your spells are "&amp;AC34*AF34&amp;" cheaper first "&amp;AC34*AG34&amp;IF(AC34*AG34=1," turn"," turns"))</f>
        <v/>
      </c>
      <c r="AF34" s="196">
        <v>2</v>
      </c>
      <c r="AG34" s="196">
        <v>2</v>
      </c>
    </row>
    <row r="35" spans="3:33" x14ac:dyDescent="0.25">
      <c r="C35" s="144" t="s">
        <v>1469</v>
      </c>
      <c r="D35" s="197">
        <v>0.2</v>
      </c>
      <c r="G35" s="124"/>
      <c r="H35" t="e">
        <f>IF(L20="North America",U20,0)</f>
        <v>#N/A</v>
      </c>
      <c r="I35" s="4"/>
      <c r="J35" s="4"/>
      <c r="K35">
        <f>INT(COUNTIF(MapReference!$AD$9:$AD$50,"PL1")/U21)</f>
        <v>0</v>
      </c>
      <c r="L35" s="144" t="s">
        <v>1388</v>
      </c>
      <c r="M35" t="e">
        <f>IF(L21="North America",U20,0)</f>
        <v>#N/A</v>
      </c>
      <c r="N35" s="4"/>
      <c r="O35" s="4"/>
      <c r="P35">
        <f>INT(COUNTIF(MapReference!$AD$9:$AD$50,"PL2")/U21)</f>
        <v>0</v>
      </c>
      <c r="Q35" s="124"/>
      <c r="T35" s="182" t="str">
        <f>IF(U35=0,"",IF(U35*AF35=1,"Tutor for a basic land into play tapped","Tutor for "&amp;U35*AF35&amp;" basic lands into play tapped"))</f>
        <v/>
      </c>
      <c r="U35" s="124">
        <f t="shared" si="5"/>
        <v>0</v>
      </c>
      <c r="V35" s="186">
        <f>COUNTIF(Drop!$M$1:$V$300,BattleRef!V$30&amp;BattleRef!$Y36)</f>
        <v>0</v>
      </c>
      <c r="W35" s="186">
        <f>COUNTIF(Drop!$M$1:$V$300,BattleRef!W$30&amp;BattleRef!$Y36)</f>
        <v>0</v>
      </c>
      <c r="X35" s="186">
        <f>COUNTIF(Drop!$M$1:$V$300,BattleRef!X$30&amp;BattleRef!$Y36)</f>
        <v>0</v>
      </c>
      <c r="Y35" s="191" t="str">
        <f>Reference!I17</f>
        <v>Tutor for Land</v>
      </c>
      <c r="Z35" s="186">
        <f>COUNTIF(Drop!$M$1:$V$300,BattleRef!Z$30&amp;BattleRef!$Y36)</f>
        <v>0</v>
      </c>
      <c r="AA35" s="186">
        <f>COUNTIF(Drop!$M$1:$V$300,BattleRef!AA$30&amp;BattleRef!$Y36)</f>
        <v>0</v>
      </c>
      <c r="AB35" s="186">
        <f>COUNTIF(Drop!$M$1:$V$300,BattleRef!AB$30&amp;BattleRef!$Y36)</f>
        <v>0</v>
      </c>
      <c r="AC35" s="124">
        <f t="shared" si="6"/>
        <v>0</v>
      </c>
      <c r="AD35" s="182" t="str">
        <f>IF(AC35=0,"",IF(AC35*AF35=1,"Tutor for a basic land into play tapped","Tutor for "&amp;AC35*AF35&amp;" basic lands into play tapped"))</f>
        <v/>
      </c>
      <c r="AF35" s="198">
        <v>1</v>
      </c>
      <c r="AG35" s="192"/>
    </row>
    <row r="36" spans="3:33" x14ac:dyDescent="0.25">
      <c r="C36" s="144" t="s">
        <v>1470</v>
      </c>
      <c r="D36" s="197">
        <v>0.34</v>
      </c>
      <c r="G36" s="124"/>
      <c r="H36">
        <f>(SUM(V36:X36)*AF36)+(SUM(V42:X42)*AF42)</f>
        <v>0</v>
      </c>
      <c r="I36">
        <f>(SUM(V37:X37)*AF37)+(SUM(V43:X43)*AF43)</f>
        <v>0</v>
      </c>
      <c r="J36">
        <f>(SUM(V37:X37)*AG37)+(SUM(V43:X43)*AG43)</f>
        <v>0</v>
      </c>
      <c r="K36">
        <f>(SUM(V32:X32)*AF32)+(SUM(V38:X38)*AF38)</f>
        <v>0</v>
      </c>
      <c r="L36" s="144" t="s">
        <v>1390</v>
      </c>
      <c r="M36">
        <f>(SUM(Z36:AB36)*AF36)+(SUM(Z42:AB42)*AF42)</f>
        <v>0</v>
      </c>
      <c r="N36">
        <f>(SUM(Z37:AB37)*AF37)+(SUM(Z43:AB43)*AF43)</f>
        <v>0</v>
      </c>
      <c r="O36">
        <f>(SUM(Z37:AB37)*AG37)+(SUM(Z43:AB43)*AG43)</f>
        <v>0</v>
      </c>
      <c r="P36">
        <f>(SUM(Z32:AB32)*AF32)+(SUM(Z38:AB38)*AF38)</f>
        <v>0</v>
      </c>
      <c r="Q36" s="124"/>
      <c r="V36" s="186">
        <f>COUNTIF(Drop!$M$1:$V$300,BattleRef!V$30&amp;BattleRef!$Y37)</f>
        <v>0</v>
      </c>
      <c r="W36" s="186">
        <f>COUNTIF(Drop!$M$1:$V$300,BattleRef!W$30&amp;BattleRef!$Y37)</f>
        <v>0</v>
      </c>
      <c r="X36" s="186">
        <f>COUNTIF(Drop!$M$1:$V$300,BattleRef!X$30&amp;BattleRef!$Y37)</f>
        <v>0</v>
      </c>
      <c r="Y36" s="191" t="str">
        <f>Reference!I18</f>
        <v xml:space="preserve"> +Life</v>
      </c>
      <c r="Z36" s="186">
        <f>COUNTIF(Drop!$M$1:$V$300,BattleRef!Z$30&amp;BattleRef!$Y37)</f>
        <v>0</v>
      </c>
      <c r="AA36" s="186">
        <f>COUNTIF(Drop!$M$1:$V$300,BattleRef!AA$30&amp;BattleRef!$Y37)</f>
        <v>0</v>
      </c>
      <c r="AB36" s="186">
        <f>COUNTIF(Drop!$M$1:$V$300,BattleRef!AB$30&amp;BattleRef!$Y37)</f>
        <v>0</v>
      </c>
      <c r="AF36" s="198">
        <v>8</v>
      </c>
      <c r="AG36" s="192"/>
    </row>
    <row r="37" spans="3:33" x14ac:dyDescent="0.25">
      <c r="G37" s="124"/>
      <c r="H37">
        <f>X51*AF51</f>
        <v>0</v>
      </c>
      <c r="I37">
        <f>X52*AF52</f>
        <v>0</v>
      </c>
      <c r="J37" s="2">
        <f>X52*AG52</f>
        <v>0</v>
      </c>
      <c r="K37">
        <f>X47*AF47</f>
        <v>0</v>
      </c>
      <c r="L37" s="144" t="s">
        <v>1389</v>
      </c>
      <c r="M37">
        <f>Z51*AF51</f>
        <v>0</v>
      </c>
      <c r="N37">
        <f>Z52*AF52</f>
        <v>0</v>
      </c>
      <c r="O37" s="2">
        <f>Z52*AG52</f>
        <v>0</v>
      </c>
      <c r="P37">
        <f>Z47*AF47</f>
        <v>0</v>
      </c>
      <c r="Q37" s="124"/>
      <c r="V37" s="186">
        <f>COUNTIF(Drop!$M$1:$V$300,BattleRef!V$30&amp;BattleRef!$Y38)</f>
        <v>0</v>
      </c>
      <c r="W37" s="186">
        <f>COUNTIF(Drop!$M$1:$V$300,BattleRef!W$30&amp;BattleRef!$Y38)</f>
        <v>0</v>
      </c>
      <c r="X37" s="186">
        <f>COUNTIF(Drop!$M$1:$V$300,BattleRef!X$30&amp;BattleRef!$Y38)</f>
        <v>0</v>
      </c>
      <c r="Y37" s="191" t="str">
        <f>Reference!I19</f>
        <v xml:space="preserve"> +/+</v>
      </c>
      <c r="Z37" s="186">
        <f>COUNTIF(Drop!$M$1:$V$300,BattleRef!Z$30&amp;BattleRef!$Y38)</f>
        <v>0</v>
      </c>
      <c r="AA37" s="186">
        <f>COUNTIF(Drop!$M$1:$V$300,BattleRef!AA$30&amp;BattleRef!$Y38)</f>
        <v>0</v>
      </c>
      <c r="AB37" s="186">
        <f>COUNTIF(Drop!$M$1:$V$300,BattleRef!AB$30&amp;BattleRef!$Y38)</f>
        <v>0</v>
      </c>
      <c r="AF37" s="198">
        <v>1</v>
      </c>
      <c r="AG37" s="198">
        <v>1</v>
      </c>
    </row>
    <row r="38" spans="3:33" x14ac:dyDescent="0.25">
      <c r="G38" s="124"/>
      <c r="Q38" s="124"/>
      <c r="V38" s="193">
        <f>COUNTIF(Drop!$M$1:$V$300,BattleRef!V$30&amp;BattleRef!$Y39)</f>
        <v>0</v>
      </c>
      <c r="W38" s="193">
        <f>COUNTIF(Drop!$M$1:$V$300,BattleRef!W$30&amp;BattleRef!$Y39)</f>
        <v>0</v>
      </c>
      <c r="X38" s="193">
        <f>COUNTIF(Drop!$M$1:$V$300,BattleRef!X$30&amp;BattleRef!$Y39)</f>
        <v>0</v>
      </c>
      <c r="Y38" s="191" t="str">
        <f>Reference!I21</f>
        <v xml:space="preserve"> -Card</v>
      </c>
      <c r="Z38" s="193">
        <f>COUNTIF(Drop!$M$1:$V$300,BattleRef!Z$30&amp;BattleRef!$Y39)</f>
        <v>0</v>
      </c>
      <c r="AA38" s="193">
        <f>COUNTIF(Drop!$M$1:$V$300,BattleRef!AA$30&amp;BattleRef!$Y39)</f>
        <v>0</v>
      </c>
      <c r="AB38" s="193">
        <f>COUNTIF(Drop!$M$1:$V$300,BattleRef!AB$30&amp;BattleRef!$Y39)</f>
        <v>0</v>
      </c>
      <c r="AF38" s="199">
        <v>1</v>
      </c>
    </row>
    <row r="39" spans="3:33" ht="15.75" thickBot="1" x14ac:dyDescent="0.3">
      <c r="D39" s="144" t="s">
        <v>1009</v>
      </c>
      <c r="G39" s="124"/>
      <c r="H39" s="189"/>
      <c r="I39" s="189"/>
      <c r="J39" s="189"/>
      <c r="K39" s="189"/>
      <c r="L39" s="189"/>
      <c r="M39" s="189"/>
      <c r="N39" s="189"/>
      <c r="O39" s="189"/>
      <c r="P39" s="189"/>
      <c r="Q39" s="124"/>
      <c r="T39" s="182" t="str">
        <f>IF(U39+U48=0,"","Counter the first "&amp;(U39*AF39)+(U48*AF48)&amp;IF((U39*AF39)+(U48*AF48)=1," spell"," spells"))</f>
        <v/>
      </c>
      <c r="U39" s="124">
        <f>SUM(V39:X39)</f>
        <v>0</v>
      </c>
      <c r="V39" s="193">
        <f>COUNTIF(Drop!$M$1:$V$300,BattleRef!V$30&amp;BattleRef!$Y40)</f>
        <v>0</v>
      </c>
      <c r="W39" s="193">
        <f>COUNTIF(Drop!$M$1:$V$300,BattleRef!W$30&amp;BattleRef!$Y40)</f>
        <v>0</v>
      </c>
      <c r="X39" s="193">
        <f>COUNTIF(Drop!$M$1:$V$300,BattleRef!X$30&amp;BattleRef!$Y40)</f>
        <v>0</v>
      </c>
      <c r="Y39" s="191" t="str">
        <f>Reference!I22</f>
        <v>Counter Spell</v>
      </c>
      <c r="Z39" s="193">
        <f>COUNTIF(Drop!$M$1:$V$300,BattleRef!Z$30&amp;BattleRef!$Y40)</f>
        <v>0</v>
      </c>
      <c r="AA39" s="193">
        <f>COUNTIF(Drop!$M$1:$V$300,BattleRef!AA$30&amp;BattleRef!$Y40)</f>
        <v>0</v>
      </c>
      <c r="AB39" s="193">
        <f>COUNTIF(Drop!$M$1:$V$300,BattleRef!AB$30&amp;BattleRef!$Y40)</f>
        <v>0</v>
      </c>
      <c r="AC39" s="124">
        <f>SUM(Z39:AB39)</f>
        <v>0</v>
      </c>
      <c r="AD39" s="182" t="str">
        <f>IF(AC39+AC48=0,"","Counter the first "&amp;(AC39*AF39)+(AC48*AF48)&amp;IF((AC39*AF39)+(AC48*AF48)=1," spell"," spells"))</f>
        <v/>
      </c>
      <c r="AF39" s="199">
        <v>1</v>
      </c>
    </row>
    <row r="40" spans="3:33" ht="15.75" thickTop="1" x14ac:dyDescent="0.25">
      <c r="C40" s="144" t="s">
        <v>800</v>
      </c>
      <c r="D40" s="144" t="s">
        <v>630</v>
      </c>
      <c r="E40" s="144" t="s">
        <v>801</v>
      </c>
      <c r="T40" s="182" t="str">
        <f>IF(U40+U49=0,"","Exile the top "&amp;(U40*AF40)+(U49*AF49)&amp;IF((U40*AF40)+(U49*AF49)=1," card"," cards"))</f>
        <v/>
      </c>
      <c r="U40" s="124">
        <f t="shared" ref="U40:U41" si="7">SUM(V40:X40)</f>
        <v>0</v>
      </c>
      <c r="V40" s="193">
        <f>COUNTIF(Drop!$M$1:$V$300,BattleRef!V$30&amp;BattleRef!$Y41)</f>
        <v>0</v>
      </c>
      <c r="W40" s="193">
        <f>COUNTIF(Drop!$M$1:$V$300,BattleRef!W$30&amp;BattleRef!$Y41)</f>
        <v>0</v>
      </c>
      <c r="X40" s="193">
        <f>COUNTIF(Drop!$M$1:$V$300,BattleRef!X$30&amp;BattleRef!$Y41)</f>
        <v>0</v>
      </c>
      <c r="Y40" s="191" t="str">
        <f>Reference!I23</f>
        <v>Mill</v>
      </c>
      <c r="Z40" s="193">
        <f>COUNTIF(Drop!$M$1:$V$300,BattleRef!Z$30&amp;BattleRef!$Y41)</f>
        <v>0</v>
      </c>
      <c r="AA40" s="193">
        <f>COUNTIF(Drop!$M$1:$V$300,BattleRef!AA$30&amp;BattleRef!$Y41)</f>
        <v>0</v>
      </c>
      <c r="AB40" s="193">
        <f>COUNTIF(Drop!$M$1:$V$300,BattleRef!AB$30&amp;BattleRef!$Y41)</f>
        <v>0</v>
      </c>
      <c r="AC40" s="124">
        <f t="shared" ref="AC40:AC41" si="8">SUM(Z40:AB40)</f>
        <v>0</v>
      </c>
      <c r="AD40" s="182" t="str">
        <f>IF(AC40+AC49=0,"","Exile the top "&amp;(AC40*AF40)+(AC49*AF49)&amp;IF((AC40*AF40)+(AC49*AF49)=1," card"," cards"))</f>
        <v/>
      </c>
      <c r="AF40" s="199">
        <v>10</v>
      </c>
    </row>
    <row r="41" spans="3:33" x14ac:dyDescent="0.25">
      <c r="C41" s="124" t="str">
        <f>IF(G32=0,"",IF(G32&gt;8,"Click for Vanguard List","Vanguard"))</f>
        <v/>
      </c>
      <c r="D41" s="144" t="s">
        <v>1476</v>
      </c>
      <c r="E41" s="124" t="str">
        <f>IF(Q32=0,"",IF(Q32&gt;8,"Click for Vanguard List","Vanguard"))</f>
        <v/>
      </c>
      <c r="I41" s="124" t="e">
        <f t="shared" ref="I41:O41" si="9">SUM(I31:I39)</f>
        <v>#N/A</v>
      </c>
      <c r="J41" s="124" t="e">
        <f t="shared" si="9"/>
        <v>#N/A</v>
      </c>
      <c r="N41" s="124" t="e">
        <f t="shared" si="9"/>
        <v>#N/A</v>
      </c>
      <c r="O41" s="124" t="e">
        <f t="shared" si="9"/>
        <v>#N/A</v>
      </c>
      <c r="T41" s="182" t="str">
        <f>IF(U41+U50=0,"",(U41*AF41)+(U50*AF50)&amp;IF((U41*AF41)+(U50*AF50)=1," land tapped"," lands tapped"))</f>
        <v/>
      </c>
      <c r="U41" s="124">
        <f t="shared" si="7"/>
        <v>0</v>
      </c>
      <c r="V41" s="182">
        <f>COUNTIF(Drop!$M$1:$V$300,BattleRef!V$30&amp;BattleRef!$Y42)</f>
        <v>0</v>
      </c>
      <c r="W41" s="182">
        <f>COUNTIF(Drop!$M$1:$V$300,BattleRef!W$30&amp;BattleRef!$Y42)</f>
        <v>0</v>
      </c>
      <c r="X41" s="182">
        <f>COUNTIF(Drop!$M$1:$V$300,BattleRef!X$30&amp;BattleRef!$Y42)</f>
        <v>0</v>
      </c>
      <c r="Y41" s="144" t="str">
        <f>Reference!I24</f>
        <v>Lands Tapped</v>
      </c>
      <c r="Z41" s="182">
        <f>COUNTIF(Drop!$M$1:$V$300,BattleRef!Z$30&amp;BattleRef!$Y42)</f>
        <v>0</v>
      </c>
      <c r="AA41" s="182">
        <f>COUNTIF(Drop!$M$1:$V$300,BattleRef!AA$30&amp;BattleRef!$Y42)</f>
        <v>0</v>
      </c>
      <c r="AB41" s="182">
        <f>COUNTIF(Drop!$M$1:$V$300,BattleRef!AB$30&amp;BattleRef!$Y42)</f>
        <v>0</v>
      </c>
      <c r="AC41" s="124">
        <f t="shared" si="8"/>
        <v>0</v>
      </c>
      <c r="AD41" s="182" t="str">
        <f>IF(AC41+AC50=0,"",(AC41*AF41)+(AC50*AF50)&amp;IF((AC41*AF41)+(AC50*AF50)=1," land tapped"," lands tapped"))</f>
        <v/>
      </c>
      <c r="AF41" s="197">
        <v>3</v>
      </c>
    </row>
    <row r="42" spans="3:33" x14ac:dyDescent="0.25">
      <c r="C42" s="124" t="str">
        <f>IF(ISNA(VLOOKUP(D42,Vanguard!D:H,5,0)),"",VLOOKUP(D42,Vanguard!D:H,5,0))</f>
        <v/>
      </c>
      <c r="D42" s="144">
        <v>1</v>
      </c>
      <c r="E42" s="124" t="str">
        <f>IF(ISNA(VLOOKUP(D42,Vanguard!E:H,4,0)),"",VLOOKUP(D42,Vanguard!E:H,4,0))</f>
        <v/>
      </c>
      <c r="I42" s="124" t="e">
        <f>IF(I41&gt;=0,"+"&amp;I41,I41)</f>
        <v>#N/A</v>
      </c>
      <c r="J42" s="124" t="e">
        <f>IF(J41&gt;=0,"+"&amp;J41,J41)</f>
        <v>#N/A</v>
      </c>
      <c r="N42" s="124" t="e">
        <f>IF(N41&gt;=0,"+"&amp;N41,N41)</f>
        <v>#N/A</v>
      </c>
      <c r="O42" s="124" t="e">
        <f>IF(O41&gt;=0,"+"&amp;O41,O41)</f>
        <v>#N/A</v>
      </c>
      <c r="V42" s="182">
        <f>COUNTIF(Drop!$M$1:$V$300,BattleRef!V$30&amp;BattleRef!$Y43)</f>
        <v>0</v>
      </c>
      <c r="W42" s="182">
        <f>COUNTIF(Drop!$M$1:$V$300,BattleRef!W$30&amp;BattleRef!$Y43)</f>
        <v>0</v>
      </c>
      <c r="X42" s="182">
        <f>COUNTIF(Drop!$M$1:$V$300,BattleRef!X$30&amp;BattleRef!$Y43)</f>
        <v>0</v>
      </c>
      <c r="Y42" s="144" t="str">
        <f>Reference!I25</f>
        <v xml:space="preserve"> -Life</v>
      </c>
      <c r="Z42" s="182">
        <f>COUNTIF(Drop!$M$1:$V$300,BattleRef!Z$30&amp;BattleRef!$Y43)</f>
        <v>0</v>
      </c>
      <c r="AA42" s="182">
        <f>COUNTIF(Drop!$M$1:$V$300,BattleRef!AA$30&amp;BattleRef!$Y43)</f>
        <v>0</v>
      </c>
      <c r="AB42" s="182">
        <f>COUNTIF(Drop!$M$1:$V$300,BattleRef!AB$30&amp;BattleRef!$Y43)</f>
        <v>0</v>
      </c>
      <c r="AF42" s="197">
        <v>-7</v>
      </c>
    </row>
    <row r="43" spans="3:33" x14ac:dyDescent="0.25">
      <c r="C43" s="124" t="str">
        <f>IF(ISNA(VLOOKUP(D43,Vanguard!D:H,5,0)),"",VLOOKUP(D43,Vanguard!D:H,5,0))</f>
        <v/>
      </c>
      <c r="D43" s="144">
        <v>2</v>
      </c>
      <c r="E43" s="124" t="str">
        <f>IF(ISNA(VLOOKUP(D43,Vanguard!E:H,4,0)),"",VLOOKUP(D43,Vanguard!E:H,4,0))</f>
        <v/>
      </c>
      <c r="H43" s="182" t="e">
        <f>SUM(H31:H39)</f>
        <v>#N/A</v>
      </c>
      <c r="I43" s="182" t="e">
        <f>I42&amp;"/"&amp;J42</f>
        <v>#N/A</v>
      </c>
      <c r="J43" s="182"/>
      <c r="K43" s="182" t="e">
        <f>SUM(K31:K39)</f>
        <v>#N/A</v>
      </c>
      <c r="L43" s="182"/>
      <c r="M43" s="182" t="e">
        <f>SUM(M31:M39)</f>
        <v>#N/A</v>
      </c>
      <c r="N43" s="182" t="e">
        <f>N42&amp;"/"&amp;O42</f>
        <v>#N/A</v>
      </c>
      <c r="O43" s="182"/>
      <c r="P43" s="182" t="e">
        <f>SUM(P31:P39)</f>
        <v>#N/A</v>
      </c>
      <c r="V43" s="182">
        <f>COUNTIF(Drop!$M$1:$V$300,BattleRef!V$30&amp;BattleRef!$Y44)</f>
        <v>0</v>
      </c>
      <c r="W43" s="182">
        <f>COUNTIF(Drop!$M$1:$V$300,BattleRef!W$30&amp;BattleRef!$Y44)</f>
        <v>0</v>
      </c>
      <c r="X43" s="182">
        <f>COUNTIF(Drop!$M$1:$V$300,BattleRef!X$30&amp;BattleRef!$Y44)</f>
        <v>0</v>
      </c>
      <c r="Y43" s="144" t="str">
        <f>Reference!I26</f>
        <v xml:space="preserve"> -/-</v>
      </c>
      <c r="Z43" s="182">
        <f>COUNTIF(Drop!$M$1:$V$300,BattleRef!Z$30&amp;BattleRef!$Y44)</f>
        <v>0</v>
      </c>
      <c r="AA43" s="182">
        <f>COUNTIF(Drop!$M$1:$V$300,BattleRef!AA$30&amp;BattleRef!$Y44)</f>
        <v>0</v>
      </c>
      <c r="AB43" s="182">
        <f>COUNTIF(Drop!$M$1:$V$300,BattleRef!AB$30&amp;BattleRef!$Y44)</f>
        <v>0</v>
      </c>
      <c r="AF43" s="197">
        <v>-2</v>
      </c>
      <c r="AG43" s="197">
        <v>0</v>
      </c>
    </row>
    <row r="44" spans="3:33" x14ac:dyDescent="0.25">
      <c r="C44" s="124" t="str">
        <f>IF(ISNA(VLOOKUP(D44,Vanguard!D:H,5,0)),"",VLOOKUP(D44,Vanguard!D:H,5,0))</f>
        <v/>
      </c>
      <c r="D44" s="144">
        <v>3</v>
      </c>
      <c r="E44" s="124" t="str">
        <f>IF(ISNA(VLOOKUP(D44,Vanguard!E:H,4,0)),"",VLOOKUP(D44,Vanguard!E:H,4,0))</f>
        <v/>
      </c>
    </row>
    <row r="45" spans="3:33" x14ac:dyDescent="0.25">
      <c r="C45" s="124" t="str">
        <f>IF(ISNA(VLOOKUP(D45,Vanguard!D:H,5,0)),"",VLOOKUP(D45,Vanguard!D:H,5,0))</f>
        <v/>
      </c>
      <c r="D45" s="144">
        <v>4</v>
      </c>
      <c r="E45" s="124" t="str">
        <f>IF(ISNA(VLOOKUP(D45,Vanguard!E:H,4,0)),"",VLOOKUP(D45,Vanguard!E:H,4,0))</f>
        <v/>
      </c>
    </row>
    <row r="46" spans="3:33" x14ac:dyDescent="0.25">
      <c r="C46" s="124" t="str">
        <f>IF(ISNA(VLOOKUP(D46,Vanguard!D:H,5,0)),"",VLOOKUP(D46,Vanguard!D:H,5,0))</f>
        <v/>
      </c>
      <c r="D46" s="144">
        <v>5</v>
      </c>
      <c r="E46" s="124" t="str">
        <f>IF(ISNA(VLOOKUP(D46,Vanguard!E:H,4,0)),"",VLOOKUP(D46,Vanguard!E:H,4,0))</f>
        <v/>
      </c>
      <c r="X46" s="144"/>
      <c r="Y46" s="144" t="s">
        <v>1389</v>
      </c>
      <c r="Z46" s="144"/>
    </row>
    <row r="47" spans="3:33" x14ac:dyDescent="0.25">
      <c r="C47" s="124" t="str">
        <f>IF(ISNA(VLOOKUP(D47,Vanguard!D:H,5,0)),"",VLOOKUP(D47,Vanguard!D:H,5,0))</f>
        <v/>
      </c>
      <c r="D47" s="144">
        <v>6</v>
      </c>
      <c r="E47" s="124" t="str">
        <f>IF(ISNA(VLOOKUP(D47,Vanguard!E:H,4,0)),"",VLOOKUP(D47,Vanguard!E:H,4,0))</f>
        <v/>
      </c>
      <c r="X47" s="124">
        <f>COUNTIF(GameLog!$R$2:$R$2999,$V$30&amp;Y47)</f>
        <v>0</v>
      </c>
      <c r="Y47" s="144" t="str">
        <f>Reference!I5</f>
        <v>Card</v>
      </c>
      <c r="Z47" s="124">
        <f>COUNTIF(GameLog!$R$2:$R$2999,$AB$30&amp;Y47)</f>
        <v>0</v>
      </c>
      <c r="AF47" s="196">
        <v>-1</v>
      </c>
    </row>
    <row r="48" spans="3:33" x14ac:dyDescent="0.25">
      <c r="C48" s="124" t="str">
        <f>IF(ISNA(VLOOKUP(D48,Vanguard!D:H,5,0)),"",VLOOKUP(D48,Vanguard!D:H,5,0))</f>
        <v/>
      </c>
      <c r="D48" s="144">
        <v>7</v>
      </c>
      <c r="E48" s="124" t="str">
        <f>IF(ISNA(VLOOKUP(D48,Vanguard!E:H,4,0)),"",VLOOKUP(D48,Vanguard!E:H,4,0))</f>
        <v/>
      </c>
      <c r="U48" s="124">
        <f>X48</f>
        <v>0</v>
      </c>
      <c r="X48" s="124">
        <f>COUNTIF(GameLog!$R$2:$R$2999,$V$30&amp;Y48)</f>
        <v>0</v>
      </c>
      <c r="Y48" s="144" t="str">
        <f>Reference!I6</f>
        <v>Counter Spell</v>
      </c>
      <c r="Z48" s="124">
        <f>COUNTIF(GameLog!$R$2:$R$2999,$AB$30&amp;Y48)</f>
        <v>0</v>
      </c>
      <c r="AC48" s="124">
        <f>Z48</f>
        <v>0</v>
      </c>
      <c r="AF48" s="196">
        <v>1</v>
      </c>
    </row>
    <row r="49" spans="3:33" x14ac:dyDescent="0.25">
      <c r="C49" s="124" t="str">
        <f>IF(ISNA(VLOOKUP(D49,Vanguard!D:H,5,0)),"",VLOOKUP(D49,Vanguard!D:H,5,0))</f>
        <v/>
      </c>
      <c r="D49" s="144">
        <v>8</v>
      </c>
      <c r="E49" s="124" t="str">
        <f>IF(ISNA(VLOOKUP(D49,Vanguard!E:H,4,0)),"",VLOOKUP(D49,Vanguard!E:H,4,0))</f>
        <v/>
      </c>
      <c r="U49" s="124">
        <f t="shared" ref="U49:U50" si="10">X49</f>
        <v>0</v>
      </c>
      <c r="X49" s="124">
        <f>COUNTIF(GameLog!$R$2:$R$2999,$V$30&amp;Y49)</f>
        <v>0</v>
      </c>
      <c r="Y49" s="144" t="str">
        <f>Reference!I7</f>
        <v>Mill</v>
      </c>
      <c r="Z49" s="124">
        <f>COUNTIF(GameLog!$R$2:$R$2999,$AB$30&amp;Y49)</f>
        <v>0</v>
      </c>
      <c r="AC49" s="124">
        <f t="shared" ref="AC49:AC50" si="11">Z49</f>
        <v>0</v>
      </c>
      <c r="AF49" s="196">
        <v>10</v>
      </c>
    </row>
    <row r="50" spans="3:33" x14ac:dyDescent="0.25">
      <c r="C50" s="182">
        <f>SUM(Vanguard!V:V)</f>
        <v>0</v>
      </c>
      <c r="D50" s="144" t="s">
        <v>383</v>
      </c>
      <c r="E50" s="182">
        <f>SUM(Vanguard!Z:Z)</f>
        <v>0</v>
      </c>
      <c r="U50" s="124">
        <f t="shared" si="10"/>
        <v>0</v>
      </c>
      <c r="X50" s="124">
        <f>COUNTIF(GameLog!$R$2:$R$2999,$V$30&amp;Y50)</f>
        <v>0</v>
      </c>
      <c r="Y50" s="144" t="str">
        <f>Reference!I8</f>
        <v>Lands</v>
      </c>
      <c r="Z50" s="124">
        <f>COUNTIF(GameLog!$R$2:$R$2999,$AB$30&amp;Y50)</f>
        <v>0</v>
      </c>
      <c r="AC50" s="124">
        <f t="shared" si="11"/>
        <v>0</v>
      </c>
      <c r="AF50" s="196">
        <v>3</v>
      </c>
    </row>
    <row r="51" spans="3:33" x14ac:dyDescent="0.25">
      <c r="C51" s="182">
        <f>SUM(Vanguard!W:W)</f>
        <v>0</v>
      </c>
      <c r="D51" s="144" t="s">
        <v>1001</v>
      </c>
      <c r="E51" s="182">
        <f>SUM(Vanguard!AA:AA)</f>
        <v>0</v>
      </c>
      <c r="X51" s="124">
        <f>COUNTIF(GameLog!$R$2:$R$2999,$V$30&amp;Y51)</f>
        <v>0</v>
      </c>
      <c r="Y51" s="144" t="str">
        <f>Reference!I9</f>
        <v>Life</v>
      </c>
      <c r="Z51" s="124">
        <f>COUNTIF(GameLog!$R$2:$R$2999,$AB$30&amp;Y51)</f>
        <v>0</v>
      </c>
      <c r="AF51" s="196">
        <v>-7</v>
      </c>
    </row>
    <row r="52" spans="3:33" x14ac:dyDescent="0.25">
      <c r="C52" s="182">
        <f>SUM(Vanguard!X:X)</f>
        <v>0</v>
      </c>
      <c r="D52" s="144" t="s">
        <v>1185</v>
      </c>
      <c r="E52" s="182">
        <f>SUM(Vanguard!AB:AB)</f>
        <v>0</v>
      </c>
      <c r="X52" s="124">
        <f>COUNTIF(GameLog!$R$2:$R$2999,$V$30&amp;Y52)</f>
        <v>0</v>
      </c>
      <c r="Y52" s="144" t="str">
        <f>Reference!I10</f>
        <v>Creature</v>
      </c>
      <c r="Z52" s="124">
        <f>COUNTIF(GameLog!$R$2:$R$2999,$AB$30&amp;Y52)</f>
        <v>0</v>
      </c>
      <c r="AF52" s="196">
        <v>-2</v>
      </c>
      <c r="AG52" s="196">
        <v>0</v>
      </c>
    </row>
    <row r="53" spans="3:33" x14ac:dyDescent="0.25">
      <c r="C53" s="182">
        <f>SUM(Vanguard!U:U)</f>
        <v>0</v>
      </c>
      <c r="D53" s="144" t="s">
        <v>389</v>
      </c>
      <c r="E53" s="182">
        <f>SUM(Vanguard!Y:Y)</f>
        <v>0</v>
      </c>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483"/>
  <sheetViews>
    <sheetView workbookViewId="0">
      <pane xSplit="1" ySplit="2" topLeftCell="K3" activePane="bottomRight" state="frozen"/>
      <selection pane="topRight" activeCell="B1" sqref="B1"/>
      <selection pane="bottomLeft" activeCell="A3" sqref="A3"/>
      <selection pane="bottomRight" activeCell="V1" sqref="V1"/>
    </sheetView>
  </sheetViews>
  <sheetFormatPr defaultColWidth="9" defaultRowHeight="15" x14ac:dyDescent="0.25"/>
  <cols>
    <col min="1" max="1" width="15" style="7" bestFit="1" customWidth="1"/>
    <col min="2" max="2" width="4.5703125" style="103" bestFit="1" customWidth="1"/>
    <col min="3" max="3" width="7.7109375" style="7" bestFit="1" customWidth="1"/>
    <col min="4" max="4" width="7.140625" style="101" bestFit="1" customWidth="1"/>
    <col min="5" max="5" width="10.42578125" style="3" bestFit="1" customWidth="1"/>
    <col min="6" max="6" width="4.5703125" style="103" bestFit="1" customWidth="1"/>
    <col min="7" max="7" width="7.7109375" style="7" bestFit="1" customWidth="1"/>
    <col min="8" max="8" width="7.140625" style="101" bestFit="1" customWidth="1"/>
    <col min="9" max="9" width="10.42578125" style="90" bestFit="1" customWidth="1"/>
    <col min="10" max="10" width="9" style="7"/>
    <col min="11" max="11" width="11.42578125" style="7" bestFit="1" customWidth="1"/>
    <col min="12" max="12" width="9" style="7"/>
    <col min="13" max="13" width="22.28515625" style="7" customWidth="1"/>
    <col min="14" max="14" width="9" style="7"/>
    <col min="15" max="15" width="6.42578125" style="7" customWidth="1"/>
    <col min="16" max="16" width="11.42578125" style="7" bestFit="1" customWidth="1"/>
    <col min="17" max="17" width="9" style="7"/>
    <col min="18" max="18" width="18.85546875" style="7" bestFit="1" customWidth="1"/>
    <col min="19" max="19" width="4.140625" style="7" customWidth="1"/>
    <col min="20" max="24" width="8.5703125" style="7" customWidth="1"/>
    <col min="25" max="25" width="14.7109375" style="7" bestFit="1" customWidth="1"/>
    <col min="26" max="26" width="21" style="7" bestFit="1" customWidth="1"/>
    <col min="27" max="27" width="10.42578125" style="7" customWidth="1"/>
    <col min="28" max="28" width="14.42578125" style="7" customWidth="1"/>
    <col min="29" max="30" width="21.28515625" style="7" customWidth="1"/>
    <col min="31" max="31" width="12.85546875" style="7" customWidth="1"/>
    <col min="32" max="32" width="5.28515625" style="7" customWidth="1"/>
    <col min="33" max="35" width="3.140625" style="7" customWidth="1"/>
    <col min="36" max="36" width="13.28515625" style="7" bestFit="1" customWidth="1"/>
    <col min="37" max="37" width="11.7109375" style="7" bestFit="1" customWidth="1"/>
    <col min="38" max="39" width="9" style="7"/>
    <col min="40" max="40" width="3.42578125" style="7" customWidth="1"/>
    <col min="41" max="41" width="4" style="7" bestFit="1" customWidth="1"/>
    <col min="42" max="42" width="3.85546875" style="7" customWidth="1"/>
    <col min="43" max="16384" width="9" style="7"/>
  </cols>
  <sheetData>
    <row r="1" spans="1:41" x14ac:dyDescent="0.25">
      <c r="A1" s="109" t="str">
        <f>IF(COUNTBLANK(D3:E65)+COUNTBLANK(H3:I65)=0,"SetupComplete","NotSetup")</f>
        <v>NotSetup</v>
      </c>
      <c r="I1" s="3"/>
      <c r="V1" s="117" t="s">
        <v>1066</v>
      </c>
      <c r="X1" s="7">
        <v>24</v>
      </c>
      <c r="Y1" s="7">
        <v>25</v>
      </c>
      <c r="Z1" s="7">
        <v>26</v>
      </c>
      <c r="AA1" s="7">
        <v>27</v>
      </c>
      <c r="AB1" s="7">
        <v>28</v>
      </c>
      <c r="AC1" s="7">
        <v>29</v>
      </c>
      <c r="AD1" s="7">
        <v>30</v>
      </c>
      <c r="AE1" s="7">
        <v>31</v>
      </c>
      <c r="AF1" s="7">
        <v>32</v>
      </c>
      <c r="AG1" s="7">
        <v>33</v>
      </c>
      <c r="AH1" s="7">
        <v>34</v>
      </c>
      <c r="AI1" s="7">
        <v>35</v>
      </c>
      <c r="AJ1" s="7">
        <v>36</v>
      </c>
      <c r="AK1" s="7">
        <v>37</v>
      </c>
      <c r="AL1" s="7">
        <v>38</v>
      </c>
      <c r="AM1" s="7">
        <v>39</v>
      </c>
      <c r="AN1" s="7">
        <v>40</v>
      </c>
      <c r="AO1" s="7">
        <v>41</v>
      </c>
    </row>
    <row r="2" spans="1:41" x14ac:dyDescent="0.25">
      <c r="A2" s="139" t="s">
        <v>1009</v>
      </c>
      <c r="B2" s="145" t="s">
        <v>812</v>
      </c>
      <c r="C2" s="139" t="s">
        <v>800</v>
      </c>
      <c r="D2" s="145" t="s">
        <v>817</v>
      </c>
      <c r="E2" s="139" t="s">
        <v>1012</v>
      </c>
      <c r="F2" s="145" t="s">
        <v>812</v>
      </c>
      <c r="G2" s="139" t="s">
        <v>801</v>
      </c>
      <c r="H2" s="145" t="s">
        <v>817</v>
      </c>
      <c r="I2" s="146" t="s">
        <v>1012</v>
      </c>
      <c r="J2" s="139"/>
      <c r="K2" s="139" t="s">
        <v>1312</v>
      </c>
      <c r="L2" s="139" t="s">
        <v>802</v>
      </c>
      <c r="M2" s="139" t="s">
        <v>1110</v>
      </c>
      <c r="N2" s="139" t="s">
        <v>0</v>
      </c>
    </row>
    <row r="3" spans="1:41" x14ac:dyDescent="0.25">
      <c r="A3" s="108">
        <v>1</v>
      </c>
      <c r="B3" s="103">
        <f ca="1">IF(C3="","",RAND())</f>
        <v>0.67585460535643016</v>
      </c>
      <c r="C3" s="7" t="str">
        <f>'PL1'!H10</f>
        <v>PL1-100</v>
      </c>
      <c r="D3" s="161"/>
      <c r="E3" s="162"/>
      <c r="F3" s="103">
        <f ca="1">IF(G3="","",RAND())</f>
        <v>6.2189259450871281E-2</v>
      </c>
      <c r="G3" s="7" t="str">
        <f>'PL2'!H10</f>
        <v>PL2-100</v>
      </c>
      <c r="H3" s="161"/>
      <c r="I3" s="219"/>
      <c r="K3" s="140" t="s">
        <v>1247</v>
      </c>
      <c r="L3" s="140">
        <f>E3</f>
        <v>0</v>
      </c>
      <c r="M3" s="140" t="e">
        <f>VLOOKUP(L3,'PL1'!H:J,3,0)</f>
        <v>#N/A</v>
      </c>
      <c r="N3" s="109" t="e">
        <f t="shared" ref="N3:N34" si="0">VLOOKUP(LEFT(K3,6),$Q$8:$R$49,2,0)</f>
        <v>#N/A</v>
      </c>
      <c r="AB3" s="7" t="s">
        <v>1319</v>
      </c>
    </row>
    <row r="4" spans="1:41" x14ac:dyDescent="0.25">
      <c r="A4" s="108">
        <v>2</v>
      </c>
      <c r="B4" s="103">
        <f t="shared" ref="B4:B67" ca="1" si="1">IF(C4="","",RAND())</f>
        <v>0.60984795915293599</v>
      </c>
      <c r="C4" s="7" t="str">
        <f>'PL1'!H11</f>
        <v>PL1-101</v>
      </c>
      <c r="D4" s="161"/>
      <c r="E4" s="162"/>
      <c r="F4" s="103">
        <f t="shared" ref="F4:F67" ca="1" si="2">IF(G4="","",RAND())</f>
        <v>0.63363550846167571</v>
      </c>
      <c r="G4" s="7" t="str">
        <f>'PL2'!H11</f>
        <v>PL2-101</v>
      </c>
      <c r="H4" s="161"/>
      <c r="I4" s="219"/>
      <c r="K4" s="140" t="s">
        <v>1248</v>
      </c>
      <c r="L4" s="140">
        <f t="shared" ref="L4:L65" si="3">E4</f>
        <v>0</v>
      </c>
      <c r="M4" s="140" t="e">
        <f>VLOOKUP(L4,'PL1'!H:J,3,0)</f>
        <v>#N/A</v>
      </c>
      <c r="N4" s="109" t="e">
        <f t="shared" si="0"/>
        <v>#N/A</v>
      </c>
      <c r="Y4" s="7" t="s">
        <v>1186</v>
      </c>
      <c r="AB4" s="7" t="s">
        <v>1318</v>
      </c>
      <c r="AC4" s="169"/>
      <c r="AD4" s="170"/>
      <c r="AJ4" s="7" t="s">
        <v>1228</v>
      </c>
    </row>
    <row r="5" spans="1:41" x14ac:dyDescent="0.25">
      <c r="A5" s="108">
        <v>3</v>
      </c>
      <c r="B5" s="103">
        <f t="shared" ca="1" si="1"/>
        <v>0.24148463627053784</v>
      </c>
      <c r="C5" s="7" t="str">
        <f>'PL1'!H12</f>
        <v>PL1-102</v>
      </c>
      <c r="D5" s="161"/>
      <c r="E5" s="162"/>
      <c r="F5" s="103">
        <f t="shared" ca="1" si="2"/>
        <v>0.96613057281819015</v>
      </c>
      <c r="G5" s="7" t="str">
        <f>'PL2'!H12</f>
        <v>PL2-102</v>
      </c>
      <c r="H5" s="161"/>
      <c r="I5" s="219"/>
      <c r="K5" s="140" t="s">
        <v>1249</v>
      </c>
      <c r="L5" s="140">
        <f t="shared" si="3"/>
        <v>0</v>
      </c>
      <c r="M5" s="140" t="e">
        <f>VLOOKUP(L5,'PL1'!H:J,3,0)</f>
        <v>#N/A</v>
      </c>
      <c r="N5" s="109" t="e">
        <f t="shared" si="0"/>
        <v>#N/A</v>
      </c>
      <c r="Z5" s="7" t="s">
        <v>1070</v>
      </c>
      <c r="AB5" s="7" t="s">
        <v>1241</v>
      </c>
      <c r="AC5" s="169"/>
      <c r="AD5" s="170"/>
      <c r="AJ5" s="7" t="s">
        <v>1229</v>
      </c>
      <c r="AK5" s="212" t="s">
        <v>1510</v>
      </c>
    </row>
    <row r="6" spans="1:41" x14ac:dyDescent="0.25">
      <c r="A6" s="108">
        <v>4</v>
      </c>
      <c r="B6" s="103">
        <f t="shared" ca="1" si="1"/>
        <v>0.3180094703785239</v>
      </c>
      <c r="C6" s="7" t="str">
        <f>'PL1'!H13</f>
        <v>PL1-103</v>
      </c>
      <c r="D6" s="161"/>
      <c r="E6" s="162"/>
      <c r="F6" s="103">
        <f t="shared" ca="1" si="2"/>
        <v>0.66218431061563976</v>
      </c>
      <c r="G6" s="7" t="str">
        <f>'PL2'!H13</f>
        <v>PL2-103</v>
      </c>
      <c r="H6" s="161"/>
      <c r="I6" s="219"/>
      <c r="K6" s="140" t="s">
        <v>1250</v>
      </c>
      <c r="L6" s="140">
        <f t="shared" si="3"/>
        <v>0</v>
      </c>
      <c r="M6" s="140" t="e">
        <f>VLOOKUP(L6,'PL1'!H:J,3,0)</f>
        <v>#N/A</v>
      </c>
      <c r="N6" s="109" t="e">
        <f t="shared" si="0"/>
        <v>#N/A</v>
      </c>
      <c r="AC6" s="171"/>
      <c r="AD6" s="172"/>
      <c r="AJ6" s="7" t="s">
        <v>1364</v>
      </c>
      <c r="AK6" s="212" t="s">
        <v>1321</v>
      </c>
    </row>
    <row r="7" spans="1:41" x14ac:dyDescent="0.25">
      <c r="A7" s="108">
        <v>5</v>
      </c>
      <c r="B7" s="103">
        <f t="shared" ca="1" si="1"/>
        <v>0.70197263987676783</v>
      </c>
      <c r="C7" s="7" t="str">
        <f>'PL1'!H14</f>
        <v>PL1-104</v>
      </c>
      <c r="D7" s="161"/>
      <c r="E7" s="162"/>
      <c r="F7" s="103">
        <f t="shared" ca="1" si="2"/>
        <v>6.812658024686391E-2</v>
      </c>
      <c r="G7" s="7" t="str">
        <f>'PL2'!H14</f>
        <v>PL2-104</v>
      </c>
      <c r="H7" s="161"/>
      <c r="I7" s="219"/>
      <c r="K7" s="140" t="s">
        <v>1251</v>
      </c>
      <c r="L7" s="140">
        <f t="shared" si="3"/>
        <v>0</v>
      </c>
      <c r="M7" s="140" t="e">
        <f>VLOOKUP(L7,'PL1'!H:J,3,0)</f>
        <v>#N/A</v>
      </c>
      <c r="N7" s="109" t="e">
        <f t="shared" si="0"/>
        <v>#N/A</v>
      </c>
      <c r="P7" s="139" t="s">
        <v>1391</v>
      </c>
      <c r="Q7" s="139" t="s">
        <v>1008</v>
      </c>
      <c r="R7" s="139" t="str">
        <f>IF(AC5="MapSetupComplete","Country","Previous")</f>
        <v>Previous</v>
      </c>
      <c r="T7" s="138" t="s">
        <v>1232</v>
      </c>
      <c r="U7" s="138" t="s">
        <v>1234</v>
      </c>
      <c r="V7" s="138" t="s">
        <v>1236</v>
      </c>
      <c r="W7" s="138" t="str">
        <f>Reference!AD59</f>
        <v>Undecided</v>
      </c>
      <c r="AC7" s="171"/>
      <c r="AD7" s="172"/>
      <c r="AJ7" s="7" t="s">
        <v>1515</v>
      </c>
      <c r="AK7" s="212" t="s">
        <v>1516</v>
      </c>
    </row>
    <row r="8" spans="1:41" x14ac:dyDescent="0.25">
      <c r="A8" s="108">
        <v>6</v>
      </c>
      <c r="B8" s="103">
        <f t="shared" ca="1" si="1"/>
        <v>0.55728770523381188</v>
      </c>
      <c r="C8" s="7" t="str">
        <f>'PL1'!H15</f>
        <v>PL1-105</v>
      </c>
      <c r="D8" s="161"/>
      <c r="E8" s="162"/>
      <c r="F8" s="103">
        <f t="shared" ca="1" si="2"/>
        <v>0.93398839030749492</v>
      </c>
      <c r="G8" s="7" t="str">
        <f>'PL2'!H15</f>
        <v>PL2-105</v>
      </c>
      <c r="H8" s="161"/>
      <c r="I8" s="219"/>
      <c r="K8" s="140" t="s">
        <v>1252</v>
      </c>
      <c r="L8" s="140">
        <f t="shared" si="3"/>
        <v>0</v>
      </c>
      <c r="M8" s="140" t="e">
        <f>VLOOKUP(L8,'PL1'!H:J,3,0)</f>
        <v>#N/A</v>
      </c>
      <c r="N8" s="109" t="e">
        <f t="shared" si="0"/>
        <v>#N/A</v>
      </c>
      <c r="P8" s="7">
        <f>IF($AC$5="MapSetupComplete","Setup Complete",COUNTIF(MapReference!$S$9:$S$50,Setup!Q8))</f>
        <v>0</v>
      </c>
      <c r="Q8" s="7" t="str">
        <f>IF($AA$47="PL1",Reference!B3,IF($AA$47="PL2",Reference!C3,"Need Setup"))</f>
        <v>Need Setup</v>
      </c>
      <c r="R8" s="7" t="str">
        <f>IF(P8=0,IF(P7=1,Q7,""),IF(P8="Setup Complete",IF(VLOOKUP(Q8,MapReference!S:AH,16,0)=0,"Dead",VLOOKUP(Q8,MapReference!S:AH,16,0)),""))</f>
        <v/>
      </c>
      <c r="T8" s="138"/>
      <c r="U8" s="138"/>
      <c r="V8" s="138" t="s">
        <v>1235</v>
      </c>
      <c r="W8" s="138">
        <f>Reference!AD60</f>
        <v>0</v>
      </c>
      <c r="AC8" s="171"/>
      <c r="AD8" s="172"/>
      <c r="AK8" s="212"/>
    </row>
    <row r="9" spans="1:41" x14ac:dyDescent="0.25">
      <c r="A9" s="108">
        <v>7</v>
      </c>
      <c r="B9" s="103">
        <f t="shared" ca="1" si="1"/>
        <v>0.9076968412801919</v>
      </c>
      <c r="C9" s="7" t="str">
        <f>'PL1'!H16</f>
        <v>PL1-106</v>
      </c>
      <c r="D9" s="161"/>
      <c r="E9" s="162"/>
      <c r="F9" s="103">
        <f t="shared" ca="1" si="2"/>
        <v>0.96715482140150011</v>
      </c>
      <c r="G9" s="7" t="str">
        <f>'PL2'!H16</f>
        <v>PL2-106</v>
      </c>
      <c r="H9" s="161"/>
      <c r="I9" s="219"/>
      <c r="K9" s="140" t="s">
        <v>1253</v>
      </c>
      <c r="L9" s="140">
        <f t="shared" si="3"/>
        <v>0</v>
      </c>
      <c r="M9" s="140" t="e">
        <f>VLOOKUP(L9,'PL1'!H:J,3,0)</f>
        <v>#N/A</v>
      </c>
      <c r="N9" s="109" t="e">
        <f t="shared" si="0"/>
        <v>#N/A</v>
      </c>
      <c r="P9" s="7">
        <f>IF($AC$5="MapSetupComplete","Setup Complete",COUNTIF(MapReference!$S$9:$S$50,Setup!Q9))</f>
        <v>0</v>
      </c>
      <c r="Q9" s="7" t="str">
        <f>IF($AA$47="PL1",Reference!B4,IF($AA$47="PL2",Reference!C4,"Need Setup"))</f>
        <v>Need Setup</v>
      </c>
      <c r="R9" s="7" t="str">
        <f>IF(P9=0,IF(P8=1,Q8,""),IF(P9="Setup Complete",IF(VLOOKUP(Q9,MapReference!S:AH,16,0)=0,"Dead",VLOOKUP(Q9,MapReference!S:AH,16,0)),""))</f>
        <v/>
      </c>
      <c r="T9" s="138"/>
      <c r="U9" s="138" t="s">
        <v>1233</v>
      </c>
      <c r="V9" s="138" t="s">
        <v>1236</v>
      </c>
      <c r="W9" s="138">
        <f>Reference!AD65</f>
        <v>0</v>
      </c>
      <c r="AC9" s="171"/>
      <c r="AD9" s="172"/>
      <c r="AK9" s="212"/>
    </row>
    <row r="10" spans="1:41" x14ac:dyDescent="0.25">
      <c r="A10" s="108">
        <v>8</v>
      </c>
      <c r="B10" s="103">
        <f t="shared" ca="1" si="1"/>
        <v>0.74979555558942423</v>
      </c>
      <c r="C10" s="7" t="str">
        <f>'PL1'!H17</f>
        <v>PL1-107</v>
      </c>
      <c r="D10" s="161"/>
      <c r="E10" s="162"/>
      <c r="F10" s="103">
        <f t="shared" ca="1" si="2"/>
        <v>0.61226172443614391</v>
      </c>
      <c r="G10" s="7" t="str">
        <f>'PL2'!H17</f>
        <v>PL2-107</v>
      </c>
      <c r="H10" s="161"/>
      <c r="I10" s="219"/>
      <c r="K10" s="140" t="s">
        <v>1254</v>
      </c>
      <c r="L10" s="140">
        <f t="shared" si="3"/>
        <v>0</v>
      </c>
      <c r="M10" s="140" t="e">
        <f>VLOOKUP(L10,'PL1'!H:J,3,0)</f>
        <v>#N/A</v>
      </c>
      <c r="N10" s="109" t="e">
        <f t="shared" si="0"/>
        <v>#N/A</v>
      </c>
      <c r="P10" s="7">
        <f>IF($AC$5="MapSetupComplete","Setup Complete",COUNTIF(MapReference!$S$9:$S$50,Setup!Q10))</f>
        <v>0</v>
      </c>
      <c r="Q10" s="7" t="str">
        <f>IF($AA$47="PL1",Reference!B5,IF($AA$47="PL2",Reference!C5,"Need Setup"))</f>
        <v>Need Setup</v>
      </c>
      <c r="R10" s="7" t="str">
        <f>IF(P10=0,IF(P9=1,Q9,""),IF(P10="Setup Complete",IF(VLOOKUP(Q10,MapReference!S:AH,16,0)=0,"Dead",VLOOKUP(Q10,MapReference!S:AH,16,0)),""))</f>
        <v/>
      </c>
      <c r="T10" s="138"/>
      <c r="U10" s="138"/>
      <c r="V10" s="138" t="s">
        <v>1235</v>
      </c>
      <c r="W10" s="138">
        <f>Reference!AD66</f>
        <v>0</v>
      </c>
      <c r="AC10" s="171"/>
      <c r="AD10" s="172"/>
      <c r="AK10" s="212"/>
    </row>
    <row r="11" spans="1:41" x14ac:dyDescent="0.25">
      <c r="A11" s="108">
        <v>9</v>
      </c>
      <c r="B11" s="103">
        <f t="shared" ca="1" si="1"/>
        <v>0.48221644975711087</v>
      </c>
      <c r="C11" s="7" t="str">
        <f>'PL1'!H18</f>
        <v>PL1-108</v>
      </c>
      <c r="D11" s="161"/>
      <c r="E11" s="162"/>
      <c r="F11" s="103">
        <f t="shared" ca="1" si="2"/>
        <v>0.69306013986336801</v>
      </c>
      <c r="G11" s="7" t="str">
        <f>'PL2'!H18</f>
        <v>PL2-108</v>
      </c>
      <c r="H11" s="161"/>
      <c r="I11" s="219"/>
      <c r="K11" s="140" t="s">
        <v>1255</v>
      </c>
      <c r="L11" s="140">
        <f t="shared" si="3"/>
        <v>0</v>
      </c>
      <c r="M11" s="140" t="e">
        <f>VLOOKUP(L11,'PL1'!H:J,3,0)</f>
        <v>#N/A</v>
      </c>
      <c r="N11" s="109" t="e">
        <f t="shared" si="0"/>
        <v>#N/A</v>
      </c>
      <c r="P11" s="7">
        <f>IF($AC$5="MapSetupComplete","Setup Complete",COUNTIF(MapReference!$S$9:$S$50,Setup!Q11))</f>
        <v>0</v>
      </c>
      <c r="Q11" s="7" t="str">
        <f>IF($AA$47="PL1",Reference!B6,IF($AA$47="PL2",Reference!C6,"Need Setup"))</f>
        <v>Need Setup</v>
      </c>
      <c r="R11" s="7" t="str">
        <f>IF(P11=0,IF(P10=1,Q10,""),IF(P11="Setup Complete",IF(VLOOKUP(Q11,MapReference!S:AH,16,0)=0,"Dead",VLOOKUP(Q11,MapReference!S:AH,16,0)),""))</f>
        <v/>
      </c>
      <c r="T11" s="138"/>
      <c r="U11" s="138"/>
      <c r="V11" s="138"/>
      <c r="W11" s="138"/>
      <c r="Y11" s="139" t="s">
        <v>1396</v>
      </c>
      <c r="Z11" s="109" t="str">
        <f>Drop!D3</f>
        <v>Wrong Mode</v>
      </c>
      <c r="AC11" s="171"/>
      <c r="AD11" s="172"/>
      <c r="AK11" s="212"/>
    </row>
    <row r="12" spans="1:41" x14ac:dyDescent="0.25">
      <c r="A12" s="108">
        <v>10</v>
      </c>
      <c r="B12" s="103">
        <f t="shared" ca="1" si="1"/>
        <v>0.65986977144358749</v>
      </c>
      <c r="C12" s="7" t="str">
        <f>'PL1'!H19</f>
        <v>PL1-109</v>
      </c>
      <c r="D12" s="161"/>
      <c r="E12" s="162"/>
      <c r="F12" s="103">
        <f t="shared" ca="1" si="2"/>
        <v>0.64277270162572675</v>
      </c>
      <c r="G12" s="7" t="str">
        <f>'PL2'!H19</f>
        <v>PL2-109</v>
      </c>
      <c r="H12" s="161"/>
      <c r="I12" s="219"/>
      <c r="K12" s="140" t="s">
        <v>1256</v>
      </c>
      <c r="L12" s="140">
        <f t="shared" si="3"/>
        <v>0</v>
      </c>
      <c r="M12" s="140" t="e">
        <f>VLOOKUP(L12,'PL1'!H:J,3,0)</f>
        <v>#N/A</v>
      </c>
      <c r="N12" s="109" t="e">
        <f t="shared" si="0"/>
        <v>#N/A</v>
      </c>
      <c r="P12" s="7">
        <f>IF($AC$5="MapSetupComplete","Setup Complete",COUNTIF(MapReference!$S$9:$S$50,Setup!Q12))</f>
        <v>0</v>
      </c>
      <c r="Q12" s="7" t="str">
        <f>IF($AA$47="PL1",Reference!B7,IF($AA$47="PL2",Reference!C7,"Need Setup"))</f>
        <v>Need Setup</v>
      </c>
      <c r="R12" s="7" t="str">
        <f>IF(P12=0,IF(P11=1,Q11,""),IF(P12="Setup Complete",IF(VLOOKUP(Q12,MapReference!S:AH,16,0)=0,"Dead",VLOOKUP(Q12,MapReference!S:AH,16,0)),""))</f>
        <v/>
      </c>
      <c r="T12" s="138"/>
      <c r="U12" s="138"/>
      <c r="V12" s="108">
        <f>IF(LEFT(W7,3)=Y20,W7,W9)</f>
        <v>0</v>
      </c>
      <c r="W12" s="108">
        <f>IF(LEFT(W8,3)=Y20,W8,W10)</f>
        <v>0</v>
      </c>
      <c r="AC12" s="171"/>
      <c r="AD12" s="172"/>
      <c r="AK12" s="212"/>
    </row>
    <row r="13" spans="1:41" x14ac:dyDescent="0.25">
      <c r="A13" s="108">
        <v>11</v>
      </c>
      <c r="B13" s="103">
        <f t="shared" ca="1" si="1"/>
        <v>0.53867900592277884</v>
      </c>
      <c r="C13" s="7" t="str">
        <f>'PL1'!H20</f>
        <v>PL1-110</v>
      </c>
      <c r="D13" s="161"/>
      <c r="E13" s="162"/>
      <c r="F13" s="103">
        <f t="shared" ca="1" si="2"/>
        <v>0.94321106300618962</v>
      </c>
      <c r="G13" s="7" t="str">
        <f>'PL2'!H20</f>
        <v>PL2-110</v>
      </c>
      <c r="H13" s="161"/>
      <c r="I13" s="219"/>
      <c r="K13" s="140" t="s">
        <v>1257</v>
      </c>
      <c r="L13" s="140">
        <f t="shared" si="3"/>
        <v>0</v>
      </c>
      <c r="M13" s="140" t="e">
        <f>VLOOKUP(L13,'PL1'!H:J,3,0)</f>
        <v>#N/A</v>
      </c>
      <c r="N13" s="109" t="e">
        <f t="shared" si="0"/>
        <v>#N/A</v>
      </c>
      <c r="P13" s="7">
        <f>IF($AC$5="MapSetupComplete","Setup Complete",COUNTIF(MapReference!$S$9:$S$50,Setup!Q13))</f>
        <v>0</v>
      </c>
      <c r="Q13" s="7" t="str">
        <f>IF($AA$47="PL1",Reference!B8,IF($AA$47="PL2",Reference!C8,"Need Setup"))</f>
        <v>Need Setup</v>
      </c>
      <c r="R13" s="7" t="str">
        <f>IF(P13=0,IF(P12=1,Q12,""),IF(P13="Setup Complete",IF(VLOOKUP(Q13,MapReference!S:AH,16,0)=0,"Dead",VLOOKUP(Q13,MapReference!S:AH,16,0)),""))</f>
        <v/>
      </c>
      <c r="T13" s="138"/>
      <c r="U13" s="138"/>
      <c r="V13" s="108">
        <f>IF(LEFT(W7,3)=Y19,W7,W9)</f>
        <v>0</v>
      </c>
      <c r="W13" s="108">
        <f>IF(LEFT(W8,3)=Y19,W8,W10)</f>
        <v>0</v>
      </c>
      <c r="Y13" s="139" t="s">
        <v>1377</v>
      </c>
      <c r="Z13" s="109" t="str">
        <f>IF(AA45="Initiative Game","DefenseOk",DefenseRef!C10)</f>
        <v>DefenseOk</v>
      </c>
      <c r="AC13" s="171"/>
      <c r="AD13" s="172"/>
      <c r="AK13" s="212"/>
    </row>
    <row r="14" spans="1:41" x14ac:dyDescent="0.25">
      <c r="A14" s="108">
        <v>12</v>
      </c>
      <c r="B14" s="103">
        <f t="shared" ca="1" si="1"/>
        <v>0.65270840660377272</v>
      </c>
      <c r="C14" s="7" t="str">
        <f>'PL1'!H21</f>
        <v>PL1-111</v>
      </c>
      <c r="D14" s="161"/>
      <c r="E14" s="162"/>
      <c r="F14" s="103">
        <f t="shared" ca="1" si="2"/>
        <v>0.25356606026420214</v>
      </c>
      <c r="G14" s="7" t="str">
        <f>'PL2'!H21</f>
        <v>PL2-111</v>
      </c>
      <c r="H14" s="161"/>
      <c r="I14" s="219"/>
      <c r="K14" s="140" t="s">
        <v>1258</v>
      </c>
      <c r="L14" s="140">
        <f t="shared" si="3"/>
        <v>0</v>
      </c>
      <c r="M14" s="140" t="e">
        <f>VLOOKUP(L14,'PL1'!H:J,3,0)</f>
        <v>#N/A</v>
      </c>
      <c r="N14" s="109" t="e">
        <f t="shared" si="0"/>
        <v>#N/A</v>
      </c>
      <c r="P14" s="7">
        <f>IF($AC$5="MapSetupComplete","Setup Complete",COUNTIF(MapReference!$S$9:$S$50,Setup!Q14))</f>
        <v>0</v>
      </c>
      <c r="Q14" s="7" t="str">
        <f>IF($AA$47="PL1",Reference!B9,IF($AA$47="PL2",Reference!C9,"Need Setup"))</f>
        <v>Need Setup</v>
      </c>
      <c r="R14" s="7" t="str">
        <f>IF(P14=0,IF(P13=1,Q13,""),IF(P14="Setup Complete",IF(VLOOKUP(Q14,MapReference!S:AH,16,0)=0,"Dead",VLOOKUP(Q14,MapReference!S:AH,16,0)),""))</f>
        <v/>
      </c>
      <c r="AB14" s="139" t="s">
        <v>1500</v>
      </c>
    </row>
    <row r="15" spans="1:41" x14ac:dyDescent="0.25">
      <c r="A15" s="108">
        <v>13</v>
      </c>
      <c r="B15" s="103">
        <f t="shared" ca="1" si="1"/>
        <v>0.51092639735443734</v>
      </c>
      <c r="C15" s="7" t="str">
        <f>'PL1'!H22</f>
        <v>PL1-112</v>
      </c>
      <c r="D15" s="161"/>
      <c r="E15" s="162"/>
      <c r="F15" s="103">
        <f t="shared" ca="1" si="2"/>
        <v>0.72554376092021799</v>
      </c>
      <c r="G15" s="7" t="str">
        <f>'PL2'!H22</f>
        <v>PL2-112</v>
      </c>
      <c r="H15" s="161"/>
      <c r="I15" s="219"/>
      <c r="K15" s="140" t="s">
        <v>1259</v>
      </c>
      <c r="L15" s="140">
        <f t="shared" si="3"/>
        <v>0</v>
      </c>
      <c r="M15" s="140" t="e">
        <f>VLOOKUP(L15,'PL1'!H:J,3,0)</f>
        <v>#N/A</v>
      </c>
      <c r="N15" s="109" t="e">
        <f t="shared" si="0"/>
        <v>#N/A</v>
      </c>
      <c r="P15" s="7">
        <f>IF($AC$5="MapSetupComplete","Setup Complete",COUNTIF(MapReference!$S$9:$S$50,Setup!Q15))</f>
        <v>0</v>
      </c>
      <c r="Q15" s="7" t="str">
        <f>IF($AA$47="PL1",Reference!B10,IF($AA$47="PL2",Reference!C10,"Need Setup"))</f>
        <v>Need Setup</v>
      </c>
      <c r="R15" s="7" t="str">
        <f>IF(P15=0,IF(P14=1,Q14,""),IF(P15="Setup Complete",IF(VLOOKUP(Q15,MapReference!S:AH,16,0)=0,"Dead",VLOOKUP(Q15,MapReference!S:AH,16,0)),""))</f>
        <v/>
      </c>
      <c r="Y15" s="139" t="s">
        <v>1087</v>
      </c>
      <c r="Z15" s="142">
        <f ca="1">NOW()</f>
        <v>43748.629734606482</v>
      </c>
      <c r="AB15" s="109" t="str">
        <f>IF(MapReference!O55=0,IF(AA45="Initiative Game","No Earth Shaking Event","Earth Shaking Event"),"No Earth Shaking Event")</f>
        <v>No Earth Shaking Event</v>
      </c>
      <c r="AJ15" s="139" t="s">
        <v>1501</v>
      </c>
    </row>
    <row r="16" spans="1:41" x14ac:dyDescent="0.25">
      <c r="A16" s="108">
        <v>14</v>
      </c>
      <c r="B16" s="103">
        <f t="shared" ca="1" si="1"/>
        <v>0.76517759191207568</v>
      </c>
      <c r="C16" s="7" t="str">
        <f>'PL1'!H23</f>
        <v>PL1-113</v>
      </c>
      <c r="D16" s="161"/>
      <c r="E16" s="162"/>
      <c r="F16" s="103">
        <f t="shared" ca="1" si="2"/>
        <v>5.2645492130738436E-3</v>
      </c>
      <c r="G16" s="7" t="str">
        <f>'PL2'!H23</f>
        <v>PL2-113</v>
      </c>
      <c r="H16" s="161"/>
      <c r="I16" s="219"/>
      <c r="K16" s="140" t="s">
        <v>1260</v>
      </c>
      <c r="L16" s="140">
        <f t="shared" si="3"/>
        <v>0</v>
      </c>
      <c r="M16" s="140" t="e">
        <f>VLOOKUP(L16,'PL1'!H:J,3,0)</f>
        <v>#N/A</v>
      </c>
      <c r="N16" s="109" t="e">
        <f t="shared" si="0"/>
        <v>#N/A</v>
      </c>
      <c r="P16" s="7">
        <f>IF($AC$5="MapSetupComplete","Setup Complete",COUNTIF(MapReference!$S$9:$S$50,Setup!Q16))</f>
        <v>0</v>
      </c>
      <c r="Q16" s="7" t="str">
        <f>IF($AA$47="PL1",Reference!B11,IF($AA$47="PL2",Reference!C11,"Need Setup"))</f>
        <v>Need Setup</v>
      </c>
      <c r="R16" s="7" t="str">
        <f>IF(P16=0,IF(P15=1,Q15,""),IF(P16="Setup Complete",IF(VLOOKUP(Q16,MapReference!S:AH,16,0)=0,"Dead",VLOOKUP(Q16,MapReference!S:AH,16,0)),""))</f>
        <v/>
      </c>
      <c r="AJ16" s="109">
        <f>COUNTA(AJ18:AJ59)</f>
        <v>0</v>
      </c>
    </row>
    <row r="17" spans="1:42" x14ac:dyDescent="0.25">
      <c r="A17" s="108">
        <v>15</v>
      </c>
      <c r="B17" s="103">
        <f t="shared" ca="1" si="1"/>
        <v>0.46206439488781947</v>
      </c>
      <c r="C17" s="7" t="str">
        <f>'PL1'!H24</f>
        <v>PL1-114</v>
      </c>
      <c r="D17" s="161"/>
      <c r="E17" s="162"/>
      <c r="F17" s="103">
        <f t="shared" ca="1" si="2"/>
        <v>0.61806649494429367</v>
      </c>
      <c r="G17" s="7" t="str">
        <f>'PL2'!H24</f>
        <v>PL2-114</v>
      </c>
      <c r="H17" s="161"/>
      <c r="I17" s="219"/>
      <c r="K17" s="140" t="s">
        <v>1261</v>
      </c>
      <c r="L17" s="140">
        <f t="shared" si="3"/>
        <v>0</v>
      </c>
      <c r="M17" s="140" t="e">
        <f>VLOOKUP(L17,'PL1'!H:J,3,0)</f>
        <v>#N/A</v>
      </c>
      <c r="N17" s="109" t="e">
        <f t="shared" si="0"/>
        <v>#N/A</v>
      </c>
      <c r="P17" s="7">
        <f>IF($AC$5="MapSetupComplete","Setup Complete",COUNTIF(MapReference!$S$9:$S$50,Setup!Q17))</f>
        <v>0</v>
      </c>
      <c r="Q17" s="7" t="str">
        <f>IF($AA$47="PL1",Reference!B12,IF($AA$47="PL2",Reference!C12,"Need Setup"))</f>
        <v>Need Setup</v>
      </c>
      <c r="R17" s="7" t="str">
        <f>IF(P17=0,IF(P16=1,Q16,""),IF(P17="Setup Complete",IF(VLOOKUP(Q17,MapReference!S:AH,16,0)=0,"Dead",VLOOKUP(Q17,MapReference!S:AH,16,0)),""))</f>
        <v/>
      </c>
      <c r="Y17" s="139" t="s">
        <v>1102</v>
      </c>
      <c r="AJ17" s="139" t="s">
        <v>1331</v>
      </c>
      <c r="AK17" s="139" t="s">
        <v>1394</v>
      </c>
      <c r="AN17" s="139" t="s">
        <v>1442</v>
      </c>
    </row>
    <row r="18" spans="1:42" x14ac:dyDescent="0.25">
      <c r="A18" s="108">
        <v>16</v>
      </c>
      <c r="B18" s="103">
        <f t="shared" ca="1" si="1"/>
        <v>0.17853035304999498</v>
      </c>
      <c r="C18" s="7" t="str">
        <f>'PL1'!H25</f>
        <v>PL1-115</v>
      </c>
      <c r="D18" s="161"/>
      <c r="E18" s="162"/>
      <c r="F18" s="103">
        <f t="shared" ca="1" si="2"/>
        <v>0.10016947256948772</v>
      </c>
      <c r="G18" s="7" t="str">
        <f>'PL2'!H25</f>
        <v>PL2-115</v>
      </c>
      <c r="H18" s="161"/>
      <c r="I18" s="219"/>
      <c r="K18" s="140" t="s">
        <v>1262</v>
      </c>
      <c r="L18" s="140">
        <f t="shared" si="3"/>
        <v>0</v>
      </c>
      <c r="M18" s="140" t="e">
        <f>VLOOKUP(L18,'PL1'!H:J,3,0)</f>
        <v>#N/A</v>
      </c>
      <c r="N18" s="109" t="e">
        <f t="shared" si="0"/>
        <v>#N/A</v>
      </c>
      <c r="P18" s="7">
        <f>IF($AC$5="MapSetupComplete","Setup Complete",COUNTIF(MapReference!$S$9:$S$50,Setup!Q18))</f>
        <v>0</v>
      </c>
      <c r="Q18" s="7" t="str">
        <f>IF($AA$47="PL1",Reference!B13,IF($AA$47="PL2",Reference!C13,"Need Setup"))</f>
        <v>Need Setup</v>
      </c>
      <c r="R18" s="7" t="str">
        <f>IF(P18=0,IF(P17=1,Q17,""),IF(P18="Setup Complete",IF(VLOOKUP(Q18,MapReference!S:AH,16,0)=0,"Dead",VLOOKUP(Q18,MapReference!S:AH,16,0)),""))</f>
        <v/>
      </c>
      <c r="Y18" s="139" t="s">
        <v>1240</v>
      </c>
      <c r="Z18" s="139"/>
      <c r="AA18" s="139" t="s">
        <v>1183</v>
      </c>
      <c r="AB18" s="139" t="s">
        <v>1184</v>
      </c>
      <c r="AC18" s="139" t="s">
        <v>1100</v>
      </c>
      <c r="AD18" s="139" t="s">
        <v>1101</v>
      </c>
      <c r="AE18" s="139" t="s">
        <v>1310</v>
      </c>
      <c r="AJ18" s="168"/>
      <c r="AK18" s="109" t="str">
        <f>IF(COUNTIF($AC$28:$AC$29,AJ18)=1,"",IF(AJ18=0,"",AJ18))</f>
        <v/>
      </c>
      <c r="AM18" s="139" t="s">
        <v>0</v>
      </c>
      <c r="AN18" s="139" t="s">
        <v>800</v>
      </c>
      <c r="AO18" s="139" t="s">
        <v>801</v>
      </c>
      <c r="AP18" s="139" t="s">
        <v>819</v>
      </c>
    </row>
    <row r="19" spans="1:42" x14ac:dyDescent="0.25">
      <c r="A19" s="108">
        <v>17</v>
      </c>
      <c r="B19" s="103">
        <f t="shared" ca="1" si="1"/>
        <v>9.5501377595305081E-3</v>
      </c>
      <c r="C19" s="7" t="str">
        <f>'PL1'!H26</f>
        <v>PL1-116</v>
      </c>
      <c r="D19" s="161"/>
      <c r="E19" s="162"/>
      <c r="F19" s="103">
        <f t="shared" ca="1" si="2"/>
        <v>0.15989068918619298</v>
      </c>
      <c r="G19" s="7" t="str">
        <f>'PL2'!H26</f>
        <v>PL2-116</v>
      </c>
      <c r="H19" s="161"/>
      <c r="I19" s="219"/>
      <c r="K19" s="140" t="s">
        <v>1263</v>
      </c>
      <c r="L19" s="140">
        <f t="shared" si="3"/>
        <v>0</v>
      </c>
      <c r="M19" s="140" t="e">
        <f>VLOOKUP(L19,'PL1'!H:J,3,0)</f>
        <v>#N/A</v>
      </c>
      <c r="N19" s="109" t="e">
        <f t="shared" si="0"/>
        <v>#N/A</v>
      </c>
      <c r="P19" s="7">
        <f>IF($AC$5="MapSetupComplete","Setup Complete",COUNTIF(MapReference!$S$9:$S$50,Setup!Q19))</f>
        <v>0</v>
      </c>
      <c r="Q19" s="7" t="str">
        <f>IF($AA$47="PL1",Reference!B14,IF($AA$47="PL2",Reference!C14,"Need Setup"))</f>
        <v>Need Setup</v>
      </c>
      <c r="R19" s="7" t="str">
        <f>IF(P19=0,IF(P18=1,Q18,""),IF(P19="Setup Complete",IF(VLOOKUP(Q19,MapReference!S:AH,16,0)=0,"Dead",VLOOKUP(Q19,MapReference!S:AH,16,0)),""))</f>
        <v/>
      </c>
      <c r="Y19" s="139" t="s">
        <v>801</v>
      </c>
      <c r="Z19" s="139" t="s">
        <v>800</v>
      </c>
      <c r="AA19" s="109">
        <f>IF(AA45="Initiative Game",L3,$AC$60)</f>
        <v>0</v>
      </c>
      <c r="AB19" s="109" t="str">
        <f>IF(AA45="Initiative Game","",IF(AK6="No","",$AC$61))</f>
        <v/>
      </c>
      <c r="AC19" s="168"/>
      <c r="AD19" s="168"/>
      <c r="AE19" s="139" t="str">
        <f>'PL1'!J7</f>
        <v>Patrick</v>
      </c>
      <c r="AJ19" s="168"/>
      <c r="AK19" s="109" t="str">
        <f t="shared" ref="AK19:AK59" si="4">IF(COUNTIF($AC$28:$AC$29,AJ19)=1,"",IF(AJ19=0,"",AJ19))</f>
        <v/>
      </c>
      <c r="AM19" s="139" t="str">
        <f>Reference!AB54</f>
        <v>Africa</v>
      </c>
      <c r="AN19" s="200"/>
      <c r="AO19" s="200"/>
      <c r="AP19" s="109" t="str">
        <f>IF($AC$48="PL1",AN19,IF($AC$48="PL2",AO19,"Undecided"))</f>
        <v>Undecided</v>
      </c>
    </row>
    <row r="20" spans="1:42" x14ac:dyDescent="0.25">
      <c r="A20" s="108">
        <v>18</v>
      </c>
      <c r="B20" s="103">
        <f t="shared" ca="1" si="1"/>
        <v>0.63652342545324625</v>
      </c>
      <c r="C20" s="7" t="str">
        <f>'PL1'!H27</f>
        <v>PL1-117</v>
      </c>
      <c r="D20" s="161"/>
      <c r="E20" s="162"/>
      <c r="F20" s="103">
        <f t="shared" ca="1" si="2"/>
        <v>0.79381709803031775</v>
      </c>
      <c r="G20" s="7" t="str">
        <f>'PL2'!H27</f>
        <v>PL2-117</v>
      </c>
      <c r="H20" s="161"/>
      <c r="I20" s="219"/>
      <c r="K20" s="140" t="s">
        <v>1264</v>
      </c>
      <c r="L20" s="140">
        <f t="shared" si="3"/>
        <v>0</v>
      </c>
      <c r="M20" s="140" t="e">
        <f>VLOOKUP(L20,'PL1'!H:J,3,0)</f>
        <v>#N/A</v>
      </c>
      <c r="N20" s="109" t="e">
        <f t="shared" si="0"/>
        <v>#N/A</v>
      </c>
      <c r="P20" s="7">
        <f>IF($AC$5="MapSetupComplete","Setup Complete",COUNTIF(MapReference!$S$9:$S$50,Setup!Q20))</f>
        <v>0</v>
      </c>
      <c r="Q20" s="7" t="str">
        <f>IF($AA$47="PL1",Reference!B15,IF($AA$47="PL2",Reference!C15,"Need Setup"))</f>
        <v>Need Setup</v>
      </c>
      <c r="R20" s="7" t="str">
        <f>IF(P20=0,IF(P19=1,Q19,""),IF(P20="Setup Complete",IF(VLOOKUP(Q20,MapReference!S:AH,16,0)=0,"Dead",VLOOKUP(Q20,MapReference!S:AH,16,0)),""))</f>
        <v/>
      </c>
      <c r="Y20" s="139" t="s">
        <v>800</v>
      </c>
      <c r="Z20" s="139" t="s">
        <v>801</v>
      </c>
      <c r="AA20" s="109">
        <f>IF(AA45="Initiative Game",L66,$AD$60)</f>
        <v>0</v>
      </c>
      <c r="AB20" s="109" t="str">
        <f>IF(AA45="Initiative Game","",IF(AK6="No","",$AD$61))</f>
        <v/>
      </c>
      <c r="AC20" s="168"/>
      <c r="AD20" s="168"/>
      <c r="AE20" s="139" t="str">
        <f>'PL2'!J7</f>
        <v>Justin</v>
      </c>
      <c r="AJ20" s="168"/>
      <c r="AK20" s="109" t="str">
        <f t="shared" si="4"/>
        <v/>
      </c>
      <c r="AM20" s="139" t="str">
        <f>Reference!AB55</f>
        <v>Asia</v>
      </c>
      <c r="AN20" s="200"/>
      <c r="AO20" s="200"/>
      <c r="AP20" s="109" t="str">
        <f t="shared" ref="AP20:AP24" si="5">IF($AC$48="PL1",AN20,IF($AC$48="PL2",AO20,"Undecided"))</f>
        <v>Undecided</v>
      </c>
    </row>
    <row r="21" spans="1:42" x14ac:dyDescent="0.25">
      <c r="A21" s="108">
        <v>19</v>
      </c>
      <c r="B21" s="103">
        <f t="shared" ca="1" si="1"/>
        <v>0.13447592233991201</v>
      </c>
      <c r="C21" s="7" t="str">
        <f>'PL1'!H28</f>
        <v>PL1-118</v>
      </c>
      <c r="D21" s="161"/>
      <c r="E21" s="162"/>
      <c r="F21" s="103">
        <f t="shared" ca="1" si="2"/>
        <v>0.39545438899747976</v>
      </c>
      <c r="G21" s="7" t="str">
        <f>'PL2'!H28</f>
        <v>PL2-118</v>
      </c>
      <c r="H21" s="161"/>
      <c r="I21" s="219"/>
      <c r="K21" s="140" t="s">
        <v>1265</v>
      </c>
      <c r="L21" s="140">
        <f t="shared" si="3"/>
        <v>0</v>
      </c>
      <c r="M21" s="140" t="e">
        <f>VLOOKUP(L21,'PL1'!H:J,3,0)</f>
        <v>#N/A</v>
      </c>
      <c r="N21" s="109" t="e">
        <f t="shared" si="0"/>
        <v>#N/A</v>
      </c>
      <c r="P21" s="7">
        <f>IF($AC$5="MapSetupComplete","Setup Complete",COUNTIF(MapReference!$S$9:$S$50,Setup!Q21))</f>
        <v>0</v>
      </c>
      <c r="Q21" s="7" t="str">
        <f>IF($AA$47="PL1",Reference!B16,IF($AA$47="PL2",Reference!C16,"Need Setup"))</f>
        <v>Need Setup</v>
      </c>
      <c r="R21" s="7" t="str">
        <f>IF(P21=0,IF(P20=1,Q20,""),IF(P21="Setup Complete",IF(VLOOKUP(Q21,MapReference!S:AH,16,0)=0,"Dead",VLOOKUP(Q21,MapReference!S:AH,16,0)),""))</f>
        <v/>
      </c>
      <c r="X21" s="109" t="str">
        <f>IF(Y21="PL2",IF($AC$38="Started",$AD$56,$AD$65),IF(Y21="PL1",IF($AC$38="Started",$AC$56,$AC$65),"Undecided"))</f>
        <v>Undecided</v>
      </c>
      <c r="Y21" s="109" t="str">
        <f>LEFT(AA21,3)</f>
        <v>0</v>
      </c>
      <c r="Z21" s="139" t="s">
        <v>1019</v>
      </c>
      <c r="AA21" s="109">
        <f>IF($AA$48=$Z$19,AC19,AC20)</f>
        <v>0</v>
      </c>
      <c r="AB21" s="109" t="str">
        <f>IF(IF($AA$48=$Z$19,AD19,AD20)=0,"",IF($AA$48=$Z$19,AD19,AD20))</f>
        <v/>
      </c>
      <c r="AC21" s="168"/>
      <c r="AD21" s="168"/>
      <c r="AJ21" s="168"/>
      <c r="AK21" s="109" t="str">
        <f t="shared" si="4"/>
        <v/>
      </c>
      <c r="AM21" s="139" t="str">
        <f>Reference!AB56</f>
        <v>Australia</v>
      </c>
      <c r="AN21" s="200"/>
      <c r="AO21" s="200"/>
      <c r="AP21" s="109" t="str">
        <f t="shared" si="5"/>
        <v>Undecided</v>
      </c>
    </row>
    <row r="22" spans="1:42" x14ac:dyDescent="0.25">
      <c r="A22" s="108">
        <v>20</v>
      </c>
      <c r="B22" s="103">
        <f t="shared" ca="1" si="1"/>
        <v>0.48709839004522015</v>
      </c>
      <c r="C22" s="7" t="str">
        <f>'PL1'!H29</f>
        <v>PL1-119</v>
      </c>
      <c r="D22" s="161"/>
      <c r="E22" s="162"/>
      <c r="F22" s="103">
        <f t="shared" ca="1" si="2"/>
        <v>4.9811256130092185E-2</v>
      </c>
      <c r="G22" s="7" t="str">
        <f>'PL2'!H29</f>
        <v>PL2-119</v>
      </c>
      <c r="H22" s="161"/>
      <c r="I22" s="219"/>
      <c r="K22" s="140" t="s">
        <v>1266</v>
      </c>
      <c r="L22" s="140">
        <f t="shared" si="3"/>
        <v>0</v>
      </c>
      <c r="M22" s="140" t="e">
        <f>VLOOKUP(L22,'PL1'!H:J,3,0)</f>
        <v>#N/A</v>
      </c>
      <c r="N22" s="109" t="e">
        <f t="shared" si="0"/>
        <v>#N/A</v>
      </c>
      <c r="P22" s="7">
        <f>IF($AC$5="MapSetupComplete","Setup Complete",COUNTIF(MapReference!$S$9:$S$50,Setup!Q22))</f>
        <v>0</v>
      </c>
      <c r="Q22" s="7" t="str">
        <f>IF($AA$47="PL1",Reference!B17,IF($AA$47="PL2",Reference!C17,"Need Setup"))</f>
        <v>Need Setup</v>
      </c>
      <c r="R22" s="7" t="str">
        <f>IF(P22=0,IF(P21=1,Q21,""),IF(P22="Setup Complete",IF(VLOOKUP(Q22,MapReference!S:AH,16,0)=0,"Dead",VLOOKUP(Q22,MapReference!S:AH,16,0)),""))</f>
        <v/>
      </c>
      <c r="X22" s="109" t="str">
        <f>IF(Y22="PL2",IF($AC$38="Started",$AD$56,$AD$65),IF(Y22="PL1",IF($AC$38="Started",$AC$56,$AC$65),"Undecided"))</f>
        <v>Undecided</v>
      </c>
      <c r="Y22" s="109" t="str">
        <f>LEFT(AA22,3)</f>
        <v>0</v>
      </c>
      <c r="Z22" s="139" t="s">
        <v>1020</v>
      </c>
      <c r="AA22" s="109">
        <f>IF($AA$48=$Z$19,AC20,AC19)</f>
        <v>0</v>
      </c>
      <c r="AB22" s="109" t="str">
        <f>IF(IF($AA$48=$Z$19,AD20,AD19)=0,"",IF($AA$48=$Z$19,AD20,AD19))</f>
        <v/>
      </c>
      <c r="AC22" s="168"/>
      <c r="AD22" s="168"/>
      <c r="AJ22" s="168"/>
      <c r="AK22" s="109" t="str">
        <f t="shared" si="4"/>
        <v/>
      </c>
      <c r="AM22" s="139" t="str">
        <f>Reference!AB57</f>
        <v>South America</v>
      </c>
      <c r="AN22" s="200"/>
      <c r="AO22" s="200"/>
      <c r="AP22" s="109" t="str">
        <f t="shared" si="5"/>
        <v>Undecided</v>
      </c>
    </row>
    <row r="23" spans="1:42" x14ac:dyDescent="0.25">
      <c r="A23" s="108">
        <v>21</v>
      </c>
      <c r="B23" s="103">
        <f t="shared" ca="1" si="1"/>
        <v>0.15322290724372145</v>
      </c>
      <c r="C23" s="7" t="str">
        <f>'PL1'!H30</f>
        <v>PL1-120</v>
      </c>
      <c r="D23" s="161"/>
      <c r="E23" s="162"/>
      <c r="F23" s="103">
        <f t="shared" ca="1" si="2"/>
        <v>0.9150628549197577</v>
      </c>
      <c r="G23" s="7" t="str">
        <f>'PL2'!H30</f>
        <v>PL2-120</v>
      </c>
      <c r="H23" s="161"/>
      <c r="I23" s="219"/>
      <c r="K23" s="140" t="s">
        <v>1267</v>
      </c>
      <c r="L23" s="140">
        <f t="shared" si="3"/>
        <v>0</v>
      </c>
      <c r="M23" s="140" t="e">
        <f>VLOOKUP(L23,'PL1'!H:J,3,0)</f>
        <v>#N/A</v>
      </c>
      <c r="N23" s="109" t="e">
        <f t="shared" si="0"/>
        <v>#N/A</v>
      </c>
      <c r="P23" s="7">
        <f>IF($AC$5="MapSetupComplete","Setup Complete",COUNTIF(MapReference!$S$9:$S$50,Setup!Q23))</f>
        <v>0</v>
      </c>
      <c r="Q23" s="7" t="str">
        <f>IF($AA$47="PL1",Reference!B18,IF($AA$47="PL2",Reference!C18,"Need Setup"))</f>
        <v>Need Setup</v>
      </c>
      <c r="R23" s="7" t="str">
        <f>IF(P23=0,IF(P22=1,Q22,""),IF(P23="Setup Complete",IF(VLOOKUP(Q23,MapReference!S:AH,16,0)=0,"Dead",VLOOKUP(Q23,MapReference!S:AH,16,0)),""))</f>
        <v/>
      </c>
      <c r="X23" s="109" t="str">
        <f>IF(AC23="","Undecided",IF(Y23="Defender Wins","OngoingAttack","DeckKilled"))</f>
        <v>Undecided</v>
      </c>
      <c r="Y23" s="109" t="str">
        <f>IF(AC23="","Undecided",IF(AC21=AC23,"Attacker Wins",IF(AC23=AC22,"Defender Wins","Fixattacker")))</f>
        <v>Undecided</v>
      </c>
      <c r="Z23" s="139" t="s">
        <v>1243</v>
      </c>
      <c r="AC23" s="168"/>
      <c r="AD23" s="168"/>
      <c r="AJ23" s="168"/>
      <c r="AK23" s="109" t="str">
        <f t="shared" si="4"/>
        <v/>
      </c>
      <c r="AM23" s="139" t="str">
        <f>Reference!AB58</f>
        <v>Europe</v>
      </c>
      <c r="AN23" s="200"/>
      <c r="AO23" s="200"/>
      <c r="AP23" s="109" t="str">
        <f t="shared" si="5"/>
        <v>Undecided</v>
      </c>
    </row>
    <row r="24" spans="1:42" x14ac:dyDescent="0.25">
      <c r="A24" s="108">
        <v>22</v>
      </c>
      <c r="B24" s="103">
        <f t="shared" ca="1" si="1"/>
        <v>0.69790656688592978</v>
      </c>
      <c r="C24" s="7" t="str">
        <f>'PL1'!H31</f>
        <v>PL1-121</v>
      </c>
      <c r="D24" s="161"/>
      <c r="E24" s="162"/>
      <c r="F24" s="103">
        <f t="shared" ca="1" si="2"/>
        <v>0.67040870762949234</v>
      </c>
      <c r="G24" s="7" t="str">
        <f>'PL2'!H31</f>
        <v>PL2-121</v>
      </c>
      <c r="H24" s="161"/>
      <c r="I24" s="219"/>
      <c r="K24" s="140" t="s">
        <v>1268</v>
      </c>
      <c r="L24" s="140">
        <f t="shared" si="3"/>
        <v>0</v>
      </c>
      <c r="M24" s="140" t="e">
        <f>VLOOKUP(L24,'PL1'!H:J,3,0)</f>
        <v>#N/A</v>
      </c>
      <c r="N24" s="109" t="e">
        <f t="shared" si="0"/>
        <v>#N/A</v>
      </c>
      <c r="P24" s="7">
        <f>IF($AC$5="MapSetupComplete","Setup Complete",COUNTIF(MapReference!$S$9:$S$50,Setup!Q24))</f>
        <v>0</v>
      </c>
      <c r="Q24" s="7" t="str">
        <f>IF($AA$47="PL1",Reference!B19,IF($AA$47="PL2",Reference!C19,"Need Setup"))</f>
        <v>Need Setup</v>
      </c>
      <c r="R24" s="7" t="str">
        <f>IF(P24=0,IF(P23=1,Q23,""),IF(P24="Setup Complete",IF(VLOOKUP(Q24,MapReference!S:AH,16,0)=0,"Dead",VLOOKUP(Q24,MapReference!S:AH,16,0)),""))</f>
        <v/>
      </c>
      <c r="Z24" s="139" t="s">
        <v>1242</v>
      </c>
      <c r="AC24" s="168"/>
      <c r="AD24" s="168"/>
      <c r="AJ24" s="168"/>
      <c r="AK24" s="109" t="str">
        <f t="shared" si="4"/>
        <v/>
      </c>
      <c r="AM24" s="139" t="str">
        <f>Reference!AB59</f>
        <v>North America</v>
      </c>
      <c r="AN24" s="200"/>
      <c r="AO24" s="200"/>
      <c r="AP24" s="109" t="str">
        <f t="shared" si="5"/>
        <v>Undecided</v>
      </c>
    </row>
    <row r="25" spans="1:42" x14ac:dyDescent="0.25">
      <c r="A25" s="108">
        <v>23</v>
      </c>
      <c r="B25" s="103">
        <f t="shared" ca="1" si="1"/>
        <v>0.49949209965639185</v>
      </c>
      <c r="C25" s="7" t="str">
        <f>'PL1'!H32</f>
        <v>PL1-122</v>
      </c>
      <c r="D25" s="161"/>
      <c r="E25" s="162"/>
      <c r="F25" s="103">
        <f t="shared" ca="1" si="2"/>
        <v>0.71159935231923988</v>
      </c>
      <c r="G25" s="7" t="str">
        <f>'PL2'!H32</f>
        <v>PL2-122</v>
      </c>
      <c r="H25" s="161"/>
      <c r="I25" s="219"/>
      <c r="K25" s="140" t="s">
        <v>1269</v>
      </c>
      <c r="L25" s="140">
        <f t="shared" si="3"/>
        <v>0</v>
      </c>
      <c r="M25" s="140" t="e">
        <f>VLOOKUP(L25,'PL1'!H:J,3,0)</f>
        <v>#N/A</v>
      </c>
      <c r="N25" s="109" t="e">
        <f t="shared" si="0"/>
        <v>#N/A</v>
      </c>
      <c r="P25" s="7">
        <f>IF($AC$5="MapSetupComplete","Setup Complete",COUNTIF(MapReference!$S$9:$S$50,Setup!Q25))</f>
        <v>0</v>
      </c>
      <c r="Q25" s="7" t="str">
        <f>IF($AA$47="PL1",Reference!B20,IF($AA$47="PL2",Reference!C20,"Need Setup"))</f>
        <v>Need Setup</v>
      </c>
      <c r="R25" s="7" t="str">
        <f>IF(P25=0,IF(P24=1,Q24,""),IF(P25="Setup Complete",IF(VLOOKUP(Q25,MapReference!S:AH,16,0)=0,"Dead",VLOOKUP(Q25,MapReference!S:AH,16,0)),""))</f>
        <v/>
      </c>
      <c r="Y25" s="109" t="str">
        <f>IF(AA25="Undecided","Undecided",IF($AC$48=AA25,"Attacker","Defender"))</f>
        <v>Undecided</v>
      </c>
      <c r="Z25" s="139" t="s">
        <v>1105</v>
      </c>
      <c r="AA25" s="109" t="str">
        <f>IF(LEFT(AC23,3)="","Undecided",LEFT(AC23,3))</f>
        <v>Undecided</v>
      </c>
      <c r="AB25" s="109" t="str">
        <f>IF(AA25="PL1",$AC$65,IF(AA25="PL2",$AD$65,"Undecided"))</f>
        <v>Undecided</v>
      </c>
      <c r="AC25" s="168"/>
      <c r="AD25" s="162"/>
      <c r="AJ25" s="168"/>
      <c r="AK25" s="109" t="str">
        <f t="shared" si="4"/>
        <v/>
      </c>
    </row>
    <row r="26" spans="1:42" x14ac:dyDescent="0.25">
      <c r="A26" s="108">
        <v>24</v>
      </c>
      <c r="B26" s="103">
        <f t="shared" ca="1" si="1"/>
        <v>0.62030766821620043</v>
      </c>
      <c r="C26" s="7" t="str">
        <f>'PL1'!H33</f>
        <v>PL1-123</v>
      </c>
      <c r="D26" s="161"/>
      <c r="E26" s="162"/>
      <c r="F26" s="103">
        <f t="shared" ca="1" si="2"/>
        <v>7.097473348915373E-2</v>
      </c>
      <c r="G26" s="7" t="str">
        <f>'PL2'!H33</f>
        <v>PL2-123</v>
      </c>
      <c r="H26" s="161"/>
      <c r="I26" s="219"/>
      <c r="K26" s="140" t="s">
        <v>1270</v>
      </c>
      <c r="L26" s="140">
        <f t="shared" si="3"/>
        <v>0</v>
      </c>
      <c r="M26" s="140" t="e">
        <f>VLOOKUP(L26,'PL1'!H:J,3,0)</f>
        <v>#N/A</v>
      </c>
      <c r="N26" s="109" t="e">
        <f t="shared" si="0"/>
        <v>#N/A</v>
      </c>
      <c r="P26" s="7">
        <f>IF($AC$5="MapSetupComplete","Setup Complete",COUNTIF(MapReference!$S$9:$S$50,Setup!Q26))</f>
        <v>0</v>
      </c>
      <c r="Q26" s="7" t="str">
        <f>IF($AA$47="PL1",Reference!B21,IF($AA$47="PL2",Reference!C21,"Need Setup"))</f>
        <v>Need Setup</v>
      </c>
      <c r="R26" s="7" t="str">
        <f>IF(P26=0,IF(P25=1,Q25,""),IF(P26="Setup Complete",IF(VLOOKUP(Q26,MapReference!S:AH,16,0)=0,"Dead",VLOOKUP(Q26,MapReference!S:AH,16,0)),""))</f>
        <v/>
      </c>
      <c r="Y26" s="109" t="str">
        <f>IF(AA26="Undecided","Undecided",IF($AC$48=AA26,"Attacker","Defender"))</f>
        <v>Undecided</v>
      </c>
      <c r="Z26" s="139" t="s">
        <v>1106</v>
      </c>
      <c r="AA26" s="109" t="str">
        <f>IF(LEFT(AC24,3)="","Undecided",LEFT(AC24,3))</f>
        <v>Undecided</v>
      </c>
      <c r="AB26" s="109" t="str">
        <f>IF(AA26="PL1",$AC$65,IF(AA26="PL2",$AD$65,"Undecided"))</f>
        <v>Undecided</v>
      </c>
      <c r="AC26" s="168"/>
      <c r="AD26" s="162"/>
      <c r="AJ26" s="168"/>
      <c r="AK26" s="109" t="str">
        <f t="shared" si="4"/>
        <v/>
      </c>
    </row>
    <row r="27" spans="1:42" x14ac:dyDescent="0.25">
      <c r="A27" s="108">
        <v>25</v>
      </c>
      <c r="B27" s="103">
        <f t="shared" ca="1" si="1"/>
        <v>0.66243955594599035</v>
      </c>
      <c r="C27" s="7" t="str">
        <f>'PL1'!H34</f>
        <v>PL1-124</v>
      </c>
      <c r="D27" s="161"/>
      <c r="E27" s="162"/>
      <c r="F27" s="103">
        <f t="shared" ca="1" si="2"/>
        <v>0.78214636523663805</v>
      </c>
      <c r="G27" s="7" t="str">
        <f>'PL2'!H34</f>
        <v>PL2-124</v>
      </c>
      <c r="H27" s="161"/>
      <c r="I27" s="219"/>
      <c r="K27" s="140" t="s">
        <v>1271</v>
      </c>
      <c r="L27" s="140">
        <f t="shared" si="3"/>
        <v>0</v>
      </c>
      <c r="M27" s="140" t="e">
        <f>VLOOKUP(L27,'PL1'!H:J,3,0)</f>
        <v>#N/A</v>
      </c>
      <c r="N27" s="109" t="e">
        <f t="shared" si="0"/>
        <v>#N/A</v>
      </c>
      <c r="P27" s="7">
        <f>IF($AC$5="MapSetupComplete","Setup Complete",COUNTIF(MapReference!$S$9:$S$50,Setup!Q27))</f>
        <v>0</v>
      </c>
      <c r="Q27" s="7" t="str">
        <f>IF($AA$47="PL1",Reference!B22,IF($AA$47="PL2",Reference!C22,"Need Setup"))</f>
        <v>Need Setup</v>
      </c>
      <c r="R27" s="7" t="str">
        <f>IF(P27=0,IF(P26=1,Q26,""),IF(P27="Setup Complete",IF(VLOOKUP(Q27,MapReference!S:AH,16,0)=0,"Dead",VLOOKUP(Q27,MapReference!S:AH,16,0)),""))</f>
        <v/>
      </c>
      <c r="AC27" s="162"/>
      <c r="AD27" s="162"/>
      <c r="AE27" s="139" t="s">
        <v>1371</v>
      </c>
      <c r="AJ27" s="168"/>
      <c r="AK27" s="109" t="str">
        <f t="shared" si="4"/>
        <v/>
      </c>
    </row>
    <row r="28" spans="1:42" x14ac:dyDescent="0.25">
      <c r="A28" s="108">
        <v>26</v>
      </c>
      <c r="B28" s="103">
        <f t="shared" ca="1" si="1"/>
        <v>0.24284965170765493</v>
      </c>
      <c r="C28" s="7" t="str">
        <f>'PL1'!H35</f>
        <v>PL1-125</v>
      </c>
      <c r="D28" s="161"/>
      <c r="E28" s="162"/>
      <c r="F28" s="103">
        <f t="shared" ca="1" si="2"/>
        <v>0.23979916647758792</v>
      </c>
      <c r="G28" s="7" t="str">
        <f>'PL2'!H35</f>
        <v>PL2-125</v>
      </c>
      <c r="H28" s="161"/>
      <c r="I28" s="219"/>
      <c r="K28" s="140" t="s">
        <v>1272</v>
      </c>
      <c r="L28" s="140">
        <f t="shared" si="3"/>
        <v>0</v>
      </c>
      <c r="M28" s="140" t="e">
        <f>VLOOKUP(L28,'PL1'!H:J,3,0)</f>
        <v>#N/A</v>
      </c>
      <c r="N28" s="109" t="e">
        <f t="shared" si="0"/>
        <v>#N/A</v>
      </c>
      <c r="P28" s="7">
        <f>IF($AC$5="MapSetupComplete","Setup Complete",COUNTIF(MapReference!$S$9:$S$50,Setup!Q28))</f>
        <v>0</v>
      </c>
      <c r="Q28" s="7" t="str">
        <f>IF($AA$47="PL1",Reference!B23,IF($AA$47="PL2",Reference!C23,"Need Setup"))</f>
        <v>Need Setup</v>
      </c>
      <c r="R28" s="7" t="str">
        <f>IF(P28=0,IF(P27=1,Q27,""),IF(P28="Setup Complete",IF(VLOOKUP(Q28,MapReference!S:AH,16,0)=0,"Dead",VLOOKUP(Q28,MapReference!S:AH,16,0)),""))</f>
        <v/>
      </c>
      <c r="Y28" s="109" t="str">
        <f>IF(AA45="Normal Game",IF(LEFT(IF(AC38="Started",AD28,AB28),3)=$AC$48,"Attacking From",IF(LEFT(IF(AC38="Started",AD28,AB28),3)=$AC$49,"Defending","Undecided")),"")</f>
        <v/>
      </c>
      <c r="Z28" s="139" t="str">
        <f>MapReference!P2</f>
        <v>Map Select</v>
      </c>
      <c r="AA28" s="109">
        <f>MapReference!Q2</f>
        <v>0</v>
      </c>
      <c r="AB28" s="109" t="str">
        <f>MapReference!L2</f>
        <v>NoCountrySelected</v>
      </c>
      <c r="AC28" s="168"/>
      <c r="AD28" s="168"/>
      <c r="AE28" s="109" t="str">
        <f>IF(ISNA(VLOOKUP(AC28,MapReference!$Q$9:$AB$50,12,0)),"Undecided",VLOOKUP(AC28,MapReference!$Q$9:$AB$50,12,0))</f>
        <v>Undecided</v>
      </c>
      <c r="AJ28" s="168"/>
      <c r="AK28" s="109" t="str">
        <f t="shared" si="4"/>
        <v/>
      </c>
    </row>
    <row r="29" spans="1:42" x14ac:dyDescent="0.25">
      <c r="A29" s="108">
        <v>27</v>
      </c>
      <c r="B29" s="103">
        <f t="shared" ca="1" si="1"/>
        <v>0.3772657011885745</v>
      </c>
      <c r="C29" s="7" t="str">
        <f>'PL1'!H36</f>
        <v>PL1-126</v>
      </c>
      <c r="D29" s="161"/>
      <c r="E29" s="162"/>
      <c r="F29" s="103">
        <f t="shared" ca="1" si="2"/>
        <v>0.96373109914089672</v>
      </c>
      <c r="G29" s="7" t="str">
        <f>'PL2'!H36</f>
        <v>PL2-126</v>
      </c>
      <c r="H29" s="161"/>
      <c r="I29" s="219"/>
      <c r="K29" s="140" t="s">
        <v>1273</v>
      </c>
      <c r="L29" s="140">
        <f t="shared" si="3"/>
        <v>0</v>
      </c>
      <c r="M29" s="140" t="e">
        <f>VLOOKUP(L29,'PL1'!H:J,3,0)</f>
        <v>#N/A</v>
      </c>
      <c r="N29" s="109" t="e">
        <f t="shared" si="0"/>
        <v>#N/A</v>
      </c>
      <c r="P29" s="7">
        <f>IF($AC$5="MapSetupComplete","Setup Complete",COUNTIF(MapReference!$S$9:$S$50,Setup!Q29))</f>
        <v>0</v>
      </c>
      <c r="Q29" s="7" t="str">
        <f>IF($AA$47="PL1",Reference!B24,IF($AA$47="PL2",Reference!C24,"Need Setup"))</f>
        <v>Need Setup</v>
      </c>
      <c r="R29" s="7" t="str">
        <f>IF(P29=0,IF(P28=1,Q28,""),IF(P29="Setup Complete",IF(VLOOKUP(Q29,MapReference!S:AH,16,0)=0,"Dead",VLOOKUP(Q29,MapReference!S:AH,16,0)),""))</f>
        <v/>
      </c>
      <c r="Y29" s="109" t="str">
        <f>IF(AA45="Normal Game",IF(LEFT(IF(AC38="Started",AD29,AB29),3)=$AC$48,"Attacking From",IF(LEFT(IF(AC38="Started",AD29,AB29),3)=$AC$49,"Defending","Undecided")),"")</f>
        <v/>
      </c>
      <c r="Z29" s="139" t="str">
        <f>MapReference!P3</f>
        <v>Next Select</v>
      </c>
      <c r="AA29" s="109">
        <f>MapReference!Q3</f>
        <v>0</v>
      </c>
      <c r="AB29" s="109" t="str">
        <f>MapReference!L3</f>
        <v>NoCountrySelected</v>
      </c>
      <c r="AC29" s="168"/>
      <c r="AD29" s="168"/>
      <c r="AE29" s="109" t="str">
        <f>IF(ISNA(VLOOKUP(AC29,MapReference!$Q$9:$AB$50,12,0)),"Undecided",VLOOKUP(AC29,MapReference!$Q$9:$AB$50,12,0))</f>
        <v>Undecided</v>
      </c>
      <c r="AJ29" s="168"/>
      <c r="AK29" s="109" t="str">
        <f t="shared" si="4"/>
        <v/>
      </c>
    </row>
    <row r="30" spans="1:42" x14ac:dyDescent="0.25">
      <c r="A30" s="108">
        <v>28</v>
      </c>
      <c r="B30" s="103">
        <f t="shared" ca="1" si="1"/>
        <v>0.37252283323333668</v>
      </c>
      <c r="C30" s="7" t="str">
        <f>'PL1'!H37</f>
        <v>PL1-127</v>
      </c>
      <c r="D30" s="161"/>
      <c r="E30" s="162"/>
      <c r="F30" s="103">
        <f t="shared" ca="1" si="2"/>
        <v>0.67674074486656977</v>
      </c>
      <c r="G30" s="7" t="str">
        <f>'PL2'!H37</f>
        <v>PL2-127</v>
      </c>
      <c r="H30" s="161"/>
      <c r="I30" s="219"/>
      <c r="K30" s="140" t="s">
        <v>1274</v>
      </c>
      <c r="L30" s="140">
        <f t="shared" si="3"/>
        <v>0</v>
      </c>
      <c r="M30" s="140" t="e">
        <f>VLOOKUP(L30,'PL1'!H:J,3,0)</f>
        <v>#N/A</v>
      </c>
      <c r="N30" s="109" t="e">
        <f t="shared" si="0"/>
        <v>#N/A</v>
      </c>
      <c r="P30" s="7">
        <f>IF($AC$5="MapSetupComplete","Setup Complete",COUNTIF(MapReference!$S$9:$S$50,Setup!Q30))</f>
        <v>0</v>
      </c>
      <c r="Q30" s="7" t="str">
        <f>IF($AA$47="PL1",Reference!B25,IF($AA$47="PL2",Reference!C25,"Need Setup"))</f>
        <v>Need Setup</v>
      </c>
      <c r="R30" s="7" t="str">
        <f>IF(P30=0,IF(P29=1,Q29,""),IF(P30="Setup Complete",IF(VLOOKUP(Q30,MapReference!S:AH,16,0)=0,"Dead",VLOOKUP(Q30,MapReference!S:AH,16,0)),""))</f>
        <v/>
      </c>
      <c r="AC30" s="162"/>
      <c r="AD30" s="162"/>
      <c r="AJ30" s="168"/>
      <c r="AK30" s="109" t="str">
        <f t="shared" si="4"/>
        <v/>
      </c>
    </row>
    <row r="31" spans="1:42" x14ac:dyDescent="0.25">
      <c r="A31" s="108">
        <v>29</v>
      </c>
      <c r="B31" s="103">
        <f t="shared" ca="1" si="1"/>
        <v>0.48116966289981378</v>
      </c>
      <c r="C31" s="7" t="str">
        <f>'PL1'!H38</f>
        <v>PL1-128</v>
      </c>
      <c r="D31" s="161"/>
      <c r="E31" s="162"/>
      <c r="F31" s="103">
        <f t="shared" ca="1" si="2"/>
        <v>0.97723138337937066</v>
      </c>
      <c r="G31" s="7" t="str">
        <f>'PL2'!H38</f>
        <v>PL2-128</v>
      </c>
      <c r="H31" s="161"/>
      <c r="I31" s="219"/>
      <c r="K31" s="140" t="s">
        <v>1275</v>
      </c>
      <c r="L31" s="140">
        <f t="shared" si="3"/>
        <v>0</v>
      </c>
      <c r="M31" s="140" t="e">
        <f>VLOOKUP(L31,'PL1'!H:J,3,0)</f>
        <v>#N/A</v>
      </c>
      <c r="N31" s="109" t="e">
        <f t="shared" si="0"/>
        <v>#N/A</v>
      </c>
      <c r="P31" s="7">
        <f>IF($AC$5="MapSetupComplete","Setup Complete",COUNTIF(MapReference!$S$9:$S$50,Setup!Q31))</f>
        <v>0</v>
      </c>
      <c r="Q31" s="7" t="str">
        <f>IF($AA$47="PL1",Reference!B26,IF($AA$47="PL2",Reference!C26,"Need Setup"))</f>
        <v>Need Setup</v>
      </c>
      <c r="R31" s="7" t="str">
        <f>IF(P31=0,IF(P30=1,Q30,""),IF(P31="Setup Complete",IF(VLOOKUP(Q31,MapReference!S:AH,16,0)=0,"Dead",VLOOKUP(Q31,MapReference!S:AH,16,0)),""))</f>
        <v/>
      </c>
      <c r="Z31" s="139" t="s">
        <v>1315</v>
      </c>
      <c r="AC31" s="173"/>
      <c r="AD31" s="162"/>
      <c r="AJ31" s="168"/>
      <c r="AK31" s="109" t="str">
        <f t="shared" si="4"/>
        <v/>
      </c>
    </row>
    <row r="32" spans="1:42" x14ac:dyDescent="0.25">
      <c r="A32" s="108">
        <v>30</v>
      </c>
      <c r="B32" s="103">
        <f t="shared" ca="1" si="1"/>
        <v>0.93787739561120487</v>
      </c>
      <c r="C32" s="7" t="str">
        <f>'PL1'!H39</f>
        <v>PL1-129</v>
      </c>
      <c r="D32" s="161"/>
      <c r="E32" s="162"/>
      <c r="F32" s="103">
        <f t="shared" ca="1" si="2"/>
        <v>0.88165099918077483</v>
      </c>
      <c r="G32" s="7" t="str">
        <f>'PL2'!H39</f>
        <v>PL2-129</v>
      </c>
      <c r="H32" s="161"/>
      <c r="I32" s="219"/>
      <c r="K32" s="140" t="s">
        <v>1276</v>
      </c>
      <c r="L32" s="140">
        <f t="shared" si="3"/>
        <v>0</v>
      </c>
      <c r="M32" s="140" t="e">
        <f>VLOOKUP(L32,'PL1'!H:J,3,0)</f>
        <v>#N/A</v>
      </c>
      <c r="N32" s="109" t="e">
        <f t="shared" si="0"/>
        <v>#N/A</v>
      </c>
      <c r="P32" s="7">
        <f>IF($AC$5="MapSetupComplete","Setup Complete",COUNTIF(MapReference!$S$9:$S$50,Setup!Q32))</f>
        <v>0</v>
      </c>
      <c r="Q32" s="7" t="str">
        <f>IF($AA$47="PL1",Reference!B27,IF($AA$47="PL2",Reference!C27,"Need Setup"))</f>
        <v>Need Setup</v>
      </c>
      <c r="R32" s="7" t="str">
        <f>IF(P32=0,IF(P31=1,Q31,""),IF(P32="Setup Complete",IF(VLOOKUP(Q32,MapReference!S:AH,16,0)=0,"Dead",VLOOKUP(Q32,MapReference!S:AH,16,0)),""))</f>
        <v/>
      </c>
      <c r="Z32" s="139" t="s">
        <v>1314</v>
      </c>
      <c r="AC32" s="173"/>
      <c r="AD32" s="162"/>
      <c r="AJ32" s="168"/>
      <c r="AK32" s="109" t="str">
        <f t="shared" si="4"/>
        <v/>
      </c>
    </row>
    <row r="33" spans="1:37" x14ac:dyDescent="0.25">
      <c r="A33" s="108">
        <v>31</v>
      </c>
      <c r="B33" s="103">
        <f t="shared" ca="1" si="1"/>
        <v>0.45684276470780583</v>
      </c>
      <c r="C33" s="7" t="str">
        <f>'PL1'!H40</f>
        <v>PL1-130</v>
      </c>
      <c r="D33" s="161"/>
      <c r="E33" s="162"/>
      <c r="F33" s="103">
        <f t="shared" ca="1" si="2"/>
        <v>5.8565176152123977E-2</v>
      </c>
      <c r="G33" s="7" t="str">
        <f>'PL2'!H40</f>
        <v>PL2-130</v>
      </c>
      <c r="H33" s="161"/>
      <c r="I33" s="219"/>
      <c r="K33" s="140" t="s">
        <v>1277</v>
      </c>
      <c r="L33" s="140">
        <f t="shared" si="3"/>
        <v>0</v>
      </c>
      <c r="M33" s="140" t="e">
        <f>VLOOKUP(L33,'PL1'!H:J,3,0)</f>
        <v>#N/A</v>
      </c>
      <c r="N33" s="109" t="e">
        <f t="shared" si="0"/>
        <v>#N/A</v>
      </c>
      <c r="P33" s="7">
        <f>IF($AC$5="MapSetupComplete","Setup Complete",COUNTIF(MapReference!$S$9:$S$50,Setup!Q33))</f>
        <v>0</v>
      </c>
      <c r="Q33" s="7" t="str">
        <f>IF($AA$47="PL1",Reference!B28,IF($AA$47="PL2",Reference!C28,"Need Setup"))</f>
        <v>Need Setup</v>
      </c>
      <c r="R33" s="7" t="str">
        <f>IF(P33=0,IF(P32=1,Q32,""),IF(P33="Setup Complete",IF(VLOOKUP(Q33,MapReference!S:AH,16,0)=0,"Dead",VLOOKUP(Q33,MapReference!S:AH,16,0)),""))</f>
        <v/>
      </c>
      <c r="Z33" s="139" t="s">
        <v>1316</v>
      </c>
      <c r="AC33" s="173"/>
      <c r="AD33" s="162"/>
      <c r="AJ33" s="168"/>
      <c r="AK33" s="109" t="str">
        <f t="shared" si="4"/>
        <v/>
      </c>
    </row>
    <row r="34" spans="1:37" x14ac:dyDescent="0.25">
      <c r="A34" s="108">
        <v>32</v>
      </c>
      <c r="B34" s="103">
        <f t="shared" ca="1" si="1"/>
        <v>0.2419891747719628</v>
      </c>
      <c r="C34" s="7" t="str">
        <f>'PL1'!H41</f>
        <v>PL1-131</v>
      </c>
      <c r="D34" s="161"/>
      <c r="E34" s="162"/>
      <c r="F34" s="103">
        <f t="shared" ca="1" si="2"/>
        <v>0.84738368713417089</v>
      </c>
      <c r="G34" s="7" t="str">
        <f>'PL2'!H41</f>
        <v>PL2-131</v>
      </c>
      <c r="H34" s="161"/>
      <c r="I34" s="219"/>
      <c r="K34" s="140" t="s">
        <v>1278</v>
      </c>
      <c r="L34" s="140">
        <f t="shared" si="3"/>
        <v>0</v>
      </c>
      <c r="M34" s="140" t="e">
        <f>VLOOKUP(L34,'PL1'!H:J,3,0)</f>
        <v>#N/A</v>
      </c>
      <c r="N34" s="109" t="e">
        <f t="shared" si="0"/>
        <v>#N/A</v>
      </c>
      <c r="P34" s="7">
        <f>IF($AC$5="MapSetupComplete","Setup Complete",COUNTIF(MapReference!$S$9:$S$50,Setup!Q34))</f>
        <v>0</v>
      </c>
      <c r="Q34" s="7" t="str">
        <f>IF($AA$47="PL1",Reference!B29,IF($AA$47="PL2",Reference!C29,"Need Setup"))</f>
        <v>Need Setup</v>
      </c>
      <c r="R34" s="7" t="str">
        <f>IF(P34=0,IF(P33=1,Q33,""),IF(P34="Setup Complete",IF(VLOOKUP(Q34,MapReference!S:AH,16,0)=0,"Dead",VLOOKUP(Q34,MapReference!S:AH,16,0)),""))</f>
        <v/>
      </c>
      <c r="AC34" s="162"/>
      <c r="AD34" s="162"/>
      <c r="AJ34" s="168"/>
      <c r="AK34" s="109" t="str">
        <f t="shared" si="4"/>
        <v/>
      </c>
    </row>
    <row r="35" spans="1:37" x14ac:dyDescent="0.25">
      <c r="A35" s="108">
        <v>33</v>
      </c>
      <c r="B35" s="103">
        <f t="shared" ca="1" si="1"/>
        <v>4.7318426941301728E-2</v>
      </c>
      <c r="C35" s="7" t="str">
        <f>'PL1'!H42</f>
        <v>PL1-132</v>
      </c>
      <c r="D35" s="161"/>
      <c r="E35" s="162"/>
      <c r="F35" s="103">
        <f t="shared" ca="1" si="2"/>
        <v>0.36989420418081775</v>
      </c>
      <c r="G35" s="7" t="str">
        <f>'PL2'!H42</f>
        <v>PL2-132</v>
      </c>
      <c r="H35" s="161"/>
      <c r="I35" s="219"/>
      <c r="K35" s="140" t="s">
        <v>1279</v>
      </c>
      <c r="L35" s="140">
        <f t="shared" si="3"/>
        <v>0</v>
      </c>
      <c r="M35" s="140" t="e">
        <f>VLOOKUP(L35,'PL1'!H:J,3,0)</f>
        <v>#N/A</v>
      </c>
      <c r="N35" s="109" t="e">
        <f t="shared" ref="N35:N66" si="6">VLOOKUP(LEFT(K35,6),$Q$8:$R$49,2,0)</f>
        <v>#N/A</v>
      </c>
      <c r="P35" s="7">
        <f>IF($AC$5="MapSetupComplete","Setup Complete",COUNTIF(MapReference!$S$9:$S$50,Setup!Q35))</f>
        <v>0</v>
      </c>
      <c r="Q35" s="7" t="str">
        <f>IF($AA$47="PL1",Reference!B30,IF($AA$47="PL2",Reference!C30,"Need Setup"))</f>
        <v>Need Setup</v>
      </c>
      <c r="R35" s="7" t="str">
        <f>IF(P35=0,IF(P34=1,Q34,""),IF(P35="Setup Complete",IF(VLOOKUP(Q35,MapReference!S:AH,16,0)=0,"Dead",VLOOKUP(Q35,MapReference!S:AH,16,0)),""))</f>
        <v/>
      </c>
      <c r="Y35" s="109" t="str">
        <f>IF(AA28=0,IF(AD36="FinishDropConfirm",AD36,"FinishDropOk"),"CountrySelected")</f>
        <v>FinishDropOk</v>
      </c>
      <c r="Z35" s="139" t="s">
        <v>1395</v>
      </c>
      <c r="AC35" s="168"/>
      <c r="AD35" s="168"/>
      <c r="AE35" s="109" t="str">
        <f>IF(ISNA(VLOOKUP(AC22,L:N,3,0)),"NoDefense",VLOOKUP(AC22,L:N,3,0))</f>
        <v>NoDefense</v>
      </c>
      <c r="AF35" s="139" t="s">
        <v>1411</v>
      </c>
      <c r="AJ35" s="168"/>
      <c r="AK35" s="109" t="str">
        <f t="shared" si="4"/>
        <v/>
      </c>
    </row>
    <row r="36" spans="1:37" x14ac:dyDescent="0.25">
      <c r="A36" s="108">
        <v>34</v>
      </c>
      <c r="B36" s="103">
        <f t="shared" ca="1" si="1"/>
        <v>0.25814396497952219</v>
      </c>
      <c r="C36" s="7" t="str">
        <f>'PL1'!H43</f>
        <v>PL1-133</v>
      </c>
      <c r="D36" s="161"/>
      <c r="E36" s="162"/>
      <c r="F36" s="103">
        <f t="shared" ca="1" si="2"/>
        <v>0.30020450032057533</v>
      </c>
      <c r="G36" s="7" t="str">
        <f>'PL2'!H43</f>
        <v>PL2-133</v>
      </c>
      <c r="H36" s="161"/>
      <c r="I36" s="219"/>
      <c r="K36" s="140" t="s">
        <v>1280</v>
      </c>
      <c r="L36" s="140">
        <f t="shared" si="3"/>
        <v>0</v>
      </c>
      <c r="M36" s="140" t="e">
        <f>VLOOKUP(L36,'PL1'!H:J,3,0)</f>
        <v>#N/A</v>
      </c>
      <c r="N36" s="109" t="e">
        <f t="shared" si="6"/>
        <v>#N/A</v>
      </c>
      <c r="P36" s="7">
        <f>IF($AC$5="MapSetupComplete","Setup Complete",COUNTIF(MapReference!$S$9:$S$50,Setup!Q36))</f>
        <v>0</v>
      </c>
      <c r="Q36" s="7" t="str">
        <f>IF($AA$47="PL1",Reference!B31,IF($AA$47="PL2",Reference!C31,"Need Setup"))</f>
        <v>Need Setup</v>
      </c>
      <c r="R36" s="7" t="str">
        <f>IF(P36=0,IF(P35=1,Q35,""),IF(P36="Setup Complete",IF(VLOOKUP(Q36,MapReference!S:AH,16,0)=0,"Dead",VLOOKUP(Q36,MapReference!S:AH,16,0)),""))</f>
        <v/>
      </c>
      <c r="Y36" s="109" t="str">
        <f>IF(AC55="Drop",IF(AC36="","DropCancel","DropFinish"),"NotDrop")</f>
        <v>NotDrop</v>
      </c>
      <c r="Z36" s="139" t="s">
        <v>1409</v>
      </c>
      <c r="AA36" s="109">
        <f>IF(AC36=0,3,AC36-1)</f>
        <v>3</v>
      </c>
      <c r="AC36" s="168"/>
      <c r="AD36" s="168"/>
      <c r="AF36" s="139" t="s">
        <v>1416</v>
      </c>
      <c r="AJ36" s="168"/>
      <c r="AK36" s="109" t="str">
        <f t="shared" si="4"/>
        <v/>
      </c>
    </row>
    <row r="37" spans="1:37" x14ac:dyDescent="0.25">
      <c r="A37" s="108">
        <v>35</v>
      </c>
      <c r="B37" s="103">
        <f t="shared" ca="1" si="1"/>
        <v>0.94608903372728004</v>
      </c>
      <c r="C37" s="7" t="str">
        <f>'PL1'!H44</f>
        <v>PL1-134</v>
      </c>
      <c r="D37" s="161"/>
      <c r="E37" s="162"/>
      <c r="F37" s="103">
        <f t="shared" ca="1" si="2"/>
        <v>0.92891560372028603</v>
      </c>
      <c r="G37" s="7" t="str">
        <f>'PL2'!H44</f>
        <v>PL2-134</v>
      </c>
      <c r="H37" s="161"/>
      <c r="I37" s="219"/>
      <c r="K37" s="140" t="s">
        <v>1281</v>
      </c>
      <c r="L37" s="140">
        <f t="shared" si="3"/>
        <v>0</v>
      </c>
      <c r="M37" s="140" t="e">
        <f>VLOOKUP(L37,'PL1'!H:J,3,0)</f>
        <v>#N/A</v>
      </c>
      <c r="N37" s="109" t="e">
        <f t="shared" si="6"/>
        <v>#N/A</v>
      </c>
      <c r="P37" s="7">
        <f>IF($AC$5="MapSetupComplete","Setup Complete",COUNTIF(MapReference!$S$9:$S$50,Setup!Q37))</f>
        <v>0</v>
      </c>
      <c r="Q37" s="7" t="str">
        <f>IF($AA$47="PL1",Reference!B32,IF($AA$47="PL2",Reference!C32,"Need Setup"))</f>
        <v>Need Setup</v>
      </c>
      <c r="R37" s="7" t="str">
        <f>IF(P37=0,IF(P36=1,Q36,""),IF(P37="Setup Complete",IF(VLOOKUP(Q37,MapReference!S:AH,16,0)=0,"Dead",VLOOKUP(Q37,MapReference!S:AH,16,0)),""))</f>
        <v/>
      </c>
      <c r="AC37" s="162"/>
      <c r="AD37" s="162"/>
      <c r="AJ37" s="168"/>
      <c r="AK37" s="109" t="str">
        <f t="shared" si="4"/>
        <v/>
      </c>
    </row>
    <row r="38" spans="1:37" x14ac:dyDescent="0.25">
      <c r="A38" s="108">
        <v>36</v>
      </c>
      <c r="B38" s="103">
        <f t="shared" ca="1" si="1"/>
        <v>3.6167356163183118E-2</v>
      </c>
      <c r="C38" s="7" t="str">
        <f>'PL1'!H45</f>
        <v>PL1-135</v>
      </c>
      <c r="D38" s="161"/>
      <c r="E38" s="162"/>
      <c r="F38" s="103">
        <f t="shared" ca="1" si="2"/>
        <v>0.81862892233049422</v>
      </c>
      <c r="G38" s="7" t="str">
        <f>'PL2'!H45</f>
        <v>PL2-135</v>
      </c>
      <c r="H38" s="161"/>
      <c r="I38" s="219"/>
      <c r="K38" s="140" t="s">
        <v>1282</v>
      </c>
      <c r="L38" s="140">
        <f t="shared" si="3"/>
        <v>0</v>
      </c>
      <c r="M38" s="140" t="e">
        <f>VLOOKUP(L38,'PL1'!H:J,3,0)</f>
        <v>#N/A</v>
      </c>
      <c r="N38" s="109" t="e">
        <f t="shared" si="6"/>
        <v>#N/A</v>
      </c>
      <c r="P38" s="7">
        <f>IF($AC$5="MapSetupComplete","Setup Complete",COUNTIF(MapReference!$S$9:$S$50,Setup!Q38))</f>
        <v>0</v>
      </c>
      <c r="Q38" s="7" t="str">
        <f>IF($AA$47="PL1",Reference!B33,IF($AA$47="PL2",Reference!C33,"Need Setup"))</f>
        <v>Need Setup</v>
      </c>
      <c r="R38" s="7" t="str">
        <f>IF(P38=0,IF(P37=1,Q37,""),IF(P38="Setup Complete",IF(VLOOKUP(Q38,MapReference!S:AH,16,0)=0,"Dead",VLOOKUP(Q38,MapReference!S:AH,16,0)),""))</f>
        <v/>
      </c>
      <c r="Z38" s="139" t="s">
        <v>1328</v>
      </c>
      <c r="AC38" s="168"/>
      <c r="AD38" s="168"/>
      <c r="AE38" s="139" t="s">
        <v>1419</v>
      </c>
      <c r="AJ38" s="168"/>
      <c r="AK38" s="109" t="str">
        <f t="shared" si="4"/>
        <v/>
      </c>
    </row>
    <row r="39" spans="1:37" x14ac:dyDescent="0.25">
      <c r="A39" s="108">
        <v>37</v>
      </c>
      <c r="B39" s="103">
        <f t="shared" ca="1" si="1"/>
        <v>9.936954518224983E-2</v>
      </c>
      <c r="C39" s="7" t="str">
        <f>'PL1'!H46</f>
        <v>PL1-136</v>
      </c>
      <c r="D39" s="161"/>
      <c r="E39" s="162"/>
      <c r="F39" s="103">
        <f t="shared" ca="1" si="2"/>
        <v>0.55255294047180836</v>
      </c>
      <c r="G39" s="7" t="str">
        <f>'PL2'!H46</f>
        <v>PL2-136</v>
      </c>
      <c r="H39" s="161"/>
      <c r="I39" s="219"/>
      <c r="K39" s="140" t="s">
        <v>1283</v>
      </c>
      <c r="L39" s="140">
        <f t="shared" si="3"/>
        <v>0</v>
      </c>
      <c r="M39" s="140" t="e">
        <f>VLOOKUP(L39,'PL1'!H:J,3,0)</f>
        <v>#N/A</v>
      </c>
      <c r="N39" s="109" t="e">
        <f t="shared" si="6"/>
        <v>#N/A</v>
      </c>
      <c r="P39" s="7">
        <f>IF($AC$5="MapSetupComplete","Setup Complete",COUNTIF(MapReference!$S$9:$S$50,Setup!Q39))</f>
        <v>0</v>
      </c>
      <c r="Q39" s="7" t="str">
        <f>IF($AA$47="PL1",Reference!B34,IF($AA$47="PL2",Reference!C34,"Need Setup"))</f>
        <v>Need Setup</v>
      </c>
      <c r="R39" s="7" t="str">
        <f>IF(P39=0,IF(P38=1,Q38,""),IF(P39="Setup Complete",IF(VLOOKUP(Q39,MapReference!S:AH,16,0)=0,"Dead",VLOOKUP(Q39,MapReference!S:AH,16,0)),""))</f>
        <v/>
      </c>
      <c r="Z39" s="139" t="s">
        <v>1313</v>
      </c>
      <c r="AA39" s="143">
        <f ca="1">RAND()</f>
        <v>0.40596756627337316</v>
      </c>
      <c r="AB39" s="109" t="s">
        <v>809</v>
      </c>
      <c r="AC39" s="168"/>
      <c r="AD39" s="168"/>
      <c r="AJ39" s="168"/>
      <c r="AK39" s="109" t="str">
        <f t="shared" si="4"/>
        <v/>
      </c>
    </row>
    <row r="40" spans="1:37" x14ac:dyDescent="0.25">
      <c r="A40" s="108">
        <v>38</v>
      </c>
      <c r="B40" s="103">
        <f t="shared" ca="1" si="1"/>
        <v>0.41113154667252627</v>
      </c>
      <c r="C40" s="7" t="str">
        <f>'PL1'!H47</f>
        <v>PL1-137</v>
      </c>
      <c r="D40" s="161"/>
      <c r="E40" s="162"/>
      <c r="F40" s="103">
        <f t="shared" ca="1" si="2"/>
        <v>5.1783375165542656E-2</v>
      </c>
      <c r="G40" s="7" t="str">
        <f>'PL2'!H47</f>
        <v>PL2-137</v>
      </c>
      <c r="H40" s="161"/>
      <c r="I40" s="219"/>
      <c r="K40" s="140" t="s">
        <v>1284</v>
      </c>
      <c r="L40" s="140">
        <f t="shared" si="3"/>
        <v>0</v>
      </c>
      <c r="M40" s="140" t="e">
        <f>VLOOKUP(L40,'PL1'!H:J,3,0)</f>
        <v>#N/A</v>
      </c>
      <c r="N40" s="109" t="e">
        <f t="shared" si="6"/>
        <v>#N/A</v>
      </c>
      <c r="P40" s="7">
        <f>IF($AC$5="MapSetupComplete","Setup Complete",COUNTIF(MapReference!$S$9:$S$50,Setup!Q40))</f>
        <v>0</v>
      </c>
      <c r="Q40" s="7" t="str">
        <f>IF($AA$47="PL1",Reference!B35,IF($AA$47="PL2",Reference!C35,"Need Setup"))</f>
        <v>Need Setup</v>
      </c>
      <c r="R40" s="7" t="str">
        <f>IF(P40=0,IF(P39=1,Q39,""),IF(P40="Setup Complete",IF(VLOOKUP(Q40,MapReference!S:AH,16,0)=0,"Dead",VLOOKUP(Q40,MapReference!S:AH,16,0)),""))</f>
        <v/>
      </c>
      <c r="Z40" s="139"/>
      <c r="AA40" s="143">
        <f ca="1">RAND()</f>
        <v>0.5487651203687488</v>
      </c>
      <c r="AB40" s="109" t="s">
        <v>807</v>
      </c>
      <c r="AC40" s="168"/>
      <c r="AD40" s="168"/>
      <c r="AJ40" s="168"/>
      <c r="AK40" s="109" t="str">
        <f t="shared" si="4"/>
        <v/>
      </c>
    </row>
    <row r="41" spans="1:37" x14ac:dyDescent="0.25">
      <c r="A41" s="108">
        <v>39</v>
      </c>
      <c r="B41" s="103">
        <f t="shared" ca="1" si="1"/>
        <v>0.23142384674010219</v>
      </c>
      <c r="C41" s="7" t="str">
        <f>'PL1'!H48</f>
        <v>PL1-138</v>
      </c>
      <c r="D41" s="161"/>
      <c r="E41" s="162"/>
      <c r="F41" s="103">
        <f t="shared" ca="1" si="2"/>
        <v>0.25189155578288114</v>
      </c>
      <c r="G41" s="7" t="str">
        <f>'PL2'!H48</f>
        <v>PL2-138</v>
      </c>
      <c r="H41" s="161"/>
      <c r="I41" s="219"/>
      <c r="K41" s="140" t="s">
        <v>1285</v>
      </c>
      <c r="L41" s="140">
        <f t="shared" si="3"/>
        <v>0</v>
      </c>
      <c r="M41" s="140" t="e">
        <f>VLOOKUP(L41,'PL1'!H:J,3,0)</f>
        <v>#N/A</v>
      </c>
      <c r="N41" s="109" t="e">
        <f t="shared" si="6"/>
        <v>#N/A</v>
      </c>
      <c r="P41" s="7">
        <f>IF($AC$5="MapSetupComplete","Setup Complete",COUNTIF(MapReference!$S$9:$S$50,Setup!Q41))</f>
        <v>0</v>
      </c>
      <c r="Q41" s="7" t="str">
        <f>IF($AA$47="PL1",Reference!B36,IF($AA$47="PL2",Reference!C36,"Need Setup"))</f>
        <v>Need Setup</v>
      </c>
      <c r="R41" s="7" t="str">
        <f>IF(P41=0,IF(P40=1,Q40,""),IF(P41="Setup Complete",IF(VLOOKUP(Q41,MapReference!S:AH,16,0)=0,"Dead",VLOOKUP(Q41,MapReference!S:AH,16,0)),""))</f>
        <v/>
      </c>
      <c r="Z41" s="139"/>
      <c r="AA41" s="143">
        <f ca="1">RAND()</f>
        <v>0.76335351561698861</v>
      </c>
      <c r="AB41" s="109" t="s">
        <v>5</v>
      </c>
      <c r="AC41" s="168"/>
      <c r="AD41" s="168"/>
      <c r="AJ41" s="168"/>
      <c r="AK41" s="109" t="str">
        <f t="shared" si="4"/>
        <v/>
      </c>
    </row>
    <row r="42" spans="1:37" x14ac:dyDescent="0.25">
      <c r="A42" s="108">
        <v>40</v>
      </c>
      <c r="B42" s="103">
        <f t="shared" ca="1" si="1"/>
        <v>0.54208299350902589</v>
      </c>
      <c r="C42" s="7" t="str">
        <f>'PL1'!H49</f>
        <v>PL1-139</v>
      </c>
      <c r="D42" s="161"/>
      <c r="E42" s="162"/>
      <c r="F42" s="103">
        <f t="shared" ca="1" si="2"/>
        <v>3.7927712671230629E-2</v>
      </c>
      <c r="G42" s="7" t="str">
        <f>'PL2'!H49</f>
        <v>PL2-139</v>
      </c>
      <c r="H42" s="161"/>
      <c r="I42" s="219"/>
      <c r="K42" s="140" t="s">
        <v>1286</v>
      </c>
      <c r="L42" s="140">
        <f t="shared" si="3"/>
        <v>0</v>
      </c>
      <c r="M42" s="140" t="e">
        <f>VLOOKUP(L42,'PL1'!H:J,3,0)</f>
        <v>#N/A</v>
      </c>
      <c r="N42" s="109" t="e">
        <f t="shared" si="6"/>
        <v>#N/A</v>
      </c>
      <c r="P42" s="7">
        <f>IF($AC$5="MapSetupComplete","Setup Complete",COUNTIF(MapReference!$S$9:$S$50,Setup!Q42))</f>
        <v>0</v>
      </c>
      <c r="Q42" s="7" t="str">
        <f>IF($AA$47="PL1",Reference!B37,IF($AA$47="PL2",Reference!C37,"Need Setup"))</f>
        <v>Need Setup</v>
      </c>
      <c r="R42" s="7" t="str">
        <f>IF(P42=0,IF(P41=1,Q41,""),IF(P42="Setup Complete",IF(VLOOKUP(Q42,MapReference!S:AH,16,0)=0,"Dead",VLOOKUP(Q42,MapReference!S:AH,16,0)),""))</f>
        <v/>
      </c>
      <c r="AC42" s="162"/>
      <c r="AD42" s="162"/>
      <c r="AJ42" s="168"/>
      <c r="AK42" s="109" t="str">
        <f t="shared" si="4"/>
        <v/>
      </c>
    </row>
    <row r="43" spans="1:37" x14ac:dyDescent="0.25">
      <c r="A43" s="108">
        <v>41</v>
      </c>
      <c r="B43" s="103">
        <f t="shared" ca="1" si="1"/>
        <v>0.29743267250154015</v>
      </c>
      <c r="C43" s="7" t="str">
        <f>'PL1'!H50</f>
        <v>PL1-140</v>
      </c>
      <c r="D43" s="161"/>
      <c r="E43" s="162"/>
      <c r="F43" s="103">
        <f t="shared" ca="1" si="2"/>
        <v>0.75435207044455166</v>
      </c>
      <c r="G43" s="7" t="str">
        <f>'PL2'!H50</f>
        <v>PL2-140</v>
      </c>
      <c r="H43" s="161"/>
      <c r="I43" s="219"/>
      <c r="K43" s="140" t="s">
        <v>1287</v>
      </c>
      <c r="L43" s="140">
        <f t="shared" si="3"/>
        <v>0</v>
      </c>
      <c r="M43" s="140" t="e">
        <f>VLOOKUP(L43,'PL1'!H:J,3,0)</f>
        <v>#N/A</v>
      </c>
      <c r="N43" s="109" t="e">
        <f t="shared" si="6"/>
        <v>#N/A</v>
      </c>
      <c r="P43" s="7">
        <f>IF($AC$5="MapSetupComplete","Setup Complete",COUNTIF(MapReference!$S$9:$S$50,Setup!Q43))</f>
        <v>0</v>
      </c>
      <c r="Q43" s="7" t="str">
        <f>IF($AA$47="PL1",Reference!B38,IF($AA$47="PL2",Reference!C38,"Need Setup"))</f>
        <v>Need Setup</v>
      </c>
      <c r="R43" s="7" t="str">
        <f>IF(P43=0,IF(P42=1,Q42,""),IF(P43="Setup Complete",IF(VLOOKUP(Q43,MapReference!S:AH,16,0)=0,"Dead",VLOOKUP(Q43,MapReference!S:AH,16,0)),""))</f>
        <v/>
      </c>
      <c r="AC43" s="162"/>
      <c r="AD43" s="162"/>
      <c r="AJ43" s="168"/>
      <c r="AK43" s="109" t="str">
        <f t="shared" si="4"/>
        <v/>
      </c>
    </row>
    <row r="44" spans="1:37" x14ac:dyDescent="0.25">
      <c r="A44" s="108">
        <v>42</v>
      </c>
      <c r="B44" s="103">
        <f t="shared" ca="1" si="1"/>
        <v>0.47197589587295807</v>
      </c>
      <c r="C44" s="7" t="str">
        <f>'PL1'!H51</f>
        <v>PL1-141</v>
      </c>
      <c r="D44" s="161"/>
      <c r="E44" s="162"/>
      <c r="F44" s="103">
        <f t="shared" ca="1" si="2"/>
        <v>0.91474678541137566</v>
      </c>
      <c r="G44" s="7" t="str">
        <f>'PL2'!H51</f>
        <v>PL2-141</v>
      </c>
      <c r="H44" s="161"/>
      <c r="I44" s="219"/>
      <c r="K44" s="140" t="s">
        <v>1288</v>
      </c>
      <c r="L44" s="140">
        <f t="shared" si="3"/>
        <v>0</v>
      </c>
      <c r="M44" s="140" t="e">
        <f>VLOOKUP(L44,'PL1'!H:J,3,0)</f>
        <v>#N/A</v>
      </c>
      <c r="N44" s="109" t="e">
        <f t="shared" si="6"/>
        <v>#N/A</v>
      </c>
      <c r="P44" s="7">
        <f>IF($AC$5="MapSetupComplete","Setup Complete",COUNTIF(MapReference!$S$9:$S$50,Setup!Q44))</f>
        <v>0</v>
      </c>
      <c r="Q44" s="7" t="str">
        <f>IF($AA$47="PL1",Reference!B39,IF($AA$47="PL2",Reference!C39,"Need Setup"))</f>
        <v>Need Setup</v>
      </c>
      <c r="R44" s="7" t="str">
        <f>IF(P44=0,IF(P43=1,Q43,""),IF(P44="Setup Complete",IF(VLOOKUP(Q44,MapReference!S:AH,16,0)=0,"Dead",VLOOKUP(Q44,MapReference!S:AH,16,0)),""))</f>
        <v/>
      </c>
      <c r="Y44" s="139" t="s">
        <v>1103</v>
      </c>
      <c r="Z44" s="139" t="s">
        <v>1245</v>
      </c>
      <c r="AC44" s="168"/>
      <c r="AD44" s="162"/>
      <c r="AJ44" s="168"/>
      <c r="AK44" s="109" t="str">
        <f t="shared" si="4"/>
        <v/>
      </c>
    </row>
    <row r="45" spans="1:37" x14ac:dyDescent="0.25">
      <c r="A45" s="108">
        <v>43</v>
      </c>
      <c r="B45" s="103">
        <f t="shared" ca="1" si="1"/>
        <v>0.3657629466084813</v>
      </c>
      <c r="C45" s="7" t="str">
        <f>'PL1'!H52</f>
        <v>PL1-142</v>
      </c>
      <c r="D45" s="161"/>
      <c r="E45" s="162"/>
      <c r="F45" s="103">
        <f t="shared" ca="1" si="2"/>
        <v>0.45891361304436451</v>
      </c>
      <c r="G45" s="7" t="str">
        <f>'PL2'!H52</f>
        <v>PL2-142</v>
      </c>
      <c r="H45" s="161"/>
      <c r="I45" s="219"/>
      <c r="K45" s="140" t="s">
        <v>1289</v>
      </c>
      <c r="L45" s="140">
        <f t="shared" si="3"/>
        <v>0</v>
      </c>
      <c r="M45" s="140" t="e">
        <f>VLOOKUP(L45,'PL1'!H:J,3,0)</f>
        <v>#N/A</v>
      </c>
      <c r="N45" s="109" t="e">
        <f t="shared" si="6"/>
        <v>#N/A</v>
      </c>
      <c r="P45" s="7">
        <f>IF($AC$5="MapSetupComplete","Setup Complete",COUNTIF(MapReference!$S$9:$S$50,Setup!Q45))</f>
        <v>0</v>
      </c>
      <c r="Q45" s="7" t="str">
        <f>IF($AA$47="PL1",Reference!B40,IF($AA$47="PL2",Reference!C40,"Need Setup"))</f>
        <v>Need Setup</v>
      </c>
      <c r="R45" s="7" t="str">
        <f>IF(P45=0,IF(P44=1,Q44,""),IF(P45="Setup Complete",IF(VLOOKUP(Q45,MapReference!S:AH,16,0)=0,"Dead",VLOOKUP(Q45,MapReference!S:AH,16,0)),""))</f>
        <v/>
      </c>
      <c r="Z45" s="139" t="s">
        <v>1065</v>
      </c>
      <c r="AA45" s="109" t="str">
        <f>IF(AC55="","Initiative Game","Normal Game")</f>
        <v>Initiative Game</v>
      </c>
      <c r="AC45" s="168"/>
      <c r="AD45" s="162"/>
      <c r="AJ45" s="168"/>
      <c r="AK45" s="109" t="str">
        <f t="shared" si="4"/>
        <v/>
      </c>
    </row>
    <row r="46" spans="1:37" x14ac:dyDescent="0.25">
      <c r="A46" s="108">
        <v>44</v>
      </c>
      <c r="B46" s="103">
        <f t="shared" ca="1" si="1"/>
        <v>0.92120741296960806</v>
      </c>
      <c r="C46" s="7" t="str">
        <f>'PL1'!H53</f>
        <v>PL1-143</v>
      </c>
      <c r="D46" s="161"/>
      <c r="E46" s="162"/>
      <c r="F46" s="103">
        <f t="shared" ca="1" si="2"/>
        <v>7.8638131406512435E-2</v>
      </c>
      <c r="G46" s="7" t="str">
        <f>'PL2'!H53</f>
        <v>PL2-143</v>
      </c>
      <c r="H46" s="161"/>
      <c r="I46" s="219"/>
      <c r="K46" s="140" t="s">
        <v>1290</v>
      </c>
      <c r="L46" s="140">
        <f t="shared" si="3"/>
        <v>0</v>
      </c>
      <c r="M46" s="140" t="e">
        <f>VLOOKUP(L46,'PL1'!H:J,3,0)</f>
        <v>#N/A</v>
      </c>
      <c r="N46" s="109" t="e">
        <f t="shared" si="6"/>
        <v>#N/A</v>
      </c>
      <c r="P46" s="7">
        <f>IF($AC$5="MapSetupComplete","Setup Complete",COUNTIF(MapReference!$S$9:$S$50,Setup!Q46))</f>
        <v>0</v>
      </c>
      <c r="Q46" s="7" t="str">
        <f>IF($AA$47="PL1",Reference!B41,IF($AA$47="PL2",Reference!C41,"Need Setup"))</f>
        <v>Need Setup</v>
      </c>
      <c r="R46" s="7" t="str">
        <f>IF(P46=0,IF(P45=1,Q45,""),IF(P46="Setup Complete",IF(VLOOKUP(Q46,MapReference!S:AH,16,0)=0,"Dead",VLOOKUP(Q46,MapReference!S:AH,16,0)),""))</f>
        <v/>
      </c>
      <c r="Z46" s="139" t="s">
        <v>1322</v>
      </c>
      <c r="AA46" s="109" t="str">
        <f>IF(ISNA(VLOOKUP(GameLog!G3001-1,GameLog!G:H,2,0)),"None",VLOOKUP(GameLog!G3001-1,GameLog!G:H,2,0))</f>
        <v>None</v>
      </c>
      <c r="AC46" s="162"/>
      <c r="AD46" s="162"/>
      <c r="AJ46" s="168"/>
      <c r="AK46" s="109" t="str">
        <f t="shared" si="4"/>
        <v/>
      </c>
    </row>
    <row r="47" spans="1:37" x14ac:dyDescent="0.25">
      <c r="A47" s="108">
        <v>45</v>
      </c>
      <c r="B47" s="103">
        <f t="shared" ca="1" si="1"/>
        <v>0.85889537017805795</v>
      </c>
      <c r="C47" s="7" t="str">
        <f>'PL1'!H54</f>
        <v>PL1-144</v>
      </c>
      <c r="D47" s="161"/>
      <c r="E47" s="162"/>
      <c r="F47" s="103">
        <f t="shared" ca="1" si="2"/>
        <v>0.55464522015020457</v>
      </c>
      <c r="G47" s="7" t="str">
        <f>'PL2'!H54</f>
        <v>PL2-144</v>
      </c>
      <c r="H47" s="161"/>
      <c r="I47" s="219"/>
      <c r="K47" s="140" t="s">
        <v>1291</v>
      </c>
      <c r="L47" s="140">
        <f t="shared" si="3"/>
        <v>0</v>
      </c>
      <c r="M47" s="140" t="e">
        <f>VLOOKUP(L47,'PL1'!H:J,3,0)</f>
        <v>#N/A</v>
      </c>
      <c r="N47" s="109" t="e">
        <f t="shared" si="6"/>
        <v>#N/A</v>
      </c>
      <c r="P47" s="7">
        <f>IF($AC$5="MapSetupComplete","Setup Complete",COUNTIF(MapReference!$S$9:$S$50,Setup!Q47))</f>
        <v>0</v>
      </c>
      <c r="Q47" s="7" t="str">
        <f>IF($AA$47="PL1",Reference!B42,IF($AA$47="PL2",Reference!C42,"Need Setup"))</f>
        <v>Need Setup</v>
      </c>
      <c r="R47" s="7" t="str">
        <f>IF(P47=0,IF(P46=1,Q46,""),IF(P47="Setup Complete",IF(VLOOKUP(Q47,MapReference!S:AH,16,0)=0,"Dead",VLOOKUP(Q47,MapReference!S:AH,16,0)),""))</f>
        <v/>
      </c>
      <c r="X47" s="139" t="s">
        <v>1352</v>
      </c>
      <c r="Z47" s="139" t="s">
        <v>1193</v>
      </c>
      <c r="AA47" s="109" t="str">
        <f>IF(ISNA(LEFT(VLOOKUP(GameLog!G3001-1,GameLog!G:O,9,0),3)),"None",LEFT(VLOOKUP(GameLog!G3001-1,GameLog!G:Z,20,0),3))</f>
        <v>None</v>
      </c>
      <c r="AC47" s="162"/>
      <c r="AD47" s="162"/>
      <c r="AJ47" s="168"/>
      <c r="AK47" s="109" t="str">
        <f t="shared" si="4"/>
        <v/>
      </c>
    </row>
    <row r="48" spans="1:37" x14ac:dyDescent="0.25">
      <c r="A48" s="108">
        <v>46</v>
      </c>
      <c r="B48" s="103">
        <f t="shared" ca="1" si="1"/>
        <v>0.67937563249136523</v>
      </c>
      <c r="C48" s="7" t="str">
        <f>'PL1'!H55</f>
        <v>PL1-145</v>
      </c>
      <c r="D48" s="161"/>
      <c r="E48" s="162"/>
      <c r="F48" s="103">
        <f t="shared" ca="1" si="2"/>
        <v>0.47794290553045082</v>
      </c>
      <c r="G48" s="7" t="str">
        <f>'PL2'!H55</f>
        <v>PL2-145</v>
      </c>
      <c r="H48" s="161"/>
      <c r="I48" s="219"/>
      <c r="K48" s="140" t="s">
        <v>1292</v>
      </c>
      <c r="L48" s="140">
        <f t="shared" si="3"/>
        <v>0</v>
      </c>
      <c r="M48" s="140" t="e">
        <f>VLOOKUP(L48,'PL1'!H:J,3,0)</f>
        <v>#N/A</v>
      </c>
      <c r="N48" s="109" t="e">
        <f t="shared" si="6"/>
        <v>#N/A</v>
      </c>
      <c r="P48" s="7">
        <f>IF($AC$5="MapSetupComplete","Setup Complete",COUNTIF(MapReference!$S$9:$S$50,Setup!Q48))</f>
        <v>0</v>
      </c>
      <c r="Q48" s="7" t="str">
        <f>IF($AA$47="PL1",Reference!B43,IF($AA$47="PL2",Reference!C43,"Need Setup"))</f>
        <v>Need Setup</v>
      </c>
      <c r="R48" s="7" t="str">
        <f>IF(P48=0,IF(P47=1,Q47,""),IF(P48="Setup Complete",IF(VLOOKUP(Q48,MapReference!S:AH,16,0)=0,"Dead",VLOOKUP(Q48,MapReference!S:AH,16,0)),""))</f>
        <v/>
      </c>
      <c r="X48" s="109">
        <f>AC49</f>
        <v>0</v>
      </c>
      <c r="Z48" s="139" t="s">
        <v>819</v>
      </c>
      <c r="AA48" s="109" t="str">
        <f>IF(IF(AA46="Initiative Game",AA47,IF(AA46="None","None",IF(AA45="Normal Game",LEFT(AC22,3),"FIX")))="",AC48,IF(AA46="Initiative Game",AA47,IF(AA46="None","None",IF(AA45="Normal Game",LEFT(AC22,3),"FIX"))))</f>
        <v>None</v>
      </c>
      <c r="AB48" s="109" t="str">
        <f>IF(AA48="None","None",VLOOKUP(AA48,$Z$19:$AE$20,6,0))</f>
        <v>None</v>
      </c>
      <c r="AC48" s="168"/>
      <c r="AD48" s="162"/>
      <c r="AJ48" s="168"/>
      <c r="AK48" s="109" t="str">
        <f t="shared" si="4"/>
        <v/>
      </c>
    </row>
    <row r="49" spans="1:37" x14ac:dyDescent="0.25">
      <c r="A49" s="108">
        <v>47</v>
      </c>
      <c r="B49" s="103">
        <f t="shared" ca="1" si="1"/>
        <v>0.94513732260729688</v>
      </c>
      <c r="C49" s="7" t="str">
        <f>'PL1'!H56</f>
        <v>PL1-146</v>
      </c>
      <c r="D49" s="161"/>
      <c r="E49" s="162"/>
      <c r="F49" s="103">
        <f t="shared" ca="1" si="2"/>
        <v>0.71735405769459992</v>
      </c>
      <c r="G49" s="7" t="str">
        <f>'PL2'!H56</f>
        <v>PL2-146</v>
      </c>
      <c r="H49" s="161"/>
      <c r="I49" s="219"/>
      <c r="K49" s="140" t="s">
        <v>1293</v>
      </c>
      <c r="L49" s="140">
        <f t="shared" si="3"/>
        <v>0</v>
      </c>
      <c r="M49" s="140" t="e">
        <f>VLOOKUP(L49,'PL1'!H:J,3,0)</f>
        <v>#N/A</v>
      </c>
      <c r="N49" s="109" t="e">
        <f t="shared" si="6"/>
        <v>#N/A</v>
      </c>
      <c r="P49" s="7">
        <f>IF($AC$5="MapSetupComplete","Setup Complete",COUNTIF(MapReference!$S$9:$S$50,Setup!Q49))</f>
        <v>0</v>
      </c>
      <c r="Q49" s="7" t="str">
        <f>IF($AA$47="PL1",Reference!B44,IF($AA$47="PL2",Reference!C44,"Need Setup"))</f>
        <v>Need Setup</v>
      </c>
      <c r="R49" s="7" t="str">
        <f>IF(P49=0,IF(P48=1,Q48,""),IF(P49="Setup Complete",IF(VLOOKUP(Q49,MapReference!S:AH,16,0)=0,"Dead",VLOOKUP(Q49,MapReference!S:AH,16,0)),""))</f>
        <v/>
      </c>
      <c r="X49" s="109">
        <f>AC48</f>
        <v>0</v>
      </c>
      <c r="Z49" s="139" t="s">
        <v>1196</v>
      </c>
      <c r="AA49" s="109" t="str">
        <f>IF(AA48="None","None",VLOOKUP(AA48,Y19:Z20,2,0))</f>
        <v>None</v>
      </c>
      <c r="AB49" s="109" t="str">
        <f>IF(AA48="None","None",VLOOKUP(AA49,$Z$19:$AE$20,6,0))</f>
        <v>None</v>
      </c>
      <c r="AC49" s="168"/>
      <c r="AD49" s="162"/>
      <c r="AJ49" s="168"/>
      <c r="AK49" s="109" t="str">
        <f t="shared" si="4"/>
        <v/>
      </c>
    </row>
    <row r="50" spans="1:37" x14ac:dyDescent="0.25">
      <c r="A50" s="108">
        <v>48</v>
      </c>
      <c r="B50" s="103">
        <f t="shared" ca="1" si="1"/>
        <v>0.45865903693032939</v>
      </c>
      <c r="C50" s="7" t="str">
        <f>'PL1'!H57</f>
        <v>PL1-147</v>
      </c>
      <c r="D50" s="161"/>
      <c r="E50" s="162"/>
      <c r="F50" s="103">
        <f t="shared" ca="1" si="2"/>
        <v>0.65917191884294091</v>
      </c>
      <c r="G50" s="7" t="str">
        <f>'PL2'!H57</f>
        <v>PL2-147</v>
      </c>
      <c r="H50" s="161"/>
      <c r="I50" s="219"/>
      <c r="K50" s="140" t="s">
        <v>1294</v>
      </c>
      <c r="L50" s="140">
        <f t="shared" si="3"/>
        <v>0</v>
      </c>
      <c r="M50" s="140" t="e">
        <f>VLOOKUP(L50,'PL1'!H:J,3,0)</f>
        <v>#N/A</v>
      </c>
      <c r="N50" s="109" t="e">
        <f t="shared" si="6"/>
        <v>#N/A</v>
      </c>
      <c r="P50" s="5"/>
      <c r="Q50" s="5"/>
      <c r="R50" s="5"/>
      <c r="Z50" s="139" t="s">
        <v>1194</v>
      </c>
      <c r="AA50" s="109" t="str">
        <f>IF(Y25="Defender",AA48,IF(Y25="Attacker",AA49,"Undecided"))</f>
        <v>Undecided</v>
      </c>
      <c r="AC50" s="168"/>
      <c r="AD50" s="162"/>
      <c r="AJ50" s="168"/>
      <c r="AK50" s="109" t="str">
        <f t="shared" si="4"/>
        <v/>
      </c>
    </row>
    <row r="51" spans="1:37" x14ac:dyDescent="0.25">
      <c r="A51" s="108">
        <v>49</v>
      </c>
      <c r="B51" s="103">
        <f t="shared" ca="1" si="1"/>
        <v>0.92413384502699181</v>
      </c>
      <c r="C51" s="7" t="str">
        <f>'PL1'!H58</f>
        <v>PL1-148</v>
      </c>
      <c r="D51" s="161"/>
      <c r="E51" s="162"/>
      <c r="F51" s="103">
        <f t="shared" ca="1" si="2"/>
        <v>7.5514665913681056E-2</v>
      </c>
      <c r="G51" s="7" t="str">
        <f>'PL2'!H58</f>
        <v>PL2-148</v>
      </c>
      <c r="H51" s="161"/>
      <c r="I51" s="219"/>
      <c r="K51" s="140" t="s">
        <v>1295</v>
      </c>
      <c r="L51" s="140">
        <f t="shared" si="3"/>
        <v>0</v>
      </c>
      <c r="M51" s="140" t="e">
        <f>VLOOKUP(L51,'PL1'!H:J,3,0)</f>
        <v>#N/A</v>
      </c>
      <c r="N51" s="109" t="e">
        <f t="shared" si="6"/>
        <v>#N/A</v>
      </c>
      <c r="AC51" s="162"/>
      <c r="AD51" s="162"/>
      <c r="AJ51" s="168"/>
      <c r="AK51" s="109" t="str">
        <f t="shared" si="4"/>
        <v/>
      </c>
    </row>
    <row r="52" spans="1:37" x14ac:dyDescent="0.25">
      <c r="A52" s="108">
        <v>50</v>
      </c>
      <c r="B52" s="103">
        <f t="shared" ca="1" si="1"/>
        <v>0.87191972759285197</v>
      </c>
      <c r="C52" s="7" t="str">
        <f>'PL1'!H59</f>
        <v>PL1-149</v>
      </c>
      <c r="D52" s="161"/>
      <c r="E52" s="162"/>
      <c r="F52" s="103">
        <f t="shared" ca="1" si="2"/>
        <v>0.78936856138796807</v>
      </c>
      <c r="G52" s="7" t="str">
        <f>'PL2'!H59</f>
        <v>PL2-149</v>
      </c>
      <c r="H52" s="161"/>
      <c r="I52" s="219"/>
      <c r="K52" s="140" t="s">
        <v>1296</v>
      </c>
      <c r="L52" s="140">
        <f t="shared" si="3"/>
        <v>0</v>
      </c>
      <c r="M52" s="140" t="e">
        <f>VLOOKUP(L52,'PL1'!H:J,3,0)</f>
        <v>#N/A</v>
      </c>
      <c r="N52" s="109" t="e">
        <f t="shared" si="6"/>
        <v>#N/A</v>
      </c>
      <c r="AC52" s="162"/>
      <c r="AD52" s="162"/>
      <c r="AJ52" s="168"/>
      <c r="AK52" s="109" t="str">
        <f t="shared" si="4"/>
        <v/>
      </c>
    </row>
    <row r="53" spans="1:37" x14ac:dyDescent="0.25">
      <c r="A53" s="108">
        <v>51</v>
      </c>
      <c r="B53" s="103">
        <f t="shared" ca="1" si="1"/>
        <v>0.138923611852656</v>
      </c>
      <c r="C53" s="7" t="str">
        <f>'PL1'!H60</f>
        <v>PL1-150</v>
      </c>
      <c r="D53" s="161"/>
      <c r="E53" s="162"/>
      <c r="F53" s="103">
        <f t="shared" ca="1" si="2"/>
        <v>0.25815482212222285</v>
      </c>
      <c r="G53" s="7" t="str">
        <f>'PL2'!H60</f>
        <v>PL2-150</v>
      </c>
      <c r="H53" s="161"/>
      <c r="I53" s="219"/>
      <c r="K53" s="140" t="s">
        <v>1297</v>
      </c>
      <c r="L53" s="140">
        <f t="shared" si="3"/>
        <v>0</v>
      </c>
      <c r="M53" s="140" t="e">
        <f>VLOOKUP(L53,'PL1'!H:J,3,0)</f>
        <v>#N/A</v>
      </c>
      <c r="N53" s="109" t="e">
        <f t="shared" si="6"/>
        <v>#N/A</v>
      </c>
      <c r="Y53" s="139" t="s">
        <v>1104</v>
      </c>
      <c r="Z53" s="139" t="s">
        <v>1244</v>
      </c>
      <c r="AA53" s="109" t="str">
        <f>IF(AA56="Attack",IF(Y25="Defender","Attack",IF(Y25="Attacker","Move","Attack")),IF(AA56="Move","TopOfTurn","Fixnextmode2"))</f>
        <v>Fixnextmode2</v>
      </c>
      <c r="AC53" s="162"/>
      <c r="AD53" s="162"/>
      <c r="AJ53" s="168"/>
      <c r="AK53" s="109" t="str">
        <f t="shared" si="4"/>
        <v/>
      </c>
    </row>
    <row r="54" spans="1:37" x14ac:dyDescent="0.25">
      <c r="A54" s="108">
        <v>52</v>
      </c>
      <c r="B54" s="103">
        <f t="shared" ca="1" si="1"/>
        <v>2.4965084117019365E-2</v>
      </c>
      <c r="C54" s="7" t="str">
        <f>'PL1'!H61</f>
        <v>PL1-151</v>
      </c>
      <c r="D54" s="161"/>
      <c r="E54" s="162"/>
      <c r="F54" s="103">
        <f t="shared" ca="1" si="2"/>
        <v>0.98225474503057808</v>
      </c>
      <c r="G54" s="7" t="str">
        <f>'PL2'!H61</f>
        <v>PL2-151</v>
      </c>
      <c r="H54" s="161"/>
      <c r="I54" s="219"/>
      <c r="K54" s="140" t="s">
        <v>1298</v>
      </c>
      <c r="L54" s="140">
        <f t="shared" si="3"/>
        <v>0</v>
      </c>
      <c r="M54" s="140" t="e">
        <f>VLOOKUP(L54,'PL1'!H:J,3,0)</f>
        <v>#N/A</v>
      </c>
      <c r="N54" s="109" t="e">
        <f t="shared" si="6"/>
        <v>#N/A</v>
      </c>
      <c r="Z54" s="139" t="s">
        <v>1195</v>
      </c>
      <c r="AA54" s="109">
        <f>IF(AC5="MapSetupComplete","SetupDone",MapReference!I2)</f>
        <v>0</v>
      </c>
      <c r="AC54" s="162"/>
      <c r="AD54" s="162"/>
      <c r="AJ54" s="168"/>
      <c r="AK54" s="109" t="str">
        <f t="shared" si="4"/>
        <v/>
      </c>
    </row>
    <row r="55" spans="1:37" x14ac:dyDescent="0.25">
      <c r="A55" s="108">
        <v>53</v>
      </c>
      <c r="B55" s="103">
        <f t="shared" ca="1" si="1"/>
        <v>0.35581851099059159</v>
      </c>
      <c r="C55" s="7" t="str">
        <f>'PL1'!H62</f>
        <v>PL1-152</v>
      </c>
      <c r="D55" s="161"/>
      <c r="E55" s="162"/>
      <c r="F55" s="103">
        <f t="shared" ca="1" si="2"/>
        <v>0.11222287103310302</v>
      </c>
      <c r="G55" s="7" t="str">
        <f>'PL2'!H62</f>
        <v>PL2-152</v>
      </c>
      <c r="H55" s="161"/>
      <c r="I55" s="219"/>
      <c r="K55" s="140" t="s">
        <v>1299</v>
      </c>
      <c r="L55" s="140">
        <f t="shared" si="3"/>
        <v>0</v>
      </c>
      <c r="M55" s="140" t="e">
        <f>VLOOKUP(L55,'PL1'!H:J,3,0)</f>
        <v>#N/A</v>
      </c>
      <c r="N55" s="109" t="e">
        <f t="shared" si="6"/>
        <v>#N/A</v>
      </c>
      <c r="Z55" s="139" t="s">
        <v>1068</v>
      </c>
      <c r="AA55" s="109" t="str">
        <f>IF(AC55="","InitialSetup",AC55)</f>
        <v>InitialSetup</v>
      </c>
      <c r="AC55" s="168"/>
      <c r="AD55" s="162"/>
      <c r="AJ55" s="168"/>
      <c r="AK55" s="109" t="str">
        <f t="shared" si="4"/>
        <v/>
      </c>
    </row>
    <row r="56" spans="1:37" x14ac:dyDescent="0.25">
      <c r="A56" s="108">
        <v>54</v>
      </c>
      <c r="B56" s="103">
        <f t="shared" ca="1" si="1"/>
        <v>0.822070004551818</v>
      </c>
      <c r="C56" s="7" t="str">
        <f>'PL1'!H63</f>
        <v>PL1-153</v>
      </c>
      <c r="D56" s="161"/>
      <c r="E56" s="162"/>
      <c r="F56" s="103">
        <f t="shared" ca="1" si="2"/>
        <v>0.8645016337763376</v>
      </c>
      <c r="G56" s="7" t="str">
        <f>'PL2'!H63</f>
        <v>PL2-153</v>
      </c>
      <c r="H56" s="161"/>
      <c r="I56" s="219"/>
      <c r="K56" s="140" t="s">
        <v>1300</v>
      </c>
      <c r="L56" s="140">
        <f t="shared" si="3"/>
        <v>0</v>
      </c>
      <c r="M56" s="140" t="e">
        <f>VLOOKUP(L56,'PL1'!H:J,3,0)</f>
        <v>#N/A</v>
      </c>
      <c r="N56" s="109" t="e">
        <f t="shared" si="6"/>
        <v>#N/A</v>
      </c>
      <c r="Z56" s="139" t="s">
        <v>1221</v>
      </c>
      <c r="AA56" s="109" t="str">
        <f>IF(AA55="TopOfTurn","Attack",IF(AA55="OngoingAttack","Attack",IF(AC5="MapSetupComplete",AA55,"Setup")))</f>
        <v>Setup</v>
      </c>
      <c r="AC56" s="168"/>
      <c r="AD56" s="168"/>
      <c r="AJ56" s="168"/>
      <c r="AK56" s="109" t="str">
        <f t="shared" si="4"/>
        <v/>
      </c>
    </row>
    <row r="57" spans="1:37" x14ac:dyDescent="0.25">
      <c r="A57" s="108">
        <v>55</v>
      </c>
      <c r="B57" s="103">
        <f t="shared" ca="1" si="1"/>
        <v>0.31747046280095603</v>
      </c>
      <c r="C57" s="7" t="str">
        <f>'PL1'!H64</f>
        <v>PL1-154</v>
      </c>
      <c r="D57" s="161"/>
      <c r="E57" s="162"/>
      <c r="F57" s="103">
        <f t="shared" ca="1" si="2"/>
        <v>0.47551962199769915</v>
      </c>
      <c r="G57" s="7" t="str">
        <f>'PL2'!H64</f>
        <v>PL2-154</v>
      </c>
      <c r="H57" s="161"/>
      <c r="I57" s="219"/>
      <c r="K57" s="140" t="s">
        <v>1301</v>
      </c>
      <c r="L57" s="140">
        <f t="shared" si="3"/>
        <v>0</v>
      </c>
      <c r="M57" s="140" t="e">
        <f>VLOOKUP(L57,'PL1'!H:J,3,0)</f>
        <v>#N/A</v>
      </c>
      <c r="N57" s="109" t="e">
        <f t="shared" si="6"/>
        <v>#N/A</v>
      </c>
      <c r="AC57" s="139" t="s">
        <v>1334</v>
      </c>
      <c r="AD57" s="139" t="s">
        <v>1335</v>
      </c>
      <c r="AJ57" s="168"/>
      <c r="AK57" s="109" t="str">
        <f t="shared" si="4"/>
        <v/>
      </c>
    </row>
    <row r="58" spans="1:37" x14ac:dyDescent="0.25">
      <c r="A58" s="108">
        <v>56</v>
      </c>
      <c r="B58" s="103">
        <f t="shared" ca="1" si="1"/>
        <v>0.67530267169564118</v>
      </c>
      <c r="C58" s="7" t="str">
        <f>'PL1'!H65</f>
        <v>PL1-155</v>
      </c>
      <c r="D58" s="161"/>
      <c r="E58" s="162"/>
      <c r="F58" s="103">
        <f t="shared" ca="1" si="2"/>
        <v>0.96174386093288688</v>
      </c>
      <c r="G58" s="7" t="str">
        <f>'PL2'!H65</f>
        <v>PL2-155</v>
      </c>
      <c r="H58" s="161"/>
      <c r="I58" s="219"/>
      <c r="K58" s="140" t="s">
        <v>1302</v>
      </c>
      <c r="L58" s="140">
        <f t="shared" si="3"/>
        <v>0</v>
      </c>
      <c r="M58" s="140" t="e">
        <f>VLOOKUP(L58,'PL1'!H:J,3,0)</f>
        <v>#N/A</v>
      </c>
      <c r="N58" s="109" t="e">
        <f t="shared" si="6"/>
        <v>#N/A</v>
      </c>
      <c r="AD58" s="103"/>
      <c r="AJ58" s="168"/>
      <c r="AK58" s="109" t="str">
        <f t="shared" si="4"/>
        <v/>
      </c>
    </row>
    <row r="59" spans="1:37" x14ac:dyDescent="0.25">
      <c r="A59" s="108">
        <v>57</v>
      </c>
      <c r="B59" s="103">
        <f t="shared" ca="1" si="1"/>
        <v>0.7376173149659111</v>
      </c>
      <c r="C59" s="7" t="str">
        <f>'PL1'!H66</f>
        <v>PL1-156</v>
      </c>
      <c r="D59" s="161"/>
      <c r="E59" s="162"/>
      <c r="F59" s="103">
        <f t="shared" ca="1" si="2"/>
        <v>0.62470467185905931</v>
      </c>
      <c r="G59" s="7" t="str">
        <f>'PL2'!H66</f>
        <v>PL2-156</v>
      </c>
      <c r="H59" s="161"/>
      <c r="I59" s="219"/>
      <c r="K59" s="140" t="s">
        <v>1303</v>
      </c>
      <c r="L59" s="140">
        <f t="shared" si="3"/>
        <v>0</v>
      </c>
      <c r="M59" s="140" t="e">
        <f>VLOOKUP(L59,'PL1'!H:J,3,0)</f>
        <v>#N/A</v>
      </c>
      <c r="N59" s="109" t="e">
        <f t="shared" si="6"/>
        <v>#N/A</v>
      </c>
      <c r="AC59" s="139" t="s">
        <v>1311</v>
      </c>
      <c r="AJ59" s="168"/>
      <c r="AK59" s="109" t="str">
        <f t="shared" si="4"/>
        <v/>
      </c>
    </row>
    <row r="60" spans="1:37" x14ac:dyDescent="0.25">
      <c r="A60" s="108">
        <v>58</v>
      </c>
      <c r="B60" s="103">
        <f t="shared" ca="1" si="1"/>
        <v>0.37076783972502614</v>
      </c>
      <c r="C60" s="7" t="str">
        <f>'PL1'!H67</f>
        <v>PL1-157</v>
      </c>
      <c r="D60" s="161"/>
      <c r="E60" s="162"/>
      <c r="F60" s="103">
        <f t="shared" ca="1" si="2"/>
        <v>0.39180250440082698</v>
      </c>
      <c r="G60" s="7" t="str">
        <f>'PL2'!H67</f>
        <v>PL2-157</v>
      </c>
      <c r="H60" s="161"/>
      <c r="I60" s="219"/>
      <c r="K60" s="140" t="s">
        <v>1304</v>
      </c>
      <c r="L60" s="140">
        <f t="shared" si="3"/>
        <v>0</v>
      </c>
      <c r="M60" s="140" t="e">
        <f>VLOOKUP(L60,'PL1'!H:J,3,0)</f>
        <v>#N/A</v>
      </c>
      <c r="N60" s="109" t="e">
        <f t="shared" si="6"/>
        <v>#N/A</v>
      </c>
      <c r="AB60" s="103"/>
      <c r="AC60" s="109" t="str">
        <f>IF(ISNA(VLOOKUP(AC$64&amp;$AC39,$K:$L,2,0)),"Undecided",VLOOKUP(AC$64&amp;$AC39,$K:$L,2,0))</f>
        <v>Undecided</v>
      </c>
      <c r="AD60" s="109" t="str">
        <f>IF(ISNA(VLOOKUP(AD$64&amp;$AD39,$K:$L,2,0)),"Undecided",VLOOKUP(AD$64&amp;$AD39,$K:$L,2,0))</f>
        <v>Undecided</v>
      </c>
      <c r="AJ60" s="109" t="str">
        <f>GameLog!L3001</f>
        <v/>
      </c>
    </row>
    <row r="61" spans="1:37" x14ac:dyDescent="0.25">
      <c r="A61" s="108">
        <v>59</v>
      </c>
      <c r="B61" s="103">
        <f t="shared" ca="1" si="1"/>
        <v>0.60521361931024142</v>
      </c>
      <c r="C61" s="7" t="str">
        <f>'PL1'!H68</f>
        <v>PL1-158</v>
      </c>
      <c r="D61" s="161"/>
      <c r="E61" s="162"/>
      <c r="F61" s="103">
        <f t="shared" ca="1" si="2"/>
        <v>0.94202812092696753</v>
      </c>
      <c r="G61" s="7" t="str">
        <f>'PL2'!H68</f>
        <v>PL2-158</v>
      </c>
      <c r="H61" s="161"/>
      <c r="I61" s="219"/>
      <c r="K61" s="140" t="s">
        <v>1305</v>
      </c>
      <c r="L61" s="140">
        <f t="shared" si="3"/>
        <v>0</v>
      </c>
      <c r="M61" s="140" t="e">
        <f>VLOOKUP(L61,'PL1'!H:J,3,0)</f>
        <v>#N/A</v>
      </c>
      <c r="N61" s="109" t="e">
        <f t="shared" si="6"/>
        <v>#N/A</v>
      </c>
      <c r="AB61" s="103"/>
      <c r="AC61" s="109" t="str">
        <f t="shared" ref="AC61" si="7">IF(ISNA(VLOOKUP(AC$64&amp;$AC40,$K:$L,2,0)),"Undecided",VLOOKUP(AC$64&amp;$AC40,$K:$L,2,0))</f>
        <v>Undecided</v>
      </c>
      <c r="AD61" s="109" t="str">
        <f t="shared" ref="AD61:AD62" si="8">IF(ISNA(VLOOKUP(AD$64&amp;$AD40,$K:$L,2,0)),"Undecided",VLOOKUP(AD$64&amp;$AD40,$K:$L,2,0))</f>
        <v>Undecided</v>
      </c>
    </row>
    <row r="62" spans="1:37" x14ac:dyDescent="0.25">
      <c r="A62" s="108">
        <v>60</v>
      </c>
      <c r="B62" s="103">
        <f t="shared" ca="1" si="1"/>
        <v>0.69912817347383782</v>
      </c>
      <c r="C62" s="7" t="str">
        <f>'PL1'!H69</f>
        <v>PL1-159</v>
      </c>
      <c r="D62" s="161"/>
      <c r="E62" s="162"/>
      <c r="F62" s="103">
        <f t="shared" ca="1" si="2"/>
        <v>0.18096053438160831</v>
      </c>
      <c r="G62" s="7" t="str">
        <f>'PL2'!H69</f>
        <v>PL2-159</v>
      </c>
      <c r="H62" s="161"/>
      <c r="I62" s="219"/>
      <c r="K62" s="140" t="s">
        <v>1306</v>
      </c>
      <c r="L62" s="140">
        <f t="shared" si="3"/>
        <v>0</v>
      </c>
      <c r="M62" s="140" t="e">
        <f>VLOOKUP(L62,'PL1'!H:J,3,0)</f>
        <v>#N/A</v>
      </c>
      <c r="N62" s="109" t="e">
        <f t="shared" si="6"/>
        <v>#N/A</v>
      </c>
      <c r="AB62" s="103"/>
      <c r="AC62" s="109" t="str">
        <f>IF(ISNA(VLOOKUP(AC$64&amp;$AC41,$K:$L,2,0)),"Undecided",VLOOKUP(AC$64&amp;$AC41,$K:$L,2,0))</f>
        <v>Undecided</v>
      </c>
      <c r="AD62" s="109" t="str">
        <f t="shared" si="8"/>
        <v>Undecided</v>
      </c>
    </row>
    <row r="63" spans="1:37" x14ac:dyDescent="0.25">
      <c r="A63" s="108">
        <v>61</v>
      </c>
      <c r="B63" s="103">
        <f t="shared" ca="1" si="1"/>
        <v>6.4960871417256816E-2</v>
      </c>
      <c r="C63" s="7" t="str">
        <f>'PL1'!H70</f>
        <v>PL1-160</v>
      </c>
      <c r="D63" s="161"/>
      <c r="E63" s="162"/>
      <c r="F63" s="103">
        <f t="shared" ca="1" si="2"/>
        <v>0.6213868948056156</v>
      </c>
      <c r="G63" s="7" t="str">
        <f>'PL2'!H70</f>
        <v>PL2-160</v>
      </c>
      <c r="H63" s="161"/>
      <c r="I63" s="219"/>
      <c r="K63" s="140" t="s">
        <v>1307</v>
      </c>
      <c r="L63" s="140">
        <f t="shared" si="3"/>
        <v>0</v>
      </c>
      <c r="M63" s="140" t="e">
        <f>VLOOKUP(L63,'PL1'!H:J,3,0)</f>
        <v>#N/A</v>
      </c>
      <c r="N63" s="109" t="e">
        <f t="shared" si="6"/>
        <v>#N/A</v>
      </c>
      <c r="AC63" s="139" t="s">
        <v>800</v>
      </c>
      <c r="AD63" s="139" t="s">
        <v>801</v>
      </c>
    </row>
    <row r="64" spans="1:37" x14ac:dyDescent="0.25">
      <c r="A64" s="108">
        <v>62</v>
      </c>
      <c r="B64" s="103">
        <f t="shared" ca="1" si="1"/>
        <v>0.48923681760422766</v>
      </c>
      <c r="C64" s="7" t="str">
        <f>'PL1'!H71</f>
        <v>PL1-161</v>
      </c>
      <c r="D64" s="161"/>
      <c r="E64" s="162"/>
      <c r="F64" s="103">
        <f t="shared" ca="1" si="2"/>
        <v>0.87630768844156504</v>
      </c>
      <c r="G64" s="7" t="str">
        <f>'PL2'!H71</f>
        <v>PL2-161</v>
      </c>
      <c r="H64" s="161"/>
      <c r="I64" s="219"/>
      <c r="K64" s="140" t="s">
        <v>1308</v>
      </c>
      <c r="L64" s="140">
        <f t="shared" si="3"/>
        <v>0</v>
      </c>
      <c r="M64" s="140" t="e">
        <f>VLOOKUP(L64,'PL1'!H:J,3,0)</f>
        <v>#N/A</v>
      </c>
      <c r="N64" s="109" t="e">
        <f t="shared" si="6"/>
        <v>#N/A</v>
      </c>
      <c r="AC64" s="109" t="str">
        <f>IF(LEFT($AB$28,3)=AC63,$AB$28,IF(LEFT($AB$29,3)=AC63,$AB$29,"Undecided"))&amp;"-"</f>
        <v>Undecided-</v>
      </c>
      <c r="AD64" s="109" t="str">
        <f>IF(LEFT($AB$28,3)=AD63,$AB$28,IF(LEFT($AB$29,3)=AD63,$AB$29,"Undecided"))&amp;"-"</f>
        <v>Undecided-</v>
      </c>
    </row>
    <row r="65" spans="1:30" x14ac:dyDescent="0.25">
      <c r="A65" s="108">
        <v>63</v>
      </c>
      <c r="B65" s="103">
        <f t="shared" ca="1" si="1"/>
        <v>0.12865402570059248</v>
      </c>
      <c r="C65" s="7" t="str">
        <f>'PL1'!H72</f>
        <v>PL1-162</v>
      </c>
      <c r="D65" s="161"/>
      <c r="E65" s="162"/>
      <c r="F65" s="103">
        <f t="shared" ca="1" si="2"/>
        <v>0.56589591013862062</v>
      </c>
      <c r="G65" s="7" t="str">
        <f>'PL2'!H72</f>
        <v>PL2-162</v>
      </c>
      <c r="H65" s="161"/>
      <c r="I65" s="219"/>
      <c r="K65" s="140" t="s">
        <v>1309</v>
      </c>
      <c r="L65" s="140">
        <f t="shared" si="3"/>
        <v>0</v>
      </c>
      <c r="M65" s="140" t="e">
        <f>VLOOKUP(L65,'PL1'!H:J,3,0)</f>
        <v>#N/A</v>
      </c>
      <c r="N65" s="109" t="e">
        <f t="shared" si="6"/>
        <v>#N/A</v>
      </c>
      <c r="AC65" s="109" t="str">
        <f>LEFT(AC64,6)</f>
        <v>Undeci</v>
      </c>
      <c r="AD65" s="109" t="str">
        <f>LEFT(AD64,6)</f>
        <v>Undeci</v>
      </c>
    </row>
    <row r="66" spans="1:30" x14ac:dyDescent="0.25">
      <c r="A66" s="7">
        <v>64</v>
      </c>
      <c r="B66" s="103">
        <f t="shared" ca="1" si="1"/>
        <v>0.90154537674284996</v>
      </c>
      <c r="C66" s="7" t="str">
        <f>'PL1'!H73</f>
        <v>PL1-163</v>
      </c>
      <c r="D66" s="161"/>
      <c r="E66" s="162"/>
      <c r="F66" s="103">
        <f t="shared" ca="1" si="2"/>
        <v>0.73413614786077175</v>
      </c>
      <c r="G66" s="7" t="str">
        <f>'PL2'!H73</f>
        <v>PL2-163</v>
      </c>
      <c r="H66" s="161"/>
      <c r="I66" s="219"/>
      <c r="K66" s="141" t="str">
        <f t="shared" ref="K66:K97" si="9">"PL2"&amp;RIGHT(K3,5)</f>
        <v>PL2-01-A</v>
      </c>
      <c r="L66" s="141">
        <f t="shared" ref="L66:L97" si="10">I3</f>
        <v>0</v>
      </c>
      <c r="M66" s="141" t="e">
        <f>VLOOKUP(L66,'PL2'!H:J,3,0)</f>
        <v>#N/A</v>
      </c>
      <c r="N66" s="109" t="e">
        <f t="shared" si="6"/>
        <v>#N/A</v>
      </c>
      <c r="AB66" s="139" t="s">
        <v>1384</v>
      </c>
      <c r="AC66" s="109" t="str">
        <f>AC64&amp;IF(AK6="Yes",AC41,AC39)</f>
        <v>Undecided-</v>
      </c>
      <c r="AD66" s="109" t="str">
        <f>AD64&amp;IF(AK6="Yes",AD41,AD39)</f>
        <v>Undecided-</v>
      </c>
    </row>
    <row r="67" spans="1:30" x14ac:dyDescent="0.25">
      <c r="A67" s="7">
        <v>65</v>
      </c>
      <c r="B67" s="103">
        <f t="shared" ca="1" si="1"/>
        <v>0.20153239251048849</v>
      </c>
      <c r="C67" s="7" t="str">
        <f>'PL1'!H74</f>
        <v>PL1-164</v>
      </c>
      <c r="D67" s="161"/>
      <c r="E67" s="162"/>
      <c r="F67" s="103">
        <f t="shared" ca="1" si="2"/>
        <v>0.46950739920703133</v>
      </c>
      <c r="G67" s="7" t="str">
        <f>'PL2'!H74</f>
        <v>PL2-164</v>
      </c>
      <c r="H67" s="161"/>
      <c r="I67" s="219"/>
      <c r="K67" s="141" t="str">
        <f t="shared" si="9"/>
        <v>PL2-01-B</v>
      </c>
      <c r="L67" s="141">
        <f t="shared" si="10"/>
        <v>0</v>
      </c>
      <c r="M67" s="141" t="e">
        <f>VLOOKUP(L67,'PL2'!H:J,3,0)</f>
        <v>#N/A</v>
      </c>
      <c r="N67" s="109" t="e">
        <f t="shared" ref="N67:N98" si="11">VLOOKUP(LEFT(K67,6),$Q$8:$R$49,2,0)</f>
        <v>#N/A</v>
      </c>
    </row>
    <row r="68" spans="1:30" x14ac:dyDescent="0.25">
      <c r="A68" s="7">
        <v>66</v>
      </c>
      <c r="B68" s="103">
        <f t="shared" ref="B68:B131" ca="1" si="12">IF(C68="","",RAND())</f>
        <v>0.75105021304682984</v>
      </c>
      <c r="C68" s="7" t="str">
        <f>'PL1'!H75</f>
        <v>PL1-165</v>
      </c>
      <c r="D68" s="161"/>
      <c r="E68" s="162"/>
      <c r="F68" s="103">
        <f t="shared" ref="F68:F131" ca="1" si="13">IF(G68="","",RAND())</f>
        <v>8.1593485828982737E-2</v>
      </c>
      <c r="G68" s="7" t="str">
        <f>'PL2'!H75</f>
        <v>PL2-165</v>
      </c>
      <c r="H68" s="161"/>
      <c r="I68" s="219"/>
      <c r="K68" s="141" t="str">
        <f t="shared" si="9"/>
        <v>PL2-01-C</v>
      </c>
      <c r="L68" s="141">
        <f t="shared" si="10"/>
        <v>0</v>
      </c>
      <c r="M68" s="141" t="e">
        <f>VLOOKUP(L68,'PL2'!H:J,3,0)</f>
        <v>#N/A</v>
      </c>
      <c r="N68" s="109" t="e">
        <f t="shared" si="11"/>
        <v>#N/A</v>
      </c>
    </row>
    <row r="69" spans="1:30" x14ac:dyDescent="0.25">
      <c r="A69" s="7">
        <v>67</v>
      </c>
      <c r="B69" s="103">
        <f t="shared" ca="1" si="12"/>
        <v>0.33688059927896563</v>
      </c>
      <c r="C69" s="7" t="str">
        <f>'PL1'!H76</f>
        <v>PL1-166</v>
      </c>
      <c r="D69" s="161"/>
      <c r="E69" s="162"/>
      <c r="F69" s="103">
        <f t="shared" ca="1" si="13"/>
        <v>8.07309663371093E-2</v>
      </c>
      <c r="G69" s="7" t="str">
        <f>'PL2'!H76</f>
        <v>PL2-166</v>
      </c>
      <c r="H69" s="161"/>
      <c r="I69" s="219"/>
      <c r="K69" s="141" t="str">
        <f t="shared" si="9"/>
        <v>PL2-02-A</v>
      </c>
      <c r="L69" s="141">
        <f t="shared" si="10"/>
        <v>0</v>
      </c>
      <c r="M69" s="141" t="e">
        <f>VLOOKUP(L69,'PL2'!H:J,3,0)</f>
        <v>#N/A</v>
      </c>
      <c r="N69" s="109" t="e">
        <f t="shared" si="11"/>
        <v>#N/A</v>
      </c>
    </row>
    <row r="70" spans="1:30" x14ac:dyDescent="0.25">
      <c r="A70" s="7">
        <v>68</v>
      </c>
      <c r="B70" s="103">
        <f t="shared" ca="1" si="12"/>
        <v>0.73343337849610746</v>
      </c>
      <c r="C70" s="7" t="str">
        <f>'PL1'!H77</f>
        <v>PL1-167</v>
      </c>
      <c r="D70" s="161"/>
      <c r="E70" s="162"/>
      <c r="F70" s="103">
        <f t="shared" ca="1" si="13"/>
        <v>0.83387161620945505</v>
      </c>
      <c r="G70" s="7" t="str">
        <f>'PL2'!H77</f>
        <v>PL2-167</v>
      </c>
      <c r="H70" s="161"/>
      <c r="I70" s="219"/>
      <c r="K70" s="141" t="str">
        <f t="shared" si="9"/>
        <v>PL2-02-B</v>
      </c>
      <c r="L70" s="141">
        <f t="shared" si="10"/>
        <v>0</v>
      </c>
      <c r="M70" s="141" t="e">
        <f>VLOOKUP(L70,'PL2'!H:J,3,0)</f>
        <v>#N/A</v>
      </c>
      <c r="N70" s="109" t="e">
        <f t="shared" si="11"/>
        <v>#N/A</v>
      </c>
    </row>
    <row r="71" spans="1:30" x14ac:dyDescent="0.25">
      <c r="A71" s="7">
        <v>69</v>
      </c>
      <c r="B71" s="103">
        <f t="shared" ca="1" si="12"/>
        <v>0.7357274269704428</v>
      </c>
      <c r="C71" s="7" t="str">
        <f>'PL1'!H78</f>
        <v>PL1-168</v>
      </c>
      <c r="D71" s="161"/>
      <c r="E71" s="162"/>
      <c r="F71" s="103">
        <f t="shared" ca="1" si="13"/>
        <v>0.33309479117200069</v>
      </c>
      <c r="G71" s="7" t="str">
        <f>'PL2'!H78</f>
        <v>PL2-168</v>
      </c>
      <c r="H71" s="161"/>
      <c r="I71" s="219"/>
      <c r="K71" s="141" t="str">
        <f t="shared" si="9"/>
        <v>PL2-02-C</v>
      </c>
      <c r="L71" s="141">
        <f t="shared" si="10"/>
        <v>0</v>
      </c>
      <c r="M71" s="141" t="e">
        <f>VLOOKUP(L71,'PL2'!H:J,3,0)</f>
        <v>#N/A</v>
      </c>
      <c r="N71" s="109" t="e">
        <f t="shared" si="11"/>
        <v>#N/A</v>
      </c>
    </row>
    <row r="72" spans="1:30" x14ac:dyDescent="0.25">
      <c r="A72" s="7">
        <v>70</v>
      </c>
      <c r="B72" s="103">
        <f t="shared" ca="1" si="12"/>
        <v>0.72338260415841338</v>
      </c>
      <c r="C72" s="7" t="str">
        <f>'PL1'!H79</f>
        <v>PL1-169</v>
      </c>
      <c r="D72" s="161"/>
      <c r="E72" s="162"/>
      <c r="F72" s="103">
        <f t="shared" ca="1" si="13"/>
        <v>0.25995302245665775</v>
      </c>
      <c r="G72" s="7" t="str">
        <f>'PL2'!H79</f>
        <v>PL2-169</v>
      </c>
      <c r="H72" s="161"/>
      <c r="I72" s="219"/>
      <c r="K72" s="141" t="str">
        <f t="shared" si="9"/>
        <v>PL2-03-A</v>
      </c>
      <c r="L72" s="141">
        <f t="shared" si="10"/>
        <v>0</v>
      </c>
      <c r="M72" s="141" t="e">
        <f>VLOOKUP(L72,'PL2'!H:J,3,0)</f>
        <v>#N/A</v>
      </c>
      <c r="N72" s="109" t="e">
        <f t="shared" si="11"/>
        <v>#N/A</v>
      </c>
    </row>
    <row r="73" spans="1:30" x14ac:dyDescent="0.25">
      <c r="A73" s="7">
        <v>71</v>
      </c>
      <c r="B73" s="103">
        <f t="shared" ca="1" si="12"/>
        <v>0.5479131500024782</v>
      </c>
      <c r="C73" s="7" t="str">
        <f>'PL1'!H80</f>
        <v>PL1-170</v>
      </c>
      <c r="D73" s="161"/>
      <c r="E73" s="162"/>
      <c r="F73" s="103">
        <f t="shared" ca="1" si="13"/>
        <v>0.47869433250092741</v>
      </c>
      <c r="G73" s="7" t="str">
        <f>'PL2'!H80</f>
        <v>PL2-170</v>
      </c>
      <c r="H73" s="161"/>
      <c r="I73" s="219"/>
      <c r="K73" s="141" t="str">
        <f t="shared" si="9"/>
        <v>PL2-03-B</v>
      </c>
      <c r="L73" s="141">
        <f t="shared" si="10"/>
        <v>0</v>
      </c>
      <c r="M73" s="141" t="e">
        <f>VLOOKUP(L73,'PL2'!H:J,3,0)</f>
        <v>#N/A</v>
      </c>
      <c r="N73" s="109" t="e">
        <f t="shared" si="11"/>
        <v>#N/A</v>
      </c>
    </row>
    <row r="74" spans="1:30" x14ac:dyDescent="0.25">
      <c r="A74" s="7">
        <v>72</v>
      </c>
      <c r="B74" s="103">
        <f t="shared" ca="1" si="12"/>
        <v>0.64830035973745992</v>
      </c>
      <c r="C74" s="7" t="str">
        <f>'PL1'!H81</f>
        <v>PL1-171</v>
      </c>
      <c r="D74" s="161"/>
      <c r="E74" s="162"/>
      <c r="F74" s="103">
        <f t="shared" ca="1" si="13"/>
        <v>0.61715083191474018</v>
      </c>
      <c r="G74" s="7" t="str">
        <f>'PL2'!H81</f>
        <v>PL2-171</v>
      </c>
      <c r="H74" s="161"/>
      <c r="I74" s="219"/>
      <c r="K74" s="141" t="str">
        <f t="shared" si="9"/>
        <v>PL2-03-C</v>
      </c>
      <c r="L74" s="141">
        <f t="shared" si="10"/>
        <v>0</v>
      </c>
      <c r="M74" s="141" t="e">
        <f>VLOOKUP(L74,'PL2'!H:J,3,0)</f>
        <v>#N/A</v>
      </c>
      <c r="N74" s="109" t="e">
        <f t="shared" si="11"/>
        <v>#N/A</v>
      </c>
    </row>
    <row r="75" spans="1:30" x14ac:dyDescent="0.25">
      <c r="A75" s="7">
        <v>73</v>
      </c>
      <c r="B75" s="103">
        <f t="shared" ca="1" si="12"/>
        <v>0.19728766115773677</v>
      </c>
      <c r="C75" s="7" t="str">
        <f>'PL1'!H82</f>
        <v>PL1-172</v>
      </c>
      <c r="D75" s="161"/>
      <c r="E75" s="162"/>
      <c r="F75" s="103">
        <f t="shared" ca="1" si="13"/>
        <v>0.18238177876371298</v>
      </c>
      <c r="G75" s="7" t="str">
        <f>'PL2'!H82</f>
        <v>PL2-172</v>
      </c>
      <c r="H75" s="161"/>
      <c r="I75" s="219"/>
      <c r="K75" s="141" t="str">
        <f t="shared" si="9"/>
        <v>PL2-04-A</v>
      </c>
      <c r="L75" s="141">
        <f t="shared" si="10"/>
        <v>0</v>
      </c>
      <c r="M75" s="141" t="e">
        <f>VLOOKUP(L75,'PL2'!H:J,3,0)</f>
        <v>#N/A</v>
      </c>
      <c r="N75" s="109" t="e">
        <f t="shared" si="11"/>
        <v>#N/A</v>
      </c>
    </row>
    <row r="76" spans="1:30" x14ac:dyDescent="0.25">
      <c r="A76" s="7">
        <v>74</v>
      </c>
      <c r="B76" s="103">
        <f t="shared" ca="1" si="12"/>
        <v>0.61461400021875379</v>
      </c>
      <c r="C76" s="7" t="str">
        <f>'PL1'!H83</f>
        <v>PL1-173</v>
      </c>
      <c r="D76" s="161"/>
      <c r="E76" s="162"/>
      <c r="F76" s="103">
        <f t="shared" ca="1" si="13"/>
        <v>6.8205651376399556E-2</v>
      </c>
      <c r="G76" s="7" t="str">
        <f>'PL2'!H83</f>
        <v>PL2-173</v>
      </c>
      <c r="H76" s="161"/>
      <c r="I76" s="219"/>
      <c r="K76" s="141" t="str">
        <f t="shared" si="9"/>
        <v>PL2-04-B</v>
      </c>
      <c r="L76" s="141">
        <f t="shared" si="10"/>
        <v>0</v>
      </c>
      <c r="M76" s="141" t="e">
        <f>VLOOKUP(L76,'PL2'!H:J,3,0)</f>
        <v>#N/A</v>
      </c>
      <c r="N76" s="109" t="e">
        <f t="shared" si="11"/>
        <v>#N/A</v>
      </c>
    </row>
    <row r="77" spans="1:30" x14ac:dyDescent="0.25">
      <c r="A77" s="7">
        <v>75</v>
      </c>
      <c r="B77" s="103">
        <f t="shared" ca="1" si="12"/>
        <v>0.76188613332543997</v>
      </c>
      <c r="C77" s="7" t="str">
        <f>'PL1'!H84</f>
        <v>PL1-174</v>
      </c>
      <c r="D77" s="161"/>
      <c r="E77" s="162"/>
      <c r="F77" s="103">
        <f t="shared" ca="1" si="13"/>
        <v>0.5871978905387798</v>
      </c>
      <c r="G77" s="7" t="str">
        <f>'PL2'!H84</f>
        <v>PL2-174</v>
      </c>
      <c r="H77" s="161"/>
      <c r="I77" s="219"/>
      <c r="K77" s="141" t="str">
        <f t="shared" si="9"/>
        <v>PL2-04-C</v>
      </c>
      <c r="L77" s="141">
        <f t="shared" si="10"/>
        <v>0</v>
      </c>
      <c r="M77" s="141" t="e">
        <f>VLOOKUP(L77,'PL2'!H:J,3,0)</f>
        <v>#N/A</v>
      </c>
      <c r="N77" s="109" t="e">
        <f t="shared" si="11"/>
        <v>#N/A</v>
      </c>
    </row>
    <row r="78" spans="1:30" x14ac:dyDescent="0.25">
      <c r="A78" s="7">
        <v>76</v>
      </c>
      <c r="B78" s="103">
        <f t="shared" ca="1" si="12"/>
        <v>0.26777173949826061</v>
      </c>
      <c r="C78" s="7" t="str">
        <f>'PL1'!H85</f>
        <v>PL1-175</v>
      </c>
      <c r="D78" s="161"/>
      <c r="E78" s="162"/>
      <c r="F78" s="103">
        <f t="shared" ca="1" si="13"/>
        <v>0.39536623300215068</v>
      </c>
      <c r="G78" s="7" t="str">
        <f>'PL2'!H85</f>
        <v>PL2-175</v>
      </c>
      <c r="H78" s="161"/>
      <c r="I78" s="219"/>
      <c r="K78" s="141" t="str">
        <f t="shared" si="9"/>
        <v>PL2-05-A</v>
      </c>
      <c r="L78" s="141">
        <f t="shared" si="10"/>
        <v>0</v>
      </c>
      <c r="M78" s="141" t="e">
        <f>VLOOKUP(L78,'PL2'!H:J,3,0)</f>
        <v>#N/A</v>
      </c>
      <c r="N78" s="109" t="e">
        <f t="shared" si="11"/>
        <v>#N/A</v>
      </c>
    </row>
    <row r="79" spans="1:30" x14ac:dyDescent="0.25">
      <c r="A79" s="7">
        <v>77</v>
      </c>
      <c r="B79" s="103">
        <f t="shared" ca="1" si="12"/>
        <v>8.58713899114949E-3</v>
      </c>
      <c r="C79" s="7" t="str">
        <f>'PL1'!H86</f>
        <v>PL1-176</v>
      </c>
      <c r="D79" s="161"/>
      <c r="E79" s="162"/>
      <c r="F79" s="103">
        <f t="shared" ca="1" si="13"/>
        <v>0.88352510236090975</v>
      </c>
      <c r="G79" s="7" t="str">
        <f>'PL2'!H86</f>
        <v>PL2-176</v>
      </c>
      <c r="H79" s="161"/>
      <c r="I79" s="219"/>
      <c r="K79" s="141" t="str">
        <f t="shared" si="9"/>
        <v>PL2-05-B</v>
      </c>
      <c r="L79" s="141">
        <f t="shared" si="10"/>
        <v>0</v>
      </c>
      <c r="M79" s="141" t="e">
        <f>VLOOKUP(L79,'PL2'!H:J,3,0)</f>
        <v>#N/A</v>
      </c>
      <c r="N79" s="109" t="e">
        <f t="shared" si="11"/>
        <v>#N/A</v>
      </c>
    </row>
    <row r="80" spans="1:30" x14ac:dyDescent="0.25">
      <c r="A80" s="7">
        <v>78</v>
      </c>
      <c r="B80" s="103">
        <f t="shared" ca="1" si="12"/>
        <v>0.5528076947839935</v>
      </c>
      <c r="C80" s="7" t="str">
        <f>'PL1'!H87</f>
        <v>PL1-177</v>
      </c>
      <c r="D80" s="161"/>
      <c r="E80" s="162"/>
      <c r="F80" s="103">
        <f t="shared" ca="1" si="13"/>
        <v>3.4563284188995569E-2</v>
      </c>
      <c r="G80" s="7" t="str">
        <f>'PL2'!H87</f>
        <v>PL2-177</v>
      </c>
      <c r="H80" s="161"/>
      <c r="I80" s="219"/>
      <c r="K80" s="141" t="str">
        <f t="shared" si="9"/>
        <v>PL2-05-C</v>
      </c>
      <c r="L80" s="141">
        <f t="shared" si="10"/>
        <v>0</v>
      </c>
      <c r="M80" s="141" t="e">
        <f>VLOOKUP(L80,'PL2'!H:J,3,0)</f>
        <v>#N/A</v>
      </c>
      <c r="N80" s="109" t="e">
        <f t="shared" si="11"/>
        <v>#N/A</v>
      </c>
    </row>
    <row r="81" spans="1:14" x14ac:dyDescent="0.25">
      <c r="A81" s="7">
        <v>79</v>
      </c>
      <c r="B81" s="103" t="str">
        <f t="shared" ca="1" si="12"/>
        <v/>
      </c>
      <c r="C81" s="7" t="str">
        <f>'PL1'!H88</f>
        <v/>
      </c>
      <c r="D81" s="161"/>
      <c r="E81" s="162"/>
      <c r="F81" s="103">
        <f t="shared" ca="1" si="13"/>
        <v>0.49698162825979875</v>
      </c>
      <c r="G81" s="7" t="str">
        <f>'PL2'!H88</f>
        <v>PL2-178</v>
      </c>
      <c r="H81" s="161"/>
      <c r="I81" s="219"/>
      <c r="K81" s="141" t="str">
        <f t="shared" si="9"/>
        <v>PL2-06-A</v>
      </c>
      <c r="L81" s="141">
        <f t="shared" si="10"/>
        <v>0</v>
      </c>
      <c r="M81" s="141" t="e">
        <f>VLOOKUP(L81,'PL2'!H:J,3,0)</f>
        <v>#N/A</v>
      </c>
      <c r="N81" s="109" t="e">
        <f t="shared" si="11"/>
        <v>#N/A</v>
      </c>
    </row>
    <row r="82" spans="1:14" x14ac:dyDescent="0.25">
      <c r="A82" s="7">
        <v>80</v>
      </c>
      <c r="B82" s="103">
        <f t="shared" ca="1" si="12"/>
        <v>0.67157234141373212</v>
      </c>
      <c r="C82" s="7" t="str">
        <f>'PL1'!H89</f>
        <v>PL1-179</v>
      </c>
      <c r="D82" s="161"/>
      <c r="E82" s="162"/>
      <c r="F82" s="103">
        <f t="shared" ca="1" si="13"/>
        <v>0.32536521735086188</v>
      </c>
      <c r="G82" s="7" t="str">
        <f>'PL2'!H89</f>
        <v>PL2-179</v>
      </c>
      <c r="H82" s="161"/>
      <c r="I82" s="219"/>
      <c r="K82" s="141" t="str">
        <f t="shared" si="9"/>
        <v>PL2-06-B</v>
      </c>
      <c r="L82" s="141">
        <f t="shared" si="10"/>
        <v>0</v>
      </c>
      <c r="M82" s="141" t="e">
        <f>VLOOKUP(L82,'PL2'!H:J,3,0)</f>
        <v>#N/A</v>
      </c>
      <c r="N82" s="109" t="e">
        <f t="shared" si="11"/>
        <v>#N/A</v>
      </c>
    </row>
    <row r="83" spans="1:14" x14ac:dyDescent="0.25">
      <c r="A83" s="7">
        <v>81</v>
      </c>
      <c r="B83" s="103">
        <f t="shared" ca="1" si="12"/>
        <v>0.52200296195163975</v>
      </c>
      <c r="C83" s="7" t="str">
        <f>'PL1'!H90</f>
        <v>PL1-180</v>
      </c>
      <c r="D83" s="161"/>
      <c r="E83" s="162"/>
      <c r="F83" s="103">
        <f t="shared" ca="1" si="13"/>
        <v>2.9332217479773326E-2</v>
      </c>
      <c r="G83" s="7" t="str">
        <f>'PL2'!H90</f>
        <v>PL2-180</v>
      </c>
      <c r="H83" s="161"/>
      <c r="I83" s="219"/>
      <c r="K83" s="141" t="str">
        <f t="shared" si="9"/>
        <v>PL2-06-C</v>
      </c>
      <c r="L83" s="141">
        <f t="shared" si="10"/>
        <v>0</v>
      </c>
      <c r="M83" s="141" t="e">
        <f>VLOOKUP(L83,'PL2'!H:J,3,0)</f>
        <v>#N/A</v>
      </c>
      <c r="N83" s="109" t="e">
        <f t="shared" si="11"/>
        <v>#N/A</v>
      </c>
    </row>
    <row r="84" spans="1:14" x14ac:dyDescent="0.25">
      <c r="A84" s="7">
        <v>82</v>
      </c>
      <c r="B84" s="103">
        <f t="shared" ca="1" si="12"/>
        <v>0.67346948218116098</v>
      </c>
      <c r="C84" s="7" t="str">
        <f>'PL1'!H91</f>
        <v>PL1-181</v>
      </c>
      <c r="D84" s="161"/>
      <c r="E84" s="162"/>
      <c r="F84" s="103">
        <f t="shared" ca="1" si="13"/>
        <v>0.46661005123135979</v>
      </c>
      <c r="G84" s="7" t="str">
        <f>'PL2'!H91</f>
        <v>PL2-181</v>
      </c>
      <c r="H84" s="161"/>
      <c r="I84" s="219"/>
      <c r="K84" s="141" t="str">
        <f t="shared" si="9"/>
        <v>PL2-07-A</v>
      </c>
      <c r="L84" s="141">
        <f t="shared" si="10"/>
        <v>0</v>
      </c>
      <c r="M84" s="141" t="e">
        <f>VLOOKUP(L84,'PL2'!H:J,3,0)</f>
        <v>#N/A</v>
      </c>
      <c r="N84" s="109" t="e">
        <f t="shared" si="11"/>
        <v>#N/A</v>
      </c>
    </row>
    <row r="85" spans="1:14" x14ac:dyDescent="0.25">
      <c r="A85" s="7">
        <v>83</v>
      </c>
      <c r="B85" s="103">
        <f t="shared" ca="1" si="12"/>
        <v>0.71759053991164268</v>
      </c>
      <c r="C85" s="7" t="str">
        <f>'PL1'!H92</f>
        <v>PL1-182</v>
      </c>
      <c r="D85" s="161"/>
      <c r="E85" s="162"/>
      <c r="F85" s="103">
        <f t="shared" ca="1" si="13"/>
        <v>0.22807371239210461</v>
      </c>
      <c r="G85" s="7" t="str">
        <f>'PL2'!H92</f>
        <v>PL2-182</v>
      </c>
      <c r="H85" s="161"/>
      <c r="I85" s="219"/>
      <c r="K85" s="141" t="str">
        <f t="shared" si="9"/>
        <v>PL2-07-B</v>
      </c>
      <c r="L85" s="141">
        <f t="shared" si="10"/>
        <v>0</v>
      </c>
      <c r="M85" s="141" t="e">
        <f>VLOOKUP(L85,'PL2'!H:J,3,0)</f>
        <v>#N/A</v>
      </c>
      <c r="N85" s="109" t="e">
        <f t="shared" si="11"/>
        <v>#N/A</v>
      </c>
    </row>
    <row r="86" spans="1:14" x14ac:dyDescent="0.25">
      <c r="A86" s="7">
        <v>84</v>
      </c>
      <c r="B86" s="103">
        <f t="shared" ca="1" si="12"/>
        <v>0.94607093643997286</v>
      </c>
      <c r="C86" s="7" t="str">
        <f>'PL1'!H93</f>
        <v>PL1-183</v>
      </c>
      <c r="D86" s="161"/>
      <c r="E86" s="162"/>
      <c r="F86" s="103">
        <f t="shared" ca="1" si="13"/>
        <v>0.43109259000846989</v>
      </c>
      <c r="G86" s="7" t="str">
        <f>'PL2'!H93</f>
        <v>PL2-183</v>
      </c>
      <c r="H86" s="161"/>
      <c r="I86" s="219"/>
      <c r="K86" s="141" t="str">
        <f t="shared" si="9"/>
        <v>PL2-07-C</v>
      </c>
      <c r="L86" s="141">
        <f t="shared" si="10"/>
        <v>0</v>
      </c>
      <c r="M86" s="141" t="e">
        <f>VLOOKUP(L86,'PL2'!H:J,3,0)</f>
        <v>#N/A</v>
      </c>
      <c r="N86" s="109" t="e">
        <f t="shared" si="11"/>
        <v>#N/A</v>
      </c>
    </row>
    <row r="87" spans="1:14" x14ac:dyDescent="0.25">
      <c r="A87" s="7">
        <v>85</v>
      </c>
      <c r="B87" s="103">
        <f t="shared" ca="1" si="12"/>
        <v>1.4233984575153125E-2</v>
      </c>
      <c r="C87" s="7" t="str">
        <f>'PL1'!H94</f>
        <v>PL1-184</v>
      </c>
      <c r="D87" s="161"/>
      <c r="E87" s="162"/>
      <c r="F87" s="103">
        <f t="shared" ca="1" si="13"/>
        <v>0.82689261250115953</v>
      </c>
      <c r="G87" s="7" t="str">
        <f>'PL2'!H94</f>
        <v>PL2-184</v>
      </c>
      <c r="H87" s="161"/>
      <c r="I87" s="219"/>
      <c r="K87" s="141" t="str">
        <f t="shared" si="9"/>
        <v>PL2-08-A</v>
      </c>
      <c r="L87" s="141">
        <f t="shared" si="10"/>
        <v>0</v>
      </c>
      <c r="M87" s="141" t="e">
        <f>VLOOKUP(L87,'PL2'!H:J,3,0)</f>
        <v>#N/A</v>
      </c>
      <c r="N87" s="109" t="e">
        <f t="shared" si="11"/>
        <v>#N/A</v>
      </c>
    </row>
    <row r="88" spans="1:14" x14ac:dyDescent="0.25">
      <c r="A88" s="7">
        <v>86</v>
      </c>
      <c r="B88" s="103">
        <f t="shared" ca="1" si="12"/>
        <v>0.77021197544956199</v>
      </c>
      <c r="C88" s="7" t="str">
        <f>'PL1'!H95</f>
        <v>PL1-185</v>
      </c>
      <c r="D88" s="161"/>
      <c r="E88" s="162"/>
      <c r="F88" s="103">
        <f t="shared" ca="1" si="13"/>
        <v>0.11331551433980291</v>
      </c>
      <c r="G88" s="7" t="str">
        <f>'PL2'!H95</f>
        <v>PL2-185</v>
      </c>
      <c r="H88" s="161"/>
      <c r="I88" s="219"/>
      <c r="K88" s="141" t="str">
        <f t="shared" si="9"/>
        <v>PL2-08-B</v>
      </c>
      <c r="L88" s="141">
        <f t="shared" si="10"/>
        <v>0</v>
      </c>
      <c r="M88" s="141" t="e">
        <f>VLOOKUP(L88,'PL2'!H:J,3,0)</f>
        <v>#N/A</v>
      </c>
      <c r="N88" s="109" t="e">
        <f t="shared" si="11"/>
        <v>#N/A</v>
      </c>
    </row>
    <row r="89" spans="1:14" x14ac:dyDescent="0.25">
      <c r="A89" s="7">
        <v>87</v>
      </c>
      <c r="B89" s="103">
        <f t="shared" ca="1" si="12"/>
        <v>0.45358749736497406</v>
      </c>
      <c r="C89" s="7" t="str">
        <f>'PL1'!H96</f>
        <v>PL1-186</v>
      </c>
      <c r="D89" s="161"/>
      <c r="E89" s="162"/>
      <c r="F89" s="103">
        <f t="shared" ca="1" si="13"/>
        <v>9.8308563347798805E-2</v>
      </c>
      <c r="G89" s="7" t="str">
        <f>'PL2'!H96</f>
        <v>PL2-186</v>
      </c>
      <c r="H89" s="161"/>
      <c r="I89" s="219"/>
      <c r="K89" s="141" t="str">
        <f t="shared" si="9"/>
        <v>PL2-08-C</v>
      </c>
      <c r="L89" s="141">
        <f t="shared" si="10"/>
        <v>0</v>
      </c>
      <c r="M89" s="141" t="e">
        <f>VLOOKUP(L89,'PL2'!H:J,3,0)</f>
        <v>#N/A</v>
      </c>
      <c r="N89" s="109" t="e">
        <f t="shared" si="11"/>
        <v>#N/A</v>
      </c>
    </row>
    <row r="90" spans="1:14" x14ac:dyDescent="0.25">
      <c r="A90" s="7">
        <v>88</v>
      </c>
      <c r="B90" s="103">
        <f t="shared" ca="1" si="12"/>
        <v>0.38899181185674425</v>
      </c>
      <c r="C90" s="7" t="str">
        <f>'PL1'!H97</f>
        <v>PL1-187</v>
      </c>
      <c r="D90" s="161"/>
      <c r="E90" s="162"/>
      <c r="F90" s="103">
        <f t="shared" ca="1" si="13"/>
        <v>0.23830237730890247</v>
      </c>
      <c r="G90" s="7" t="str">
        <f>'PL2'!H97</f>
        <v>PL2-187</v>
      </c>
      <c r="H90" s="161"/>
      <c r="I90" s="219"/>
      <c r="K90" s="141" t="str">
        <f t="shared" si="9"/>
        <v>PL2-09-A</v>
      </c>
      <c r="L90" s="141">
        <f t="shared" si="10"/>
        <v>0</v>
      </c>
      <c r="M90" s="141" t="e">
        <f>VLOOKUP(L90,'PL2'!H:J,3,0)</f>
        <v>#N/A</v>
      </c>
      <c r="N90" s="109" t="e">
        <f t="shared" si="11"/>
        <v>#N/A</v>
      </c>
    </row>
    <row r="91" spans="1:14" x14ac:dyDescent="0.25">
      <c r="A91" s="7">
        <v>89</v>
      </c>
      <c r="B91" s="103">
        <f t="shared" ca="1" si="12"/>
        <v>0.18063814452080929</v>
      </c>
      <c r="C91" s="7" t="str">
        <f>'PL1'!H98</f>
        <v>PL1-188</v>
      </c>
      <c r="D91" s="161"/>
      <c r="E91" s="162"/>
      <c r="F91" s="103">
        <f t="shared" ca="1" si="13"/>
        <v>0.80451914660457824</v>
      </c>
      <c r="G91" s="7" t="str">
        <f>'PL2'!H98</f>
        <v>PL2-188</v>
      </c>
      <c r="H91" s="161"/>
      <c r="I91" s="219"/>
      <c r="K91" s="141" t="str">
        <f t="shared" si="9"/>
        <v>PL2-09-B</v>
      </c>
      <c r="L91" s="141">
        <f t="shared" si="10"/>
        <v>0</v>
      </c>
      <c r="M91" s="141" t="e">
        <f>VLOOKUP(L91,'PL2'!H:J,3,0)</f>
        <v>#N/A</v>
      </c>
      <c r="N91" s="109" t="e">
        <f t="shared" si="11"/>
        <v>#N/A</v>
      </c>
    </row>
    <row r="92" spans="1:14" x14ac:dyDescent="0.25">
      <c r="A92" s="7">
        <v>90</v>
      </c>
      <c r="B92" s="103">
        <f t="shared" ca="1" si="12"/>
        <v>5.4328867371575051E-2</v>
      </c>
      <c r="C92" s="7" t="str">
        <f>'PL1'!H99</f>
        <v>PL1-189</v>
      </c>
      <c r="D92" s="161"/>
      <c r="E92" s="162"/>
      <c r="F92" s="103">
        <f t="shared" ca="1" si="13"/>
        <v>0.30288938047253067</v>
      </c>
      <c r="G92" s="7" t="str">
        <f>'PL2'!H99</f>
        <v>PL2-189</v>
      </c>
      <c r="H92" s="220"/>
      <c r="I92" s="219"/>
      <c r="K92" s="141" t="str">
        <f t="shared" si="9"/>
        <v>PL2-09-C</v>
      </c>
      <c r="L92" s="141">
        <f t="shared" si="10"/>
        <v>0</v>
      </c>
      <c r="M92" s="141" t="e">
        <f>VLOOKUP(L92,'PL2'!H:J,3,0)</f>
        <v>#N/A</v>
      </c>
      <c r="N92" s="109" t="e">
        <f t="shared" si="11"/>
        <v>#N/A</v>
      </c>
    </row>
    <row r="93" spans="1:14" x14ac:dyDescent="0.25">
      <c r="A93" s="7">
        <v>91</v>
      </c>
      <c r="B93" s="103">
        <f t="shared" ca="1" si="12"/>
        <v>0.15030297047613483</v>
      </c>
      <c r="C93" s="7" t="str">
        <f>'PL1'!H100</f>
        <v>PL1-190</v>
      </c>
      <c r="D93" s="161"/>
      <c r="E93" s="162"/>
      <c r="F93" s="103">
        <f t="shared" ca="1" si="13"/>
        <v>0.71743617911736379</v>
      </c>
      <c r="G93" s="7" t="str">
        <f>'PL2'!H100</f>
        <v>PL2-190</v>
      </c>
      <c r="H93" s="161"/>
      <c r="I93" s="219"/>
      <c r="K93" s="141" t="str">
        <f t="shared" si="9"/>
        <v>PL2-10-A</v>
      </c>
      <c r="L93" s="141">
        <f t="shared" si="10"/>
        <v>0</v>
      </c>
      <c r="M93" s="141" t="e">
        <f>VLOOKUP(L93,'PL2'!H:J,3,0)</f>
        <v>#N/A</v>
      </c>
      <c r="N93" s="109" t="e">
        <f t="shared" si="11"/>
        <v>#N/A</v>
      </c>
    </row>
    <row r="94" spans="1:14" x14ac:dyDescent="0.25">
      <c r="A94" s="7">
        <v>92</v>
      </c>
      <c r="B94" s="103">
        <f t="shared" ca="1" si="12"/>
        <v>0.62782456070291293</v>
      </c>
      <c r="C94" s="7" t="str">
        <f>'PL1'!H101</f>
        <v>PL1-191</v>
      </c>
      <c r="D94" s="161"/>
      <c r="E94" s="162"/>
      <c r="F94" s="103">
        <f t="shared" ca="1" si="13"/>
        <v>1.810539038408443E-3</v>
      </c>
      <c r="G94" s="7" t="str">
        <f>'PL2'!H101</f>
        <v>PL2-191</v>
      </c>
      <c r="H94" s="161"/>
      <c r="I94" s="219"/>
      <c r="K94" s="141" t="str">
        <f t="shared" si="9"/>
        <v>PL2-10-B</v>
      </c>
      <c r="L94" s="141">
        <f t="shared" si="10"/>
        <v>0</v>
      </c>
      <c r="M94" s="141" t="e">
        <f>VLOOKUP(L94,'PL2'!H:J,3,0)</f>
        <v>#N/A</v>
      </c>
      <c r="N94" s="109" t="e">
        <f t="shared" si="11"/>
        <v>#N/A</v>
      </c>
    </row>
    <row r="95" spans="1:14" x14ac:dyDescent="0.25">
      <c r="A95" s="7">
        <v>93</v>
      </c>
      <c r="B95" s="103">
        <f t="shared" ca="1" si="12"/>
        <v>0.8396873692822967</v>
      </c>
      <c r="C95" s="7" t="str">
        <f>'PL1'!H102</f>
        <v>PL1-192</v>
      </c>
      <c r="D95" s="161"/>
      <c r="E95" s="162"/>
      <c r="F95" s="103">
        <f t="shared" ca="1" si="13"/>
        <v>0.60427641284176437</v>
      </c>
      <c r="G95" s="7" t="str">
        <f>'PL2'!H102</f>
        <v>PL2-192</v>
      </c>
      <c r="H95" s="161"/>
      <c r="I95" s="219"/>
      <c r="K95" s="141" t="str">
        <f t="shared" si="9"/>
        <v>PL2-10-C</v>
      </c>
      <c r="L95" s="141">
        <f t="shared" si="10"/>
        <v>0</v>
      </c>
      <c r="M95" s="141" t="e">
        <f>VLOOKUP(L95,'PL2'!H:J,3,0)</f>
        <v>#N/A</v>
      </c>
      <c r="N95" s="109" t="e">
        <f t="shared" si="11"/>
        <v>#N/A</v>
      </c>
    </row>
    <row r="96" spans="1:14" x14ac:dyDescent="0.25">
      <c r="A96" s="7">
        <v>94</v>
      </c>
      <c r="B96" s="103">
        <f t="shared" ca="1" si="12"/>
        <v>0.96058611844060049</v>
      </c>
      <c r="C96" s="7" t="str">
        <f>'PL1'!H103</f>
        <v>PL1-193</v>
      </c>
      <c r="D96" s="161"/>
      <c r="E96" s="162"/>
      <c r="F96" s="103">
        <f t="shared" ca="1" si="13"/>
        <v>0.21509594143723598</v>
      </c>
      <c r="G96" s="7" t="str">
        <f>'PL2'!H103</f>
        <v>PL2-193</v>
      </c>
      <c r="H96" s="161"/>
      <c r="I96" s="219"/>
      <c r="K96" s="141" t="str">
        <f t="shared" si="9"/>
        <v>PL2-11-A</v>
      </c>
      <c r="L96" s="141">
        <f t="shared" si="10"/>
        <v>0</v>
      </c>
      <c r="M96" s="141" t="e">
        <f>VLOOKUP(L96,'PL2'!H:J,3,0)</f>
        <v>#N/A</v>
      </c>
      <c r="N96" s="109" t="e">
        <f t="shared" si="11"/>
        <v>#N/A</v>
      </c>
    </row>
    <row r="97" spans="1:14" x14ac:dyDescent="0.25">
      <c r="A97" s="7">
        <v>95</v>
      </c>
      <c r="B97" s="103">
        <f t="shared" ca="1" si="12"/>
        <v>0.54617657482770121</v>
      </c>
      <c r="C97" s="7" t="str">
        <f>'PL1'!H104</f>
        <v>PL1-194</v>
      </c>
      <c r="D97" s="161"/>
      <c r="E97" s="162"/>
      <c r="F97" s="103">
        <f t="shared" ca="1" si="13"/>
        <v>0.97179872231418696</v>
      </c>
      <c r="G97" s="7" t="str">
        <f>'PL2'!H104</f>
        <v>PL2-194</v>
      </c>
      <c r="H97" s="161"/>
      <c r="I97" s="219"/>
      <c r="K97" s="141" t="str">
        <f t="shared" si="9"/>
        <v>PL2-11-B</v>
      </c>
      <c r="L97" s="141">
        <f t="shared" si="10"/>
        <v>0</v>
      </c>
      <c r="M97" s="141" t="e">
        <f>VLOOKUP(L97,'PL2'!H:J,3,0)</f>
        <v>#N/A</v>
      </c>
      <c r="N97" s="109" t="e">
        <f t="shared" si="11"/>
        <v>#N/A</v>
      </c>
    </row>
    <row r="98" spans="1:14" x14ac:dyDescent="0.25">
      <c r="A98" s="7">
        <v>96</v>
      </c>
      <c r="B98" s="103">
        <f t="shared" ca="1" si="12"/>
        <v>0.20060371116847509</v>
      </c>
      <c r="C98" s="7" t="str">
        <f>'PL1'!H105</f>
        <v>PL1-195</v>
      </c>
      <c r="D98" s="161"/>
      <c r="E98" s="162"/>
      <c r="F98" s="103">
        <f t="shared" ca="1" si="13"/>
        <v>0.84468976049034117</v>
      </c>
      <c r="G98" s="7" t="str">
        <f>'PL2'!H105</f>
        <v>PL2-195</v>
      </c>
      <c r="H98" s="220"/>
      <c r="I98" s="219"/>
      <c r="K98" s="141" t="str">
        <f t="shared" ref="K98:K128" si="14">"PL2"&amp;RIGHT(K35,5)</f>
        <v>PL2-11-C</v>
      </c>
      <c r="L98" s="141">
        <f t="shared" ref="L98:L128" si="15">I35</f>
        <v>0</v>
      </c>
      <c r="M98" s="141" t="e">
        <f>VLOOKUP(L98,'PL2'!H:J,3,0)</f>
        <v>#N/A</v>
      </c>
      <c r="N98" s="109" t="e">
        <f t="shared" si="11"/>
        <v>#N/A</v>
      </c>
    </row>
    <row r="99" spans="1:14" x14ac:dyDescent="0.25">
      <c r="A99" s="7">
        <v>97</v>
      </c>
      <c r="B99" s="103">
        <f t="shared" ca="1" si="12"/>
        <v>0.19658085529130376</v>
      </c>
      <c r="C99" s="7" t="str">
        <f>'PL1'!H106</f>
        <v>PL1-196</v>
      </c>
      <c r="D99" s="161"/>
      <c r="E99" s="162"/>
      <c r="F99" s="103">
        <f t="shared" ca="1" si="13"/>
        <v>0.87419806981239612</v>
      </c>
      <c r="G99" s="7" t="str">
        <f>'PL2'!H106</f>
        <v>PL2-196</v>
      </c>
      <c r="H99" s="161"/>
      <c r="I99" s="219"/>
      <c r="K99" s="141" t="str">
        <f t="shared" si="14"/>
        <v>PL2-12-A</v>
      </c>
      <c r="L99" s="141">
        <f t="shared" si="15"/>
        <v>0</v>
      </c>
      <c r="M99" s="141" t="e">
        <f>VLOOKUP(L99,'PL2'!H:J,3,0)</f>
        <v>#N/A</v>
      </c>
      <c r="N99" s="109" t="e">
        <f t="shared" ref="N99:N128" si="16">VLOOKUP(LEFT(K99,6),$Q$8:$R$49,2,0)</f>
        <v>#N/A</v>
      </c>
    </row>
    <row r="100" spans="1:14" x14ac:dyDescent="0.25">
      <c r="A100" s="7">
        <v>98</v>
      </c>
      <c r="B100" s="103">
        <f t="shared" ca="1" si="12"/>
        <v>0.76240863678712245</v>
      </c>
      <c r="C100" s="7" t="str">
        <f>'PL1'!H107</f>
        <v>PL1-197</v>
      </c>
      <c r="D100" s="161"/>
      <c r="E100" s="162"/>
      <c r="F100" s="103">
        <f t="shared" ca="1" si="13"/>
        <v>0.56352472967434664</v>
      </c>
      <c r="G100" s="7" t="str">
        <f>'PL2'!H107</f>
        <v>PL2-197</v>
      </c>
      <c r="H100" s="161"/>
      <c r="I100" s="219"/>
      <c r="K100" s="141" t="str">
        <f t="shared" si="14"/>
        <v>PL2-12-B</v>
      </c>
      <c r="L100" s="141">
        <f t="shared" si="15"/>
        <v>0</v>
      </c>
      <c r="M100" s="141" t="e">
        <f>VLOOKUP(L100,'PL2'!H:J,3,0)</f>
        <v>#N/A</v>
      </c>
      <c r="N100" s="109" t="e">
        <f t="shared" si="16"/>
        <v>#N/A</v>
      </c>
    </row>
    <row r="101" spans="1:14" x14ac:dyDescent="0.25">
      <c r="A101" s="7">
        <v>99</v>
      </c>
      <c r="B101" s="103">
        <f t="shared" ca="1" si="12"/>
        <v>0.58121953650470293</v>
      </c>
      <c r="C101" s="7" t="str">
        <f>'PL1'!H108</f>
        <v>PL1-198</v>
      </c>
      <c r="D101" s="161"/>
      <c r="E101" s="162"/>
      <c r="F101" s="103">
        <f t="shared" ca="1" si="13"/>
        <v>1.2827370023795193E-2</v>
      </c>
      <c r="G101" s="7" t="str">
        <f>'PL2'!H108</f>
        <v>PL2-198</v>
      </c>
      <c r="H101" s="161"/>
      <c r="I101" s="219"/>
      <c r="K101" s="141" t="str">
        <f t="shared" si="14"/>
        <v>PL2-12-C</v>
      </c>
      <c r="L101" s="141">
        <f t="shared" si="15"/>
        <v>0</v>
      </c>
      <c r="M101" s="141" t="e">
        <f>VLOOKUP(L101,'PL2'!H:J,3,0)</f>
        <v>#N/A</v>
      </c>
      <c r="N101" s="109" t="e">
        <f t="shared" si="16"/>
        <v>#N/A</v>
      </c>
    </row>
    <row r="102" spans="1:14" x14ac:dyDescent="0.25">
      <c r="A102" s="7">
        <v>100</v>
      </c>
      <c r="B102" s="103">
        <f t="shared" ca="1" si="12"/>
        <v>0.68691766406935373</v>
      </c>
      <c r="C102" s="7" t="str">
        <f>'PL1'!H109</f>
        <v>PL1-199</v>
      </c>
      <c r="D102" s="161"/>
      <c r="E102" s="162"/>
      <c r="F102" s="103">
        <f t="shared" ca="1" si="13"/>
        <v>0.84772404580104821</v>
      </c>
      <c r="G102" s="7" t="str">
        <f>'PL2'!H109</f>
        <v>PL2-199</v>
      </c>
      <c r="H102" s="161"/>
      <c r="I102" s="219"/>
      <c r="K102" s="141" t="str">
        <f t="shared" si="14"/>
        <v>PL2-13-A</v>
      </c>
      <c r="L102" s="141">
        <f t="shared" si="15"/>
        <v>0</v>
      </c>
      <c r="M102" s="141" t="e">
        <f>VLOOKUP(L102,'PL2'!H:J,3,0)</f>
        <v>#N/A</v>
      </c>
      <c r="N102" s="109" t="e">
        <f t="shared" si="16"/>
        <v>#N/A</v>
      </c>
    </row>
    <row r="103" spans="1:14" x14ac:dyDescent="0.25">
      <c r="A103" s="7">
        <v>101</v>
      </c>
      <c r="B103" s="103">
        <f t="shared" ca="1" si="12"/>
        <v>0.13163570470377861</v>
      </c>
      <c r="C103" s="7" t="str">
        <f>'PL1'!H110</f>
        <v>PL1-200</v>
      </c>
      <c r="D103" s="161"/>
      <c r="E103" s="162"/>
      <c r="F103" s="103">
        <f t="shared" ca="1" si="13"/>
        <v>0.45569115702198804</v>
      </c>
      <c r="G103" s="7" t="str">
        <f>'PL2'!H110</f>
        <v>PL2-200</v>
      </c>
      <c r="H103" s="161"/>
      <c r="I103" s="219"/>
      <c r="K103" s="141" t="str">
        <f t="shared" si="14"/>
        <v>PL2-13-B</v>
      </c>
      <c r="L103" s="141">
        <f t="shared" si="15"/>
        <v>0</v>
      </c>
      <c r="M103" s="141" t="e">
        <f>VLOOKUP(L103,'PL2'!H:J,3,0)</f>
        <v>#N/A</v>
      </c>
      <c r="N103" s="109" t="e">
        <f t="shared" si="16"/>
        <v>#N/A</v>
      </c>
    </row>
    <row r="104" spans="1:14" x14ac:dyDescent="0.25">
      <c r="A104" s="7">
        <v>102</v>
      </c>
      <c r="B104" s="103">
        <f t="shared" ca="1" si="12"/>
        <v>0.56970667303053413</v>
      </c>
      <c r="C104" s="7" t="str">
        <f>'PL1'!H111</f>
        <v>PL1-201</v>
      </c>
      <c r="D104" s="161"/>
      <c r="E104" s="162"/>
      <c r="F104" s="103">
        <f t="shared" ca="1" si="13"/>
        <v>0.33795484543541343</v>
      </c>
      <c r="G104" s="7" t="str">
        <f>'PL2'!H111</f>
        <v>PL2-201</v>
      </c>
      <c r="H104" s="161"/>
      <c r="I104" s="219"/>
      <c r="K104" s="141" t="str">
        <f t="shared" si="14"/>
        <v>PL2-13-C</v>
      </c>
      <c r="L104" s="141">
        <f t="shared" si="15"/>
        <v>0</v>
      </c>
      <c r="M104" s="141" t="e">
        <f>VLOOKUP(L104,'PL2'!H:J,3,0)</f>
        <v>#N/A</v>
      </c>
      <c r="N104" s="109" t="e">
        <f t="shared" si="16"/>
        <v>#N/A</v>
      </c>
    </row>
    <row r="105" spans="1:14" x14ac:dyDescent="0.25">
      <c r="A105" s="7">
        <v>103</v>
      </c>
      <c r="B105" s="103">
        <f t="shared" ca="1" si="12"/>
        <v>0.17982549580332274</v>
      </c>
      <c r="C105" s="7" t="str">
        <f>'PL1'!H112</f>
        <v>PL1-202</v>
      </c>
      <c r="D105" s="161"/>
      <c r="E105" s="162"/>
      <c r="F105" s="103">
        <f t="shared" ca="1" si="13"/>
        <v>0.60297003204507726</v>
      </c>
      <c r="G105" s="7" t="str">
        <f>'PL2'!H112</f>
        <v>PL2-202</v>
      </c>
      <c r="H105" s="161"/>
      <c r="I105" s="219"/>
      <c r="K105" s="141" t="str">
        <f t="shared" si="14"/>
        <v>PL2-14-A</v>
      </c>
      <c r="L105" s="141">
        <f t="shared" si="15"/>
        <v>0</v>
      </c>
      <c r="M105" s="141" t="e">
        <f>VLOOKUP(L105,'PL2'!H:J,3,0)</f>
        <v>#N/A</v>
      </c>
      <c r="N105" s="109" t="e">
        <f t="shared" si="16"/>
        <v>#N/A</v>
      </c>
    </row>
    <row r="106" spans="1:14" x14ac:dyDescent="0.25">
      <c r="A106" s="7">
        <v>104</v>
      </c>
      <c r="B106" s="103">
        <f t="shared" ca="1" si="12"/>
        <v>0.44076324979830339</v>
      </c>
      <c r="C106" s="7" t="str">
        <f>'PL1'!H113</f>
        <v>PL1-203</v>
      </c>
      <c r="D106" s="161"/>
      <c r="E106" s="162"/>
      <c r="F106" s="103">
        <f t="shared" ca="1" si="13"/>
        <v>0.33341512502103055</v>
      </c>
      <c r="G106" s="7" t="str">
        <f>'PL2'!H113</f>
        <v>PL2-203</v>
      </c>
      <c r="H106" s="161"/>
      <c r="I106" s="219"/>
      <c r="K106" s="141" t="str">
        <f t="shared" si="14"/>
        <v>PL2-14-B</v>
      </c>
      <c r="L106" s="141">
        <f t="shared" si="15"/>
        <v>0</v>
      </c>
      <c r="M106" s="141" t="e">
        <f>VLOOKUP(L106,'PL2'!H:J,3,0)</f>
        <v>#N/A</v>
      </c>
      <c r="N106" s="109" t="e">
        <f t="shared" si="16"/>
        <v>#N/A</v>
      </c>
    </row>
    <row r="107" spans="1:14" x14ac:dyDescent="0.25">
      <c r="A107" s="7">
        <v>105</v>
      </c>
      <c r="B107" s="103">
        <f t="shared" ca="1" si="12"/>
        <v>0.88171734743051</v>
      </c>
      <c r="C107" s="7" t="str">
        <f>'PL1'!H114</f>
        <v>PL1-204</v>
      </c>
      <c r="D107" s="161"/>
      <c r="E107" s="162"/>
      <c r="F107" s="103">
        <f t="shared" ca="1" si="13"/>
        <v>0.22365572976895443</v>
      </c>
      <c r="G107" s="7" t="str">
        <f>'PL2'!H114</f>
        <v>PL2-204</v>
      </c>
      <c r="H107" s="161"/>
      <c r="I107" s="219"/>
      <c r="K107" s="141" t="str">
        <f t="shared" si="14"/>
        <v>PL2-14-C</v>
      </c>
      <c r="L107" s="141">
        <f t="shared" si="15"/>
        <v>0</v>
      </c>
      <c r="M107" s="141" t="e">
        <f>VLOOKUP(L107,'PL2'!H:J,3,0)</f>
        <v>#N/A</v>
      </c>
      <c r="N107" s="109" t="e">
        <f t="shared" si="16"/>
        <v>#N/A</v>
      </c>
    </row>
    <row r="108" spans="1:14" x14ac:dyDescent="0.25">
      <c r="A108" s="7">
        <v>106</v>
      </c>
      <c r="B108" s="103">
        <f t="shared" ca="1" si="12"/>
        <v>0.33736784582407986</v>
      </c>
      <c r="C108" s="7" t="str">
        <f>'PL1'!H115</f>
        <v>PL1-205</v>
      </c>
      <c r="D108" s="161"/>
      <c r="E108" s="162"/>
      <c r="F108" s="103">
        <f t="shared" ca="1" si="13"/>
        <v>0.18930576066370575</v>
      </c>
      <c r="G108" s="7" t="str">
        <f>'PL2'!H115</f>
        <v>PL2-205</v>
      </c>
      <c r="H108" s="161"/>
      <c r="I108" s="219"/>
      <c r="K108" s="141" t="str">
        <f t="shared" si="14"/>
        <v>PL2-15-A</v>
      </c>
      <c r="L108" s="141">
        <f t="shared" si="15"/>
        <v>0</v>
      </c>
      <c r="M108" s="141" t="e">
        <f>VLOOKUP(L108,'PL2'!H:J,3,0)</f>
        <v>#N/A</v>
      </c>
      <c r="N108" s="109" t="e">
        <f t="shared" si="16"/>
        <v>#N/A</v>
      </c>
    </row>
    <row r="109" spans="1:14" x14ac:dyDescent="0.25">
      <c r="A109" s="7">
        <v>107</v>
      </c>
      <c r="B109" s="103">
        <f t="shared" ca="1" si="12"/>
        <v>0.98103740925424765</v>
      </c>
      <c r="C109" s="7" t="str">
        <f>'PL1'!H116</f>
        <v>PL1-206</v>
      </c>
      <c r="D109" s="161"/>
      <c r="E109" s="162"/>
      <c r="F109" s="103">
        <f t="shared" ca="1" si="13"/>
        <v>0.89627027114837721</v>
      </c>
      <c r="G109" s="7" t="str">
        <f>'PL2'!H116</f>
        <v>PL2-206</v>
      </c>
      <c r="H109" s="161"/>
      <c r="I109" s="219"/>
      <c r="K109" s="141" t="str">
        <f t="shared" si="14"/>
        <v>PL2-15-B</v>
      </c>
      <c r="L109" s="141">
        <f t="shared" si="15"/>
        <v>0</v>
      </c>
      <c r="M109" s="141" t="e">
        <f>VLOOKUP(L109,'PL2'!H:J,3,0)</f>
        <v>#N/A</v>
      </c>
      <c r="N109" s="109" t="e">
        <f t="shared" si="16"/>
        <v>#N/A</v>
      </c>
    </row>
    <row r="110" spans="1:14" x14ac:dyDescent="0.25">
      <c r="A110" s="7">
        <v>108</v>
      </c>
      <c r="B110" s="103">
        <f t="shared" ca="1" si="12"/>
        <v>0.31228481290723387</v>
      </c>
      <c r="C110" s="7" t="str">
        <f>'PL1'!H117</f>
        <v>PL1-207</v>
      </c>
      <c r="D110" s="161"/>
      <c r="E110" s="162"/>
      <c r="F110" s="103">
        <f t="shared" ca="1" si="13"/>
        <v>0.46508024802526549</v>
      </c>
      <c r="G110" s="7" t="str">
        <f>'PL2'!H117</f>
        <v>PL2-207</v>
      </c>
      <c r="H110" s="161"/>
      <c r="I110" s="219"/>
      <c r="K110" s="141" t="str">
        <f t="shared" si="14"/>
        <v>PL2-15-C</v>
      </c>
      <c r="L110" s="141">
        <f t="shared" si="15"/>
        <v>0</v>
      </c>
      <c r="M110" s="141" t="e">
        <f>VLOOKUP(L110,'PL2'!H:J,3,0)</f>
        <v>#N/A</v>
      </c>
      <c r="N110" s="109" t="e">
        <f t="shared" si="16"/>
        <v>#N/A</v>
      </c>
    </row>
    <row r="111" spans="1:14" x14ac:dyDescent="0.25">
      <c r="A111" s="7">
        <v>109</v>
      </c>
      <c r="B111" s="103">
        <f t="shared" ca="1" si="12"/>
        <v>0.33608558371834962</v>
      </c>
      <c r="C111" s="7" t="str">
        <f>'PL1'!H118</f>
        <v>PL1-208</v>
      </c>
      <c r="D111" s="161"/>
      <c r="E111" s="162"/>
      <c r="F111" s="103">
        <f t="shared" ca="1" si="13"/>
        <v>0.52386230873200257</v>
      </c>
      <c r="G111" s="7" t="str">
        <f>'PL2'!H118</f>
        <v>PL2-208</v>
      </c>
      <c r="H111" s="161"/>
      <c r="I111" s="219"/>
      <c r="K111" s="141" t="str">
        <f t="shared" si="14"/>
        <v>PL2-16-A</v>
      </c>
      <c r="L111" s="141">
        <f t="shared" si="15"/>
        <v>0</v>
      </c>
      <c r="M111" s="141" t="e">
        <f>VLOOKUP(L111,'PL2'!H:J,3,0)</f>
        <v>#N/A</v>
      </c>
      <c r="N111" s="109" t="e">
        <f t="shared" si="16"/>
        <v>#N/A</v>
      </c>
    </row>
    <row r="112" spans="1:14" x14ac:dyDescent="0.25">
      <c r="A112" s="7">
        <v>110</v>
      </c>
      <c r="B112" s="103">
        <f t="shared" ca="1" si="12"/>
        <v>0.85650766685032664</v>
      </c>
      <c r="C112" s="7" t="str">
        <f>'PL1'!H119</f>
        <v>PL1-209</v>
      </c>
      <c r="D112" s="161"/>
      <c r="E112" s="162"/>
      <c r="F112" s="103">
        <f t="shared" ca="1" si="13"/>
        <v>0.1172278625248887</v>
      </c>
      <c r="G112" s="7" t="str">
        <f>'PL2'!H119</f>
        <v>PL2-209</v>
      </c>
      <c r="H112" s="161"/>
      <c r="I112" s="219"/>
      <c r="K112" s="141" t="str">
        <f t="shared" si="14"/>
        <v>PL2-16-B</v>
      </c>
      <c r="L112" s="141">
        <f t="shared" si="15"/>
        <v>0</v>
      </c>
      <c r="M112" s="141" t="e">
        <f>VLOOKUP(L112,'PL2'!H:J,3,0)</f>
        <v>#N/A</v>
      </c>
      <c r="N112" s="109" t="e">
        <f t="shared" si="16"/>
        <v>#N/A</v>
      </c>
    </row>
    <row r="113" spans="1:14" x14ac:dyDescent="0.25">
      <c r="A113" s="7">
        <v>111</v>
      </c>
      <c r="B113" s="103">
        <f t="shared" ca="1" si="12"/>
        <v>9.9313918908806142E-2</v>
      </c>
      <c r="C113" s="7" t="str">
        <f>'PL1'!H120</f>
        <v>PL1-210</v>
      </c>
      <c r="D113" s="161"/>
      <c r="E113" s="162"/>
      <c r="F113" s="103">
        <f t="shared" ca="1" si="13"/>
        <v>0.40687823815471191</v>
      </c>
      <c r="G113" s="7" t="str">
        <f>'PL2'!H120</f>
        <v>PL2-210</v>
      </c>
      <c r="H113" s="161"/>
      <c r="I113" s="219"/>
      <c r="K113" s="141" t="str">
        <f t="shared" si="14"/>
        <v>PL2-16-C</v>
      </c>
      <c r="L113" s="141">
        <f t="shared" si="15"/>
        <v>0</v>
      </c>
      <c r="M113" s="141" t="e">
        <f>VLOOKUP(L113,'PL2'!H:J,3,0)</f>
        <v>#N/A</v>
      </c>
      <c r="N113" s="109" t="e">
        <f t="shared" si="16"/>
        <v>#N/A</v>
      </c>
    </row>
    <row r="114" spans="1:14" x14ac:dyDescent="0.25">
      <c r="A114" s="7">
        <v>112</v>
      </c>
      <c r="B114" s="103">
        <f t="shared" ca="1" si="12"/>
        <v>0.66054050835220846</v>
      </c>
      <c r="C114" s="7" t="str">
        <f>'PL1'!H121</f>
        <v>PL1-211</v>
      </c>
      <c r="D114" s="161"/>
      <c r="E114" s="162"/>
      <c r="F114" s="103">
        <f t="shared" ca="1" si="13"/>
        <v>0.31325532118449484</v>
      </c>
      <c r="G114" s="7" t="str">
        <f>'PL2'!H121</f>
        <v>PL2-211</v>
      </c>
      <c r="H114" s="161"/>
      <c r="I114" s="219"/>
      <c r="K114" s="141" t="str">
        <f t="shared" si="14"/>
        <v>PL2-17-A</v>
      </c>
      <c r="L114" s="141">
        <f t="shared" si="15"/>
        <v>0</v>
      </c>
      <c r="M114" s="141" t="e">
        <f>VLOOKUP(L114,'PL2'!H:J,3,0)</f>
        <v>#N/A</v>
      </c>
      <c r="N114" s="109" t="e">
        <f t="shared" si="16"/>
        <v>#N/A</v>
      </c>
    </row>
    <row r="115" spans="1:14" x14ac:dyDescent="0.25">
      <c r="A115" s="7">
        <v>113</v>
      </c>
      <c r="B115" s="103">
        <f t="shared" ca="1" si="12"/>
        <v>0.23604183278678259</v>
      </c>
      <c r="C115" s="7" t="str">
        <f>'PL1'!H122</f>
        <v>PL1-212</v>
      </c>
      <c r="D115" s="161"/>
      <c r="E115" s="162"/>
      <c r="F115" s="103">
        <f t="shared" ca="1" si="13"/>
        <v>0.3562332582397173</v>
      </c>
      <c r="G115" s="7" t="str">
        <f>'PL2'!H122</f>
        <v>PL2-212</v>
      </c>
      <c r="H115" s="161"/>
      <c r="I115" s="219"/>
      <c r="K115" s="141" t="str">
        <f t="shared" si="14"/>
        <v>PL2-17-B</v>
      </c>
      <c r="L115" s="141">
        <f t="shared" si="15"/>
        <v>0</v>
      </c>
      <c r="M115" s="141" t="e">
        <f>VLOOKUP(L115,'PL2'!H:J,3,0)</f>
        <v>#N/A</v>
      </c>
      <c r="N115" s="109" t="e">
        <f t="shared" si="16"/>
        <v>#N/A</v>
      </c>
    </row>
    <row r="116" spans="1:14" x14ac:dyDescent="0.25">
      <c r="A116" s="7">
        <v>114</v>
      </c>
      <c r="B116" s="103">
        <f t="shared" ca="1" si="12"/>
        <v>0.41812347412471029</v>
      </c>
      <c r="C116" s="7" t="str">
        <f>'PL1'!H123</f>
        <v>PL1-213</v>
      </c>
      <c r="D116" s="161"/>
      <c r="E116" s="162"/>
      <c r="F116" s="103">
        <f t="shared" ca="1" si="13"/>
        <v>0.79324207313850081</v>
      </c>
      <c r="G116" s="7" t="str">
        <f>'PL2'!H123</f>
        <v>PL2-213</v>
      </c>
      <c r="H116" s="161"/>
      <c r="I116" s="219"/>
      <c r="K116" s="141" t="str">
        <f t="shared" si="14"/>
        <v>PL2-17-C</v>
      </c>
      <c r="L116" s="141">
        <f t="shared" si="15"/>
        <v>0</v>
      </c>
      <c r="M116" s="141" t="e">
        <f>VLOOKUP(L116,'PL2'!H:J,3,0)</f>
        <v>#N/A</v>
      </c>
      <c r="N116" s="109" t="e">
        <f t="shared" si="16"/>
        <v>#N/A</v>
      </c>
    </row>
    <row r="117" spans="1:14" x14ac:dyDescent="0.25">
      <c r="A117" s="7">
        <v>115</v>
      </c>
      <c r="B117" s="103">
        <f t="shared" ca="1" si="12"/>
        <v>0.84485953632344113</v>
      </c>
      <c r="C117" s="7" t="str">
        <f>'PL1'!H124</f>
        <v>PL1-214</v>
      </c>
      <c r="D117" s="161"/>
      <c r="E117" s="162"/>
      <c r="F117" s="103">
        <f t="shared" ca="1" si="13"/>
        <v>0.30970481057772847</v>
      </c>
      <c r="G117" s="7" t="str">
        <f>'PL2'!H124</f>
        <v>PL2-214</v>
      </c>
      <c r="H117" s="161"/>
      <c r="I117" s="219"/>
      <c r="K117" s="141" t="str">
        <f t="shared" si="14"/>
        <v>PL2-18-A</v>
      </c>
      <c r="L117" s="141">
        <f t="shared" si="15"/>
        <v>0</v>
      </c>
      <c r="M117" s="141" t="e">
        <f>VLOOKUP(L117,'PL2'!H:J,3,0)</f>
        <v>#N/A</v>
      </c>
      <c r="N117" s="109" t="e">
        <f t="shared" si="16"/>
        <v>#N/A</v>
      </c>
    </row>
    <row r="118" spans="1:14" x14ac:dyDescent="0.25">
      <c r="A118" s="7">
        <v>116</v>
      </c>
      <c r="B118" s="103">
        <f t="shared" ca="1" si="12"/>
        <v>0.25842745167505565</v>
      </c>
      <c r="C118" s="7" t="str">
        <f>'PL1'!H125</f>
        <v>PL1-215</v>
      </c>
      <c r="D118" s="161"/>
      <c r="E118" s="162"/>
      <c r="F118" s="103">
        <f t="shared" ca="1" si="13"/>
        <v>0.10756747575588033</v>
      </c>
      <c r="G118" s="7" t="str">
        <f>'PL2'!H125</f>
        <v>PL2-215</v>
      </c>
      <c r="H118" s="161"/>
      <c r="I118" s="219"/>
      <c r="K118" s="141" t="str">
        <f t="shared" si="14"/>
        <v>PL2-18-B</v>
      </c>
      <c r="L118" s="141">
        <f t="shared" si="15"/>
        <v>0</v>
      </c>
      <c r="M118" s="141" t="e">
        <f>VLOOKUP(L118,'PL2'!H:J,3,0)</f>
        <v>#N/A</v>
      </c>
      <c r="N118" s="109" t="e">
        <f t="shared" si="16"/>
        <v>#N/A</v>
      </c>
    </row>
    <row r="119" spans="1:14" x14ac:dyDescent="0.25">
      <c r="A119" s="7">
        <v>117</v>
      </c>
      <c r="B119" s="103">
        <f t="shared" ca="1" si="12"/>
        <v>0.25442410112692371</v>
      </c>
      <c r="C119" s="7" t="str">
        <f>'PL1'!H126</f>
        <v>PL1-216</v>
      </c>
      <c r="D119" s="161"/>
      <c r="E119" s="162"/>
      <c r="F119" s="103">
        <f t="shared" ca="1" si="13"/>
        <v>0.28589605784113248</v>
      </c>
      <c r="G119" s="7" t="str">
        <f>'PL2'!H126</f>
        <v>PL2-216</v>
      </c>
      <c r="H119" s="161"/>
      <c r="I119" s="219"/>
      <c r="K119" s="141" t="str">
        <f t="shared" si="14"/>
        <v>PL2-18-C</v>
      </c>
      <c r="L119" s="141">
        <f t="shared" si="15"/>
        <v>0</v>
      </c>
      <c r="M119" s="141" t="e">
        <f>VLOOKUP(L119,'PL2'!H:J,3,0)</f>
        <v>#N/A</v>
      </c>
      <c r="N119" s="109" t="e">
        <f t="shared" si="16"/>
        <v>#N/A</v>
      </c>
    </row>
    <row r="120" spans="1:14" x14ac:dyDescent="0.25">
      <c r="A120" s="7">
        <v>118</v>
      </c>
      <c r="B120" s="103">
        <f t="shared" ca="1" si="12"/>
        <v>0.27928890827400343</v>
      </c>
      <c r="C120" s="7" t="str">
        <f>'PL1'!H127</f>
        <v>PL1-217</v>
      </c>
      <c r="D120" s="161"/>
      <c r="E120" s="162"/>
      <c r="F120" s="103">
        <f t="shared" ca="1" si="13"/>
        <v>0.48102276234420938</v>
      </c>
      <c r="G120" s="7" t="str">
        <f>'PL2'!H127</f>
        <v>PL2-217</v>
      </c>
      <c r="H120" s="161"/>
      <c r="I120" s="219"/>
      <c r="K120" s="141" t="str">
        <f t="shared" si="14"/>
        <v>PL2-19-A</v>
      </c>
      <c r="L120" s="141">
        <f t="shared" si="15"/>
        <v>0</v>
      </c>
      <c r="M120" s="141" t="e">
        <f>VLOOKUP(L120,'PL2'!H:J,3,0)</f>
        <v>#N/A</v>
      </c>
      <c r="N120" s="109" t="e">
        <f t="shared" si="16"/>
        <v>#N/A</v>
      </c>
    </row>
    <row r="121" spans="1:14" x14ac:dyDescent="0.25">
      <c r="A121" s="7">
        <v>119</v>
      </c>
      <c r="B121" s="103">
        <f t="shared" ca="1" si="12"/>
        <v>0.50799246087926997</v>
      </c>
      <c r="C121" s="7" t="str">
        <f>'PL1'!H128</f>
        <v>PL1-218</v>
      </c>
      <c r="D121" s="161"/>
      <c r="E121" s="162"/>
      <c r="F121" s="103">
        <f t="shared" ca="1" si="13"/>
        <v>0.26153589736100835</v>
      </c>
      <c r="G121" s="7" t="str">
        <f>'PL2'!H128</f>
        <v>PL2-218</v>
      </c>
      <c r="H121" s="161"/>
      <c r="I121" s="219"/>
      <c r="K121" s="141" t="str">
        <f t="shared" si="14"/>
        <v>PL2-19-B</v>
      </c>
      <c r="L121" s="141">
        <f t="shared" si="15"/>
        <v>0</v>
      </c>
      <c r="M121" s="141" t="e">
        <f>VLOOKUP(L121,'PL2'!H:J,3,0)</f>
        <v>#N/A</v>
      </c>
      <c r="N121" s="109" t="e">
        <f t="shared" si="16"/>
        <v>#N/A</v>
      </c>
    </row>
    <row r="122" spans="1:14" x14ac:dyDescent="0.25">
      <c r="A122" s="7">
        <v>120</v>
      </c>
      <c r="B122" s="103">
        <f t="shared" ca="1" si="12"/>
        <v>0.78210713189145531</v>
      </c>
      <c r="C122" s="7" t="str">
        <f>'PL1'!H129</f>
        <v>PL1-219</v>
      </c>
      <c r="D122" s="161"/>
      <c r="E122" s="162"/>
      <c r="F122" s="103">
        <f t="shared" ca="1" si="13"/>
        <v>0.25622141990286018</v>
      </c>
      <c r="G122" s="7" t="str">
        <f>'PL2'!H129</f>
        <v>PL2-219</v>
      </c>
      <c r="H122" s="161"/>
      <c r="I122" s="219"/>
      <c r="K122" s="141" t="str">
        <f t="shared" si="14"/>
        <v>PL2-19-C</v>
      </c>
      <c r="L122" s="141">
        <f t="shared" si="15"/>
        <v>0</v>
      </c>
      <c r="M122" s="141" t="e">
        <f>VLOOKUP(L122,'PL2'!H:J,3,0)</f>
        <v>#N/A</v>
      </c>
      <c r="N122" s="109" t="e">
        <f t="shared" si="16"/>
        <v>#N/A</v>
      </c>
    </row>
    <row r="123" spans="1:14" x14ac:dyDescent="0.25">
      <c r="A123" s="7">
        <v>121</v>
      </c>
      <c r="B123" s="103">
        <f t="shared" ca="1" si="12"/>
        <v>0.97870536818308662</v>
      </c>
      <c r="C123" s="7" t="str">
        <f>'PL1'!H130</f>
        <v>PL1-220</v>
      </c>
      <c r="D123" s="161"/>
      <c r="E123" s="162"/>
      <c r="F123" s="103">
        <f t="shared" ca="1" si="13"/>
        <v>0.85615168400989905</v>
      </c>
      <c r="G123" s="7" t="str">
        <f>'PL2'!H130</f>
        <v>PL2-220</v>
      </c>
      <c r="H123" s="161"/>
      <c r="I123" s="219"/>
      <c r="K123" s="141" t="str">
        <f t="shared" si="14"/>
        <v>PL2-20-A</v>
      </c>
      <c r="L123" s="141">
        <f t="shared" si="15"/>
        <v>0</v>
      </c>
      <c r="M123" s="141" t="e">
        <f>VLOOKUP(L123,'PL2'!H:J,3,0)</f>
        <v>#N/A</v>
      </c>
      <c r="N123" s="109" t="e">
        <f t="shared" si="16"/>
        <v>#N/A</v>
      </c>
    </row>
    <row r="124" spans="1:14" x14ac:dyDescent="0.25">
      <c r="A124" s="7">
        <v>122</v>
      </c>
      <c r="B124" s="103">
        <f t="shared" ca="1" si="12"/>
        <v>0.48100062396487031</v>
      </c>
      <c r="C124" s="7" t="str">
        <f>'PL1'!H131</f>
        <v>PL1-221</v>
      </c>
      <c r="D124" s="161"/>
      <c r="E124" s="162"/>
      <c r="F124" s="103">
        <f t="shared" ca="1" si="13"/>
        <v>0.7242710055696191</v>
      </c>
      <c r="G124" s="7" t="str">
        <f>'PL2'!H131</f>
        <v>PL2-221</v>
      </c>
      <c r="H124" s="161"/>
      <c r="I124" s="219"/>
      <c r="K124" s="141" t="str">
        <f t="shared" si="14"/>
        <v>PL2-20-B</v>
      </c>
      <c r="L124" s="141">
        <f t="shared" si="15"/>
        <v>0</v>
      </c>
      <c r="M124" s="141" t="e">
        <f>VLOOKUP(L124,'PL2'!H:J,3,0)</f>
        <v>#N/A</v>
      </c>
      <c r="N124" s="109" t="e">
        <f t="shared" si="16"/>
        <v>#N/A</v>
      </c>
    </row>
    <row r="125" spans="1:14" x14ac:dyDescent="0.25">
      <c r="A125" s="7">
        <v>123</v>
      </c>
      <c r="B125" s="103">
        <f t="shared" ca="1" si="12"/>
        <v>0.33005144192038849</v>
      </c>
      <c r="C125" s="7" t="str">
        <f>'PL1'!H132</f>
        <v>PL1-222</v>
      </c>
      <c r="D125" s="161"/>
      <c r="E125" s="162"/>
      <c r="F125" s="103">
        <f t="shared" ca="1" si="13"/>
        <v>0.14385332670082851</v>
      </c>
      <c r="G125" s="7" t="str">
        <f>'PL2'!H132</f>
        <v>PL2-222</v>
      </c>
      <c r="H125" s="161"/>
      <c r="I125" s="219"/>
      <c r="K125" s="141" t="str">
        <f t="shared" si="14"/>
        <v>PL2-20-C</v>
      </c>
      <c r="L125" s="141">
        <f t="shared" si="15"/>
        <v>0</v>
      </c>
      <c r="M125" s="141" t="e">
        <f>VLOOKUP(L125,'PL2'!H:J,3,0)</f>
        <v>#N/A</v>
      </c>
      <c r="N125" s="109" t="e">
        <f t="shared" si="16"/>
        <v>#N/A</v>
      </c>
    </row>
    <row r="126" spans="1:14" x14ac:dyDescent="0.25">
      <c r="A126" s="7">
        <v>124</v>
      </c>
      <c r="B126" s="103">
        <f t="shared" ca="1" si="12"/>
        <v>0.2780402573860874</v>
      </c>
      <c r="C126" s="7" t="str">
        <f>'PL1'!H133</f>
        <v>PL1-223</v>
      </c>
      <c r="D126" s="161"/>
      <c r="E126" s="162"/>
      <c r="F126" s="103">
        <f t="shared" ca="1" si="13"/>
        <v>8.4443759358197923E-2</v>
      </c>
      <c r="G126" s="7" t="str">
        <f>'PL2'!H133</f>
        <v>PL2-223</v>
      </c>
      <c r="H126" s="161"/>
      <c r="I126" s="219"/>
      <c r="K126" s="141" t="str">
        <f t="shared" si="14"/>
        <v>PL2-21-A</v>
      </c>
      <c r="L126" s="141">
        <f t="shared" si="15"/>
        <v>0</v>
      </c>
      <c r="M126" s="141" t="e">
        <f>VLOOKUP(L126,'PL2'!H:J,3,0)</f>
        <v>#N/A</v>
      </c>
      <c r="N126" s="109" t="e">
        <f t="shared" si="16"/>
        <v>#N/A</v>
      </c>
    </row>
    <row r="127" spans="1:14" x14ac:dyDescent="0.25">
      <c r="A127" s="7">
        <v>125</v>
      </c>
      <c r="B127" s="103">
        <f t="shared" ca="1" si="12"/>
        <v>0.5981373463042422</v>
      </c>
      <c r="C127" s="7" t="str">
        <f>'PL1'!H134</f>
        <v>PL1-224</v>
      </c>
      <c r="D127" s="161"/>
      <c r="E127" s="162"/>
      <c r="F127" s="103">
        <f t="shared" ca="1" si="13"/>
        <v>0.46607521442466371</v>
      </c>
      <c r="G127" s="7" t="str">
        <f>'PL2'!H134</f>
        <v>PL2-224</v>
      </c>
      <c r="H127" s="161"/>
      <c r="I127" s="219"/>
      <c r="K127" s="141" t="str">
        <f t="shared" si="14"/>
        <v>PL2-21-B</v>
      </c>
      <c r="L127" s="141">
        <f t="shared" si="15"/>
        <v>0</v>
      </c>
      <c r="M127" s="141" t="e">
        <f>VLOOKUP(L127,'PL2'!H:J,3,0)</f>
        <v>#N/A</v>
      </c>
      <c r="N127" s="109" t="e">
        <f t="shared" si="16"/>
        <v>#N/A</v>
      </c>
    </row>
    <row r="128" spans="1:14" x14ac:dyDescent="0.25">
      <c r="A128" s="7">
        <v>126</v>
      </c>
      <c r="B128" s="103">
        <f t="shared" ca="1" si="12"/>
        <v>0.30330800902001442</v>
      </c>
      <c r="C128" s="7" t="str">
        <f>'PL1'!H135</f>
        <v>PL1-225</v>
      </c>
      <c r="D128" s="161"/>
      <c r="E128" s="162"/>
      <c r="F128" s="103">
        <f t="shared" ca="1" si="13"/>
        <v>0.43987052495770229</v>
      </c>
      <c r="G128" s="7" t="str">
        <f>'PL2'!H135</f>
        <v>PL2-225</v>
      </c>
      <c r="H128" s="161"/>
      <c r="I128" s="219"/>
      <c r="K128" s="141" t="str">
        <f t="shared" si="14"/>
        <v>PL2-21-C</v>
      </c>
      <c r="L128" s="141">
        <f t="shared" si="15"/>
        <v>0</v>
      </c>
      <c r="M128" s="141" t="e">
        <f>VLOOKUP(L128,'PL2'!H:J,3,0)</f>
        <v>#N/A</v>
      </c>
      <c r="N128" s="109" t="e">
        <f t="shared" si="16"/>
        <v>#N/A</v>
      </c>
    </row>
    <row r="129" spans="1:14" x14ac:dyDescent="0.25">
      <c r="A129" s="7">
        <v>127</v>
      </c>
      <c r="B129" s="103">
        <f t="shared" ca="1" si="12"/>
        <v>0.44989185151015842</v>
      </c>
      <c r="C129" s="7" t="str">
        <f>'PL1'!H136</f>
        <v>PL1-226</v>
      </c>
      <c r="D129" s="161"/>
      <c r="E129" s="162"/>
      <c r="F129" s="103">
        <f t="shared" ca="1" si="13"/>
        <v>0.76837814736449805</v>
      </c>
      <c r="G129" s="7" t="str">
        <f>'PL2'!H136</f>
        <v>PL2-226</v>
      </c>
      <c r="H129" s="161"/>
      <c r="I129" s="219"/>
      <c r="K129" s="5"/>
      <c r="L129" s="5"/>
      <c r="M129" s="5"/>
      <c r="N129" s="5"/>
    </row>
    <row r="130" spans="1:14" x14ac:dyDescent="0.25">
      <c r="A130" s="7">
        <v>128</v>
      </c>
      <c r="B130" s="103">
        <f t="shared" ca="1" si="12"/>
        <v>0.8144024469340817</v>
      </c>
      <c r="C130" s="7" t="str">
        <f>'PL1'!H137</f>
        <v>PL1-227</v>
      </c>
      <c r="D130" s="161"/>
      <c r="E130" s="162"/>
      <c r="F130" s="103">
        <f t="shared" ca="1" si="13"/>
        <v>0.970002260362966</v>
      </c>
      <c r="G130" s="7" t="str">
        <f>'PL2'!H137</f>
        <v>PL2-227</v>
      </c>
      <c r="H130" s="161"/>
      <c r="I130" s="219"/>
    </row>
    <row r="131" spans="1:14" x14ac:dyDescent="0.25">
      <c r="A131" s="7">
        <v>129</v>
      </c>
      <c r="B131" s="103">
        <f t="shared" ca="1" si="12"/>
        <v>4.2157994504302243E-2</v>
      </c>
      <c r="C131" s="7" t="str">
        <f>'PL1'!H138</f>
        <v>PL1-228</v>
      </c>
      <c r="D131" s="161"/>
      <c r="E131" s="162"/>
      <c r="F131" s="103">
        <f t="shared" ca="1" si="13"/>
        <v>0.73679218108534095</v>
      </c>
      <c r="G131" s="7" t="str">
        <f>'PL2'!H138</f>
        <v>PL2-228</v>
      </c>
      <c r="H131" s="161"/>
      <c r="I131" s="219"/>
    </row>
    <row r="132" spans="1:14" x14ac:dyDescent="0.25">
      <c r="A132" s="7">
        <v>130</v>
      </c>
      <c r="B132" s="103">
        <f t="shared" ref="B132:B195" ca="1" si="17">IF(C132="","",RAND())</f>
        <v>0.33344581955988284</v>
      </c>
      <c r="C132" s="7" t="str">
        <f>'PL1'!H139</f>
        <v>PL1-229</v>
      </c>
      <c r="D132" s="161"/>
      <c r="E132" s="162"/>
      <c r="F132" s="103">
        <f t="shared" ref="F132:F195" ca="1" si="18">IF(G132="","",RAND())</f>
        <v>0.65108374003932334</v>
      </c>
      <c r="G132" s="7" t="str">
        <f>'PL2'!H139</f>
        <v>PL2-229</v>
      </c>
      <c r="H132" s="161"/>
      <c r="I132" s="219"/>
    </row>
    <row r="133" spans="1:14" x14ac:dyDescent="0.25">
      <c r="A133" s="7">
        <v>131</v>
      </c>
      <c r="B133" s="103">
        <f t="shared" ca="1" si="17"/>
        <v>0.40745689921328476</v>
      </c>
      <c r="C133" s="7" t="str">
        <f>'PL1'!H140</f>
        <v>PL1-230</v>
      </c>
      <c r="D133" s="161"/>
      <c r="E133" s="162"/>
      <c r="F133" s="103">
        <f t="shared" ca="1" si="18"/>
        <v>4.9413497218261049E-2</v>
      </c>
      <c r="G133" s="7" t="str">
        <f>'PL2'!H140</f>
        <v>PL2-230</v>
      </c>
      <c r="H133" s="161"/>
      <c r="I133" s="219"/>
    </row>
    <row r="134" spans="1:14" x14ac:dyDescent="0.25">
      <c r="A134" s="7">
        <v>132</v>
      </c>
      <c r="B134" s="103">
        <f t="shared" ca="1" si="17"/>
        <v>0.29568944346026138</v>
      </c>
      <c r="C134" s="7" t="str">
        <f>'PL1'!H141</f>
        <v>PL1-231</v>
      </c>
      <c r="D134" s="161"/>
      <c r="E134" s="162"/>
      <c r="F134" s="103">
        <f t="shared" ca="1" si="18"/>
        <v>0.32898845867159821</v>
      </c>
      <c r="G134" s="7" t="str">
        <f>'PL2'!H141</f>
        <v>PL2-231</v>
      </c>
      <c r="H134" s="161"/>
      <c r="I134" s="219"/>
    </row>
    <row r="135" spans="1:14" x14ac:dyDescent="0.25">
      <c r="A135" s="7">
        <v>133</v>
      </c>
      <c r="B135" s="103">
        <f t="shared" ca="1" si="17"/>
        <v>0.75514976323538296</v>
      </c>
      <c r="C135" s="7" t="str">
        <f>'PL1'!H142</f>
        <v>PL1-232</v>
      </c>
      <c r="D135" s="161"/>
      <c r="E135" s="162"/>
      <c r="F135" s="103">
        <f t="shared" ca="1" si="18"/>
        <v>0.22592651692916466</v>
      </c>
      <c r="G135" s="7" t="str">
        <f>'PL2'!H142</f>
        <v>PL2-232</v>
      </c>
      <c r="H135" s="161"/>
      <c r="I135" s="219"/>
    </row>
    <row r="136" spans="1:14" x14ac:dyDescent="0.25">
      <c r="A136" s="7">
        <v>134</v>
      </c>
      <c r="B136" s="103">
        <f t="shared" ca="1" si="17"/>
        <v>0.25083498489476619</v>
      </c>
      <c r="C136" s="7" t="str">
        <f>'PL1'!H143</f>
        <v>PL1-233</v>
      </c>
      <c r="D136" s="161"/>
      <c r="E136" s="162"/>
      <c r="F136" s="103">
        <f t="shared" ca="1" si="18"/>
        <v>0.97278990394332743</v>
      </c>
      <c r="G136" s="7" t="str">
        <f>'PL2'!H143</f>
        <v>PL2-233</v>
      </c>
      <c r="H136" s="161"/>
      <c r="I136" s="219"/>
    </row>
    <row r="137" spans="1:14" x14ac:dyDescent="0.25">
      <c r="A137" s="7">
        <v>135</v>
      </c>
      <c r="B137" s="103">
        <f t="shared" ca="1" si="17"/>
        <v>0.47628404857984574</v>
      </c>
      <c r="C137" s="7" t="str">
        <f>'PL1'!H144</f>
        <v>PL1-234</v>
      </c>
      <c r="D137" s="161"/>
      <c r="E137" s="162"/>
      <c r="F137" s="103">
        <f t="shared" ca="1" si="18"/>
        <v>0.30166112482231744</v>
      </c>
      <c r="G137" s="7" t="str">
        <f>'PL2'!H144</f>
        <v>PL2-234</v>
      </c>
      <c r="H137" s="161"/>
      <c r="I137" s="219"/>
    </row>
    <row r="138" spans="1:14" x14ac:dyDescent="0.25">
      <c r="A138" s="7">
        <v>136</v>
      </c>
      <c r="B138" s="103">
        <f t="shared" ca="1" si="17"/>
        <v>0.99995766790069507</v>
      </c>
      <c r="C138" s="7" t="str">
        <f>'PL1'!H145</f>
        <v>PL1-235</v>
      </c>
      <c r="D138" s="161"/>
      <c r="E138" s="162"/>
      <c r="F138" s="103">
        <f t="shared" ca="1" si="18"/>
        <v>5.5533857425683952E-2</v>
      </c>
      <c r="G138" s="7" t="str">
        <f>'PL2'!H145</f>
        <v>PL2-235</v>
      </c>
      <c r="H138" s="161"/>
      <c r="I138" s="219"/>
    </row>
    <row r="139" spans="1:14" x14ac:dyDescent="0.25">
      <c r="A139" s="7">
        <v>137</v>
      </c>
      <c r="B139" s="103">
        <f t="shared" ca="1" si="17"/>
        <v>0.85631944161160012</v>
      </c>
      <c r="C139" s="7" t="str">
        <f>'PL1'!H146</f>
        <v>PL1-236</v>
      </c>
      <c r="D139" s="161"/>
      <c r="E139" s="162"/>
      <c r="F139" s="103">
        <f t="shared" ca="1" si="18"/>
        <v>0.60875707606823382</v>
      </c>
      <c r="G139" s="7" t="str">
        <f>'PL2'!H146</f>
        <v>PL2-236</v>
      </c>
      <c r="H139" s="161"/>
      <c r="I139" s="219"/>
    </row>
    <row r="140" spans="1:14" x14ac:dyDescent="0.25">
      <c r="A140" s="7">
        <v>138</v>
      </c>
      <c r="B140" s="103">
        <f t="shared" ca="1" si="17"/>
        <v>0.50293727634479646</v>
      </c>
      <c r="C140" s="7" t="str">
        <f>'PL1'!H147</f>
        <v>PL1-237</v>
      </c>
      <c r="D140" s="161"/>
      <c r="E140" s="162"/>
      <c r="F140" s="103">
        <f t="shared" ca="1" si="18"/>
        <v>0.65708899170253621</v>
      </c>
      <c r="G140" s="7" t="str">
        <f>'PL2'!H147</f>
        <v>PL2-237</v>
      </c>
      <c r="H140" s="161"/>
      <c r="I140" s="219"/>
    </row>
    <row r="141" spans="1:14" x14ac:dyDescent="0.25">
      <c r="A141" s="7">
        <v>139</v>
      </c>
      <c r="B141" s="103">
        <f t="shared" ca="1" si="17"/>
        <v>0.1616364458260191</v>
      </c>
      <c r="C141" s="7" t="str">
        <f>'PL1'!H148</f>
        <v>PL1-238</v>
      </c>
      <c r="D141" s="161"/>
      <c r="E141" s="162"/>
      <c r="F141" s="103">
        <f t="shared" ca="1" si="18"/>
        <v>0.39542558754487767</v>
      </c>
      <c r="G141" s="7" t="str">
        <f>'PL2'!H148</f>
        <v>PL2-238</v>
      </c>
      <c r="H141" s="161"/>
      <c r="I141" s="219"/>
    </row>
    <row r="142" spans="1:14" x14ac:dyDescent="0.25">
      <c r="A142" s="7">
        <v>140</v>
      </c>
      <c r="B142" s="103">
        <f t="shared" ca="1" si="17"/>
        <v>0.44356264950230939</v>
      </c>
      <c r="C142" s="7" t="str">
        <f>'PL1'!H149</f>
        <v>PL1-239</v>
      </c>
      <c r="D142" s="161"/>
      <c r="E142" s="162"/>
      <c r="F142" s="103">
        <f t="shared" ca="1" si="18"/>
        <v>3.2765894433826492E-2</v>
      </c>
      <c r="G142" s="7" t="str">
        <f>'PL2'!H149</f>
        <v>PL2-239</v>
      </c>
      <c r="H142" s="161"/>
      <c r="I142" s="219"/>
    </row>
    <row r="143" spans="1:14" x14ac:dyDescent="0.25">
      <c r="A143" s="7">
        <v>141</v>
      </c>
      <c r="B143" s="103">
        <f t="shared" ca="1" si="17"/>
        <v>0.22925907177603877</v>
      </c>
      <c r="C143" s="7" t="str">
        <f>'PL1'!H150</f>
        <v>PL1-240</v>
      </c>
      <c r="D143" s="161"/>
      <c r="E143" s="162"/>
      <c r="F143" s="103">
        <f t="shared" ca="1" si="18"/>
        <v>0.92287407246617603</v>
      </c>
      <c r="G143" s="7" t="str">
        <f>'PL2'!H150</f>
        <v>PL2-240</v>
      </c>
      <c r="H143" s="161"/>
      <c r="I143" s="219"/>
    </row>
    <row r="144" spans="1:14" x14ac:dyDescent="0.25">
      <c r="A144" s="7">
        <v>142</v>
      </c>
      <c r="B144" s="103">
        <f t="shared" ca="1" si="17"/>
        <v>0.1076221496217562</v>
      </c>
      <c r="C144" s="7" t="str">
        <f>'PL1'!H151</f>
        <v>PL1-241</v>
      </c>
      <c r="D144" s="161"/>
      <c r="E144" s="162"/>
      <c r="F144" s="103">
        <f t="shared" ca="1" si="18"/>
        <v>0.17525662764926297</v>
      </c>
      <c r="G144" s="7" t="str">
        <f>'PL2'!H151</f>
        <v>PL2-241</v>
      </c>
      <c r="H144" s="161"/>
      <c r="I144" s="219"/>
    </row>
    <row r="145" spans="1:9" x14ac:dyDescent="0.25">
      <c r="A145" s="7">
        <v>143</v>
      </c>
      <c r="B145" s="103">
        <f t="shared" ca="1" si="17"/>
        <v>0.2885235135563573</v>
      </c>
      <c r="C145" s="7" t="str">
        <f>'PL1'!H152</f>
        <v>PL1-242</v>
      </c>
      <c r="D145" s="161"/>
      <c r="E145" s="162"/>
      <c r="F145" s="103">
        <f t="shared" ca="1" si="18"/>
        <v>0.8711229983963733</v>
      </c>
      <c r="G145" s="7" t="str">
        <f>'PL2'!H152</f>
        <v>PL2-242</v>
      </c>
      <c r="H145" s="161"/>
      <c r="I145" s="219"/>
    </row>
    <row r="146" spans="1:9" x14ac:dyDescent="0.25">
      <c r="A146" s="7">
        <v>144</v>
      </c>
      <c r="B146" s="103">
        <f t="shared" ca="1" si="17"/>
        <v>0.59468921670384567</v>
      </c>
      <c r="C146" s="7" t="str">
        <f>'PL1'!H153</f>
        <v>PL1-243</v>
      </c>
      <c r="D146" s="161"/>
      <c r="E146" s="162"/>
      <c r="F146" s="103">
        <f t="shared" ca="1" si="18"/>
        <v>0.47281832153258896</v>
      </c>
      <c r="G146" s="7" t="str">
        <f>'PL2'!H153</f>
        <v>PL2-243</v>
      </c>
      <c r="H146" s="161"/>
      <c r="I146" s="219"/>
    </row>
    <row r="147" spans="1:9" x14ac:dyDescent="0.25">
      <c r="A147" s="7">
        <v>145</v>
      </c>
      <c r="B147" s="103">
        <f t="shared" ca="1" si="17"/>
        <v>8.8787796426713417E-2</v>
      </c>
      <c r="C147" s="7" t="str">
        <f>'PL1'!H154</f>
        <v>PL1-244</v>
      </c>
      <c r="D147" s="161"/>
      <c r="E147" s="162"/>
      <c r="F147" s="103">
        <f t="shared" ca="1" si="18"/>
        <v>0.16880534067087438</v>
      </c>
      <c r="G147" s="7" t="str">
        <f>'PL2'!H154</f>
        <v>PL2-244</v>
      </c>
      <c r="H147" s="161"/>
      <c r="I147" s="219"/>
    </row>
    <row r="148" spans="1:9" x14ac:dyDescent="0.25">
      <c r="A148" s="7">
        <v>146</v>
      </c>
      <c r="B148" s="103">
        <f t="shared" ca="1" si="17"/>
        <v>0.25001674172214705</v>
      </c>
      <c r="C148" s="7" t="str">
        <f>'PL1'!H155</f>
        <v>PL1-245</v>
      </c>
      <c r="D148" s="161"/>
      <c r="E148" s="162"/>
      <c r="F148" s="103">
        <f t="shared" ca="1" si="18"/>
        <v>0.16740442706139225</v>
      </c>
      <c r="G148" s="7" t="str">
        <f>'PL2'!H155</f>
        <v>PL2-245</v>
      </c>
      <c r="H148" s="161"/>
      <c r="I148" s="219"/>
    </row>
    <row r="149" spans="1:9" x14ac:dyDescent="0.25">
      <c r="A149" s="7">
        <v>147</v>
      </c>
      <c r="B149" s="103">
        <f t="shared" ca="1" si="17"/>
        <v>0.81933514310969568</v>
      </c>
      <c r="C149" s="7" t="str">
        <f>'PL1'!H156</f>
        <v>PL1-246</v>
      </c>
      <c r="D149" s="161"/>
      <c r="E149" s="162"/>
      <c r="F149" s="103">
        <f t="shared" ca="1" si="18"/>
        <v>0.73432379729912634</v>
      </c>
      <c r="G149" s="7" t="str">
        <f>'PL2'!H156</f>
        <v>PL2-246</v>
      </c>
      <c r="H149" s="161"/>
      <c r="I149" s="219"/>
    </row>
    <row r="150" spans="1:9" x14ac:dyDescent="0.25">
      <c r="A150" s="7">
        <v>148</v>
      </c>
      <c r="B150" s="103">
        <f t="shared" ca="1" si="17"/>
        <v>0.61600204794190527</v>
      </c>
      <c r="C150" s="7" t="str">
        <f>'PL1'!H157</f>
        <v>PL1-247</v>
      </c>
      <c r="D150" s="161"/>
      <c r="E150" s="162"/>
      <c r="F150" s="103">
        <f t="shared" ca="1" si="18"/>
        <v>0.39928528222520643</v>
      </c>
      <c r="G150" s="7" t="str">
        <f>'PL2'!H157</f>
        <v>PL2-247</v>
      </c>
      <c r="H150" s="161"/>
      <c r="I150" s="219"/>
    </row>
    <row r="151" spans="1:9" x14ac:dyDescent="0.25">
      <c r="A151" s="7">
        <v>149</v>
      </c>
      <c r="B151" s="103">
        <f t="shared" ca="1" si="17"/>
        <v>0.15563756770753512</v>
      </c>
      <c r="C151" s="7" t="str">
        <f>'PL1'!H158</f>
        <v>PL1-248</v>
      </c>
      <c r="D151" s="161"/>
      <c r="E151" s="162"/>
      <c r="F151" s="103">
        <f t="shared" ca="1" si="18"/>
        <v>0.18524659883015859</v>
      </c>
      <c r="G151" s="7" t="str">
        <f>'PL2'!H158</f>
        <v>PL2-248</v>
      </c>
      <c r="H151" s="161"/>
      <c r="I151" s="219"/>
    </row>
    <row r="152" spans="1:9" x14ac:dyDescent="0.25">
      <c r="A152" s="7">
        <v>150</v>
      </c>
      <c r="B152" s="103">
        <f t="shared" ca="1" si="17"/>
        <v>0.47220159031663689</v>
      </c>
      <c r="C152" s="7" t="str">
        <f>'PL1'!H159</f>
        <v>PL1-249</v>
      </c>
      <c r="D152" s="161"/>
      <c r="E152" s="162"/>
      <c r="F152" s="103">
        <f t="shared" ca="1" si="18"/>
        <v>0.78945144967280545</v>
      </c>
      <c r="G152" s="7" t="str">
        <f>'PL2'!H159</f>
        <v>PL2-249</v>
      </c>
      <c r="H152" s="161"/>
      <c r="I152" s="219"/>
    </row>
    <row r="153" spans="1:9" x14ac:dyDescent="0.25">
      <c r="A153" s="7">
        <v>151</v>
      </c>
      <c r="B153" s="103">
        <f t="shared" ca="1" si="17"/>
        <v>0.68670511849667115</v>
      </c>
      <c r="C153" s="7" t="str">
        <f>'PL1'!H160</f>
        <v>PL1-250</v>
      </c>
      <c r="D153" s="161"/>
      <c r="E153" s="162"/>
      <c r="F153" s="103">
        <f t="shared" ca="1" si="18"/>
        <v>0.47109633028580944</v>
      </c>
      <c r="G153" s="7" t="str">
        <f>'PL2'!H160</f>
        <v>PL2-250</v>
      </c>
      <c r="H153" s="161"/>
      <c r="I153" s="219"/>
    </row>
    <row r="154" spans="1:9" x14ac:dyDescent="0.25">
      <c r="A154" s="7">
        <v>152</v>
      </c>
      <c r="B154" s="103">
        <f t="shared" ca="1" si="17"/>
        <v>0.43752869376051307</v>
      </c>
      <c r="C154" s="7" t="str">
        <f>'PL1'!H161</f>
        <v>PL1-251</v>
      </c>
      <c r="D154" s="161"/>
      <c r="E154" s="162"/>
      <c r="F154" s="103">
        <f t="shared" ca="1" si="18"/>
        <v>0.78541689635116407</v>
      </c>
      <c r="G154" s="7" t="str">
        <f>'PL2'!H161</f>
        <v>PL2-251</v>
      </c>
      <c r="H154" s="161"/>
      <c r="I154" s="219"/>
    </row>
    <row r="155" spans="1:9" x14ac:dyDescent="0.25">
      <c r="A155" s="7">
        <v>153</v>
      </c>
      <c r="B155" s="103">
        <f t="shared" ca="1" si="17"/>
        <v>6.3666263790536859E-2</v>
      </c>
      <c r="C155" s="7" t="str">
        <f>'PL1'!H162</f>
        <v>PL1-252</v>
      </c>
      <c r="D155" s="161"/>
      <c r="E155" s="162"/>
      <c r="F155" s="103">
        <f t="shared" ca="1" si="18"/>
        <v>0.7154510319392906</v>
      </c>
      <c r="G155" s="7" t="str">
        <f>'PL2'!H162</f>
        <v>PL2-252</v>
      </c>
      <c r="H155" s="161"/>
      <c r="I155" s="219"/>
    </row>
    <row r="156" spans="1:9" x14ac:dyDescent="0.25">
      <c r="A156" s="7">
        <v>154</v>
      </c>
      <c r="B156" s="103">
        <f t="shared" ca="1" si="17"/>
        <v>0.870537409200135</v>
      </c>
      <c r="C156" s="7" t="str">
        <f>'PL1'!H163</f>
        <v>PL1-253</v>
      </c>
      <c r="D156" s="161"/>
      <c r="E156" s="162"/>
      <c r="F156" s="103">
        <f t="shared" ca="1" si="18"/>
        <v>0.25529684832263111</v>
      </c>
      <c r="G156" s="7" t="str">
        <f>'PL2'!H163</f>
        <v>PL2-253</v>
      </c>
      <c r="H156" s="161"/>
      <c r="I156" s="219"/>
    </row>
    <row r="157" spans="1:9" x14ac:dyDescent="0.25">
      <c r="A157" s="7">
        <v>155</v>
      </c>
      <c r="B157" s="103">
        <f t="shared" ca="1" si="17"/>
        <v>0.68460777040498333</v>
      </c>
      <c r="C157" s="7" t="str">
        <f>'PL1'!H164</f>
        <v>PL1-254</v>
      </c>
      <c r="D157" s="161"/>
      <c r="E157" s="162"/>
      <c r="F157" s="103">
        <f t="shared" ca="1" si="18"/>
        <v>0.14745428360636181</v>
      </c>
      <c r="G157" s="7" t="str">
        <f>'PL2'!H164</f>
        <v>PL2-254</v>
      </c>
      <c r="H157" s="161"/>
      <c r="I157" s="219"/>
    </row>
    <row r="158" spans="1:9" x14ac:dyDescent="0.25">
      <c r="A158" s="7">
        <v>156</v>
      </c>
      <c r="B158" s="103">
        <f t="shared" ca="1" si="17"/>
        <v>0.42060468830158071</v>
      </c>
      <c r="C158" s="7" t="str">
        <f>'PL1'!H165</f>
        <v>PL1-255</v>
      </c>
      <c r="D158" s="161"/>
      <c r="E158" s="162"/>
      <c r="F158" s="103">
        <f t="shared" ca="1" si="18"/>
        <v>0.88746474710321821</v>
      </c>
      <c r="G158" s="7" t="str">
        <f>'PL2'!H165</f>
        <v>PL2-255</v>
      </c>
      <c r="H158" s="161"/>
      <c r="I158" s="219"/>
    </row>
    <row r="159" spans="1:9" x14ac:dyDescent="0.25">
      <c r="A159" s="7">
        <v>157</v>
      </c>
      <c r="B159" s="103">
        <f t="shared" ca="1" si="17"/>
        <v>0.40121564686545508</v>
      </c>
      <c r="C159" s="7" t="str">
        <f>'PL1'!H166</f>
        <v>PL1-256</v>
      </c>
      <c r="D159" s="161"/>
      <c r="E159" s="162"/>
      <c r="F159" s="103">
        <f t="shared" ca="1" si="18"/>
        <v>0.35953108727468308</v>
      </c>
      <c r="G159" s="7" t="str">
        <f>'PL2'!H166</f>
        <v>PL2-256</v>
      </c>
      <c r="H159" s="161"/>
      <c r="I159" s="219"/>
    </row>
    <row r="160" spans="1:9" x14ac:dyDescent="0.25">
      <c r="A160" s="7">
        <v>158</v>
      </c>
      <c r="B160" s="103">
        <f t="shared" ca="1" si="17"/>
        <v>0.62665513893727787</v>
      </c>
      <c r="C160" s="7" t="str">
        <f>'PL1'!H167</f>
        <v>PL1-257</v>
      </c>
      <c r="D160" s="161"/>
      <c r="E160" s="162"/>
      <c r="F160" s="103">
        <f t="shared" ca="1" si="18"/>
        <v>0.92259699380188209</v>
      </c>
      <c r="G160" s="7" t="str">
        <f>'PL2'!H167</f>
        <v>PL2-257</v>
      </c>
      <c r="H160" s="161"/>
      <c r="I160" s="219"/>
    </row>
    <row r="161" spans="1:9" x14ac:dyDescent="0.25">
      <c r="A161" s="7">
        <v>159</v>
      </c>
      <c r="B161" s="103">
        <f t="shared" ca="1" si="17"/>
        <v>0.78573983674246062</v>
      </c>
      <c r="C161" s="7" t="str">
        <f>'PL1'!H168</f>
        <v>PL1-258</v>
      </c>
      <c r="D161" s="161"/>
      <c r="E161" s="162"/>
      <c r="F161" s="103">
        <f t="shared" ca="1" si="18"/>
        <v>0.3383580788884033</v>
      </c>
      <c r="G161" s="7" t="str">
        <f>'PL2'!H168</f>
        <v>PL2-258</v>
      </c>
      <c r="H161" s="161"/>
      <c r="I161" s="219"/>
    </row>
    <row r="162" spans="1:9" x14ac:dyDescent="0.25">
      <c r="A162" s="7">
        <v>160</v>
      </c>
      <c r="B162" s="103">
        <f t="shared" ca="1" si="17"/>
        <v>0.63698498617211752</v>
      </c>
      <c r="C162" s="7" t="str">
        <f>'PL1'!H169</f>
        <v>PL1-259</v>
      </c>
      <c r="D162" s="161"/>
      <c r="E162" s="162"/>
      <c r="F162" s="103">
        <f t="shared" ca="1" si="18"/>
        <v>0.24895311918001317</v>
      </c>
      <c r="G162" s="7" t="str">
        <f>'PL2'!H169</f>
        <v>PL2-259</v>
      </c>
      <c r="H162" s="161"/>
      <c r="I162" s="219"/>
    </row>
    <row r="163" spans="1:9" x14ac:dyDescent="0.25">
      <c r="A163" s="7">
        <v>161</v>
      </c>
      <c r="B163" s="103">
        <f t="shared" ca="1" si="17"/>
        <v>9.6072725052566921E-2</v>
      </c>
      <c r="C163" s="7" t="str">
        <f>'PL1'!H170</f>
        <v>PL1-260</v>
      </c>
      <c r="D163" s="161"/>
      <c r="E163" s="162"/>
      <c r="F163" s="103">
        <f t="shared" ca="1" si="18"/>
        <v>0.52555632074310032</v>
      </c>
      <c r="G163" s="7" t="str">
        <f>'PL2'!H170</f>
        <v>PL2-260</v>
      </c>
      <c r="H163" s="161"/>
      <c r="I163" s="219"/>
    </row>
    <row r="164" spans="1:9" x14ac:dyDescent="0.25">
      <c r="A164" s="7">
        <v>162</v>
      </c>
      <c r="B164" s="103">
        <f t="shared" ca="1" si="17"/>
        <v>0.99846983005011702</v>
      </c>
      <c r="C164" s="7" t="str">
        <f>'PL1'!H171</f>
        <v>PL1-261</v>
      </c>
      <c r="D164" s="161"/>
      <c r="E164" s="162"/>
      <c r="F164" s="103">
        <f t="shared" ca="1" si="18"/>
        <v>7.8539015471720042E-2</v>
      </c>
      <c r="G164" s="7" t="str">
        <f>'PL2'!H171</f>
        <v>PL2-261</v>
      </c>
      <c r="H164" s="161"/>
      <c r="I164" s="219"/>
    </row>
    <row r="165" spans="1:9" x14ac:dyDescent="0.25">
      <c r="A165" s="7">
        <v>163</v>
      </c>
      <c r="B165" s="103">
        <f t="shared" ca="1" si="17"/>
        <v>0.25394534220961562</v>
      </c>
      <c r="C165" s="7" t="str">
        <f>'PL1'!H172</f>
        <v>PL1-262</v>
      </c>
      <c r="D165" s="161"/>
      <c r="E165" s="162"/>
      <c r="F165" s="103">
        <f t="shared" ca="1" si="18"/>
        <v>0.64563396260488903</v>
      </c>
      <c r="G165" s="7" t="str">
        <f>'PL2'!H172</f>
        <v>PL2-262</v>
      </c>
      <c r="H165" s="161"/>
      <c r="I165" s="219"/>
    </row>
    <row r="166" spans="1:9" x14ac:dyDescent="0.25">
      <c r="A166" s="7">
        <v>164</v>
      </c>
      <c r="B166" s="103">
        <f t="shared" ca="1" si="17"/>
        <v>6.4360649410328041E-2</v>
      </c>
      <c r="C166" s="7" t="str">
        <f>'PL1'!H173</f>
        <v>PL1-263</v>
      </c>
      <c r="D166" s="161"/>
      <c r="E166" s="162"/>
      <c r="F166" s="103">
        <f t="shared" ca="1" si="18"/>
        <v>0.87597357213204619</v>
      </c>
      <c r="G166" s="7" t="str">
        <f>'PL2'!H173</f>
        <v>PL2-263</v>
      </c>
      <c r="H166" s="161"/>
      <c r="I166" s="219"/>
    </row>
    <row r="167" spans="1:9" x14ac:dyDescent="0.25">
      <c r="A167" s="7">
        <v>165</v>
      </c>
      <c r="B167" s="103">
        <f t="shared" ca="1" si="17"/>
        <v>0.77041725877388845</v>
      </c>
      <c r="C167" s="7" t="str">
        <f>'PL1'!H174</f>
        <v>PL1-264</v>
      </c>
      <c r="D167" s="161"/>
      <c r="E167" s="162"/>
      <c r="F167" s="103">
        <f t="shared" ca="1" si="18"/>
        <v>0.6957851966021189</v>
      </c>
      <c r="G167" s="7" t="str">
        <f>'PL2'!H174</f>
        <v>PL2-264</v>
      </c>
      <c r="H167" s="161"/>
      <c r="I167" s="219"/>
    </row>
    <row r="168" spans="1:9" x14ac:dyDescent="0.25">
      <c r="A168" s="7">
        <v>166</v>
      </c>
      <c r="B168" s="103">
        <f t="shared" ca="1" si="17"/>
        <v>0.50623921118554527</v>
      </c>
      <c r="C168" s="7" t="str">
        <f>'PL1'!H175</f>
        <v>PL1-265</v>
      </c>
      <c r="D168" s="161"/>
      <c r="E168" s="162"/>
      <c r="F168" s="103">
        <f t="shared" ca="1" si="18"/>
        <v>0.15410899228271469</v>
      </c>
      <c r="G168" s="7" t="str">
        <f>'PL2'!H175</f>
        <v>PL2-265</v>
      </c>
      <c r="H168" s="161"/>
      <c r="I168" s="219"/>
    </row>
    <row r="169" spans="1:9" x14ac:dyDescent="0.25">
      <c r="A169" s="7">
        <v>167</v>
      </c>
      <c r="B169" s="103">
        <f t="shared" ca="1" si="17"/>
        <v>0.31428169179027032</v>
      </c>
      <c r="C169" s="7" t="str">
        <f>'PL1'!H176</f>
        <v>PL1-266</v>
      </c>
      <c r="D169" s="161"/>
      <c r="E169" s="162"/>
      <c r="F169" s="103">
        <f t="shared" ca="1" si="18"/>
        <v>0.74666945057320311</v>
      </c>
      <c r="G169" s="7" t="str">
        <f>'PL2'!H176</f>
        <v>PL2-266</v>
      </c>
      <c r="H169" s="161"/>
      <c r="I169" s="219"/>
    </row>
    <row r="170" spans="1:9" x14ac:dyDescent="0.25">
      <c r="A170" s="7">
        <v>168</v>
      </c>
      <c r="B170" s="103">
        <f t="shared" ca="1" si="17"/>
        <v>0.71461285847101597</v>
      </c>
      <c r="C170" s="7" t="str">
        <f>'PL1'!H177</f>
        <v>PL1-267</v>
      </c>
      <c r="D170" s="161"/>
      <c r="E170" s="162"/>
      <c r="F170" s="103">
        <f t="shared" ca="1" si="18"/>
        <v>4.7147546586889244E-2</v>
      </c>
      <c r="G170" s="7" t="str">
        <f>'PL2'!H177</f>
        <v>PL2-267</v>
      </c>
      <c r="H170" s="161"/>
      <c r="I170" s="219"/>
    </row>
    <row r="171" spans="1:9" x14ac:dyDescent="0.25">
      <c r="A171" s="7">
        <v>169</v>
      </c>
      <c r="B171" s="103">
        <f t="shared" ca="1" si="17"/>
        <v>0.18565048533124928</v>
      </c>
      <c r="C171" s="7" t="str">
        <f>'PL1'!H178</f>
        <v>PL1-268</v>
      </c>
      <c r="D171" s="161"/>
      <c r="E171" s="162"/>
      <c r="F171" s="103" t="str">
        <f t="shared" ca="1" si="18"/>
        <v/>
      </c>
      <c r="G171" s="7" t="str">
        <f>'PL2'!H178</f>
        <v/>
      </c>
      <c r="H171" s="161"/>
      <c r="I171" s="219"/>
    </row>
    <row r="172" spans="1:9" x14ac:dyDescent="0.25">
      <c r="A172" s="7">
        <v>170</v>
      </c>
      <c r="B172" s="103">
        <f t="shared" ca="1" si="17"/>
        <v>0.83497312258416889</v>
      </c>
      <c r="C172" s="7" t="str">
        <f>'PL1'!H179</f>
        <v>PL1-269</v>
      </c>
      <c r="D172" s="161"/>
      <c r="E172" s="162"/>
      <c r="F172" s="103" t="str">
        <f t="shared" ca="1" si="18"/>
        <v/>
      </c>
      <c r="G172" s="7" t="str">
        <f>'PL2'!H179</f>
        <v/>
      </c>
      <c r="H172" s="161"/>
      <c r="I172" s="219"/>
    </row>
    <row r="173" spans="1:9" x14ac:dyDescent="0.25">
      <c r="A173" s="7">
        <v>171</v>
      </c>
      <c r="B173" s="103">
        <f t="shared" ca="1" si="17"/>
        <v>0.37636501582576998</v>
      </c>
      <c r="C173" s="7" t="str">
        <f>'PL1'!H180</f>
        <v>PL1-270</v>
      </c>
      <c r="D173" s="161"/>
      <c r="E173" s="162"/>
      <c r="F173" s="103" t="str">
        <f t="shared" ca="1" si="18"/>
        <v/>
      </c>
      <c r="G173" s="7" t="str">
        <f>'PL2'!H180</f>
        <v/>
      </c>
      <c r="H173" s="161"/>
      <c r="I173" s="219"/>
    </row>
    <row r="174" spans="1:9" x14ac:dyDescent="0.25">
      <c r="A174" s="7">
        <v>172</v>
      </c>
      <c r="B174" s="103">
        <f t="shared" ca="1" si="17"/>
        <v>2.0356806007765127E-2</v>
      </c>
      <c r="C174" s="7" t="str">
        <f>'PL1'!H181</f>
        <v>PL1-271</v>
      </c>
      <c r="D174" s="161"/>
      <c r="E174" s="162"/>
      <c r="F174" s="103" t="str">
        <f t="shared" ca="1" si="18"/>
        <v/>
      </c>
      <c r="G174" s="7" t="str">
        <f>'PL2'!H181</f>
        <v/>
      </c>
      <c r="H174" s="161"/>
      <c r="I174" s="219"/>
    </row>
    <row r="175" spans="1:9" x14ac:dyDescent="0.25">
      <c r="A175" s="7">
        <v>173</v>
      </c>
      <c r="B175" s="103">
        <f t="shared" ca="1" si="17"/>
        <v>0.96125685271502248</v>
      </c>
      <c r="C175" s="7" t="str">
        <f>'PL1'!H182</f>
        <v>PL1-272</v>
      </c>
      <c r="D175" s="161"/>
      <c r="E175" s="162"/>
      <c r="F175" s="103" t="str">
        <f t="shared" ca="1" si="18"/>
        <v/>
      </c>
      <c r="G175" s="7" t="str">
        <f>'PL2'!H182</f>
        <v/>
      </c>
      <c r="H175" s="161"/>
      <c r="I175" s="219"/>
    </row>
    <row r="176" spans="1:9" x14ac:dyDescent="0.25">
      <c r="A176" s="7">
        <v>174</v>
      </c>
      <c r="B176" s="103">
        <f t="shared" ca="1" si="17"/>
        <v>0.55707360412023199</v>
      </c>
      <c r="C176" s="7" t="str">
        <f>'PL1'!H183</f>
        <v>PL1-273</v>
      </c>
      <c r="D176" s="161"/>
      <c r="E176" s="162"/>
      <c r="F176" s="103" t="str">
        <f t="shared" ca="1" si="18"/>
        <v/>
      </c>
      <c r="G176" s="7" t="str">
        <f>'PL2'!H183</f>
        <v/>
      </c>
      <c r="H176" s="161"/>
      <c r="I176" s="219"/>
    </row>
    <row r="177" spans="1:9" x14ac:dyDescent="0.25">
      <c r="A177" s="7">
        <v>175</v>
      </c>
      <c r="B177" s="103">
        <f t="shared" ca="1" si="17"/>
        <v>8.6820051735204573E-2</v>
      </c>
      <c r="C177" s="7" t="str">
        <f>'PL1'!H184</f>
        <v>PL1-274</v>
      </c>
      <c r="D177" s="161"/>
      <c r="E177" s="162"/>
      <c r="F177" s="103" t="str">
        <f t="shared" ca="1" si="18"/>
        <v/>
      </c>
      <c r="G177" s="7" t="str">
        <f>'PL2'!H184</f>
        <v/>
      </c>
      <c r="H177" s="161"/>
      <c r="I177" s="219"/>
    </row>
    <row r="178" spans="1:9" x14ac:dyDescent="0.25">
      <c r="A178" s="7">
        <v>176</v>
      </c>
      <c r="B178" s="103">
        <f t="shared" ca="1" si="17"/>
        <v>0.55328572572757417</v>
      </c>
      <c r="C178" s="7" t="str">
        <f>'PL1'!H185</f>
        <v>PL1-275</v>
      </c>
      <c r="D178" s="161"/>
      <c r="E178" s="162"/>
      <c r="F178" s="103" t="str">
        <f t="shared" ca="1" si="18"/>
        <v/>
      </c>
      <c r="G178" s="7" t="str">
        <f>'PL2'!H185</f>
        <v/>
      </c>
      <c r="H178" s="161"/>
      <c r="I178" s="219"/>
    </row>
    <row r="179" spans="1:9" x14ac:dyDescent="0.25">
      <c r="A179" s="7">
        <v>177</v>
      </c>
      <c r="B179" s="103">
        <f t="shared" ca="1" si="17"/>
        <v>0.68681328950742293</v>
      </c>
      <c r="C179" s="7" t="str">
        <f>'PL1'!H186</f>
        <v>PL1-276</v>
      </c>
      <c r="D179" s="161"/>
      <c r="E179" s="162"/>
      <c r="F179" s="103" t="str">
        <f t="shared" ca="1" si="18"/>
        <v/>
      </c>
      <c r="G179" s="7" t="str">
        <f>'PL2'!H186</f>
        <v/>
      </c>
      <c r="H179" s="161"/>
      <c r="I179" s="219"/>
    </row>
    <row r="180" spans="1:9" x14ac:dyDescent="0.25">
      <c r="A180" s="7">
        <v>178</v>
      </c>
      <c r="B180" s="103">
        <f t="shared" ca="1" si="17"/>
        <v>0.57309725508228226</v>
      </c>
      <c r="C180" s="7" t="str">
        <f>'PL1'!H187</f>
        <v>PL1-277</v>
      </c>
      <c r="D180" s="161"/>
      <c r="E180" s="162"/>
      <c r="F180" s="103" t="str">
        <f t="shared" ca="1" si="18"/>
        <v/>
      </c>
      <c r="G180" s="7" t="str">
        <f>'PL2'!H187</f>
        <v/>
      </c>
      <c r="H180" s="161"/>
      <c r="I180" s="219"/>
    </row>
    <row r="181" spans="1:9" x14ac:dyDescent="0.25">
      <c r="A181" s="7">
        <v>179</v>
      </c>
      <c r="B181" s="103">
        <f t="shared" ca="1" si="17"/>
        <v>0.22574407747902314</v>
      </c>
      <c r="C181" s="7" t="str">
        <f>'PL1'!H188</f>
        <v>PL1-278</v>
      </c>
      <c r="D181" s="161"/>
      <c r="E181" s="162"/>
      <c r="F181" s="103" t="str">
        <f t="shared" ca="1" si="18"/>
        <v/>
      </c>
      <c r="G181" s="7" t="str">
        <f>'PL2'!H188</f>
        <v/>
      </c>
      <c r="H181" s="161"/>
      <c r="I181" s="219"/>
    </row>
    <row r="182" spans="1:9" x14ac:dyDescent="0.25">
      <c r="A182" s="7">
        <v>180</v>
      </c>
      <c r="B182" s="103">
        <f t="shared" ca="1" si="17"/>
        <v>0.27887358543483443</v>
      </c>
      <c r="C182" s="7" t="str">
        <f>'PL1'!H189</f>
        <v>PL1-279</v>
      </c>
      <c r="D182" s="161"/>
      <c r="E182" s="162"/>
      <c r="F182" s="103" t="str">
        <f t="shared" ca="1" si="18"/>
        <v/>
      </c>
      <c r="G182" s="7" t="str">
        <f>'PL2'!H189</f>
        <v/>
      </c>
      <c r="H182" s="161"/>
      <c r="I182" s="219"/>
    </row>
    <row r="183" spans="1:9" x14ac:dyDescent="0.25">
      <c r="A183" s="7">
        <v>181</v>
      </c>
      <c r="B183" s="103">
        <f t="shared" ca="1" si="17"/>
        <v>6.8820309219381981E-2</v>
      </c>
      <c r="C183" s="7" t="str">
        <f>'PL1'!H190</f>
        <v>PL1-280</v>
      </c>
      <c r="D183" s="161"/>
      <c r="E183" s="162"/>
      <c r="F183" s="103" t="str">
        <f t="shared" ca="1" si="18"/>
        <v/>
      </c>
      <c r="G183" s="7" t="str">
        <f>'PL2'!H190</f>
        <v/>
      </c>
      <c r="H183" s="161"/>
      <c r="I183" s="219"/>
    </row>
    <row r="184" spans="1:9" x14ac:dyDescent="0.25">
      <c r="A184" s="7">
        <v>182</v>
      </c>
      <c r="B184" s="103">
        <f t="shared" ca="1" si="17"/>
        <v>0.87843942669175967</v>
      </c>
      <c r="C184" s="7" t="str">
        <f>'PL1'!H191</f>
        <v>PL1-281</v>
      </c>
      <c r="D184" s="161"/>
      <c r="E184" s="162"/>
      <c r="F184" s="103" t="str">
        <f t="shared" ca="1" si="18"/>
        <v/>
      </c>
      <c r="G184" s="7" t="str">
        <f>'PL2'!H191</f>
        <v/>
      </c>
      <c r="H184" s="161"/>
      <c r="I184" s="219"/>
    </row>
    <row r="185" spans="1:9" x14ac:dyDescent="0.25">
      <c r="A185" s="7">
        <v>183</v>
      </c>
      <c r="B185" s="103">
        <f t="shared" ca="1" si="17"/>
        <v>0.74773552375202579</v>
      </c>
      <c r="C185" s="7" t="str">
        <f>'PL1'!H192</f>
        <v>PL1-282</v>
      </c>
      <c r="D185" s="161"/>
      <c r="E185" s="162"/>
      <c r="F185" s="103" t="str">
        <f t="shared" ca="1" si="18"/>
        <v/>
      </c>
      <c r="G185" s="7" t="str">
        <f>'PL2'!H192</f>
        <v/>
      </c>
      <c r="H185" s="161"/>
      <c r="I185" s="219"/>
    </row>
    <row r="186" spans="1:9" x14ac:dyDescent="0.25">
      <c r="A186" s="7">
        <v>184</v>
      </c>
      <c r="B186" s="103">
        <f t="shared" ca="1" si="17"/>
        <v>0.91642307541172863</v>
      </c>
      <c r="C186" s="7" t="str">
        <f>'PL1'!H193</f>
        <v>PL1-283</v>
      </c>
      <c r="D186" s="161"/>
      <c r="E186" s="162"/>
      <c r="F186" s="103" t="str">
        <f t="shared" ca="1" si="18"/>
        <v/>
      </c>
      <c r="G186" s="7" t="str">
        <f>'PL2'!H193</f>
        <v/>
      </c>
      <c r="H186" s="161"/>
      <c r="I186" s="219"/>
    </row>
    <row r="187" spans="1:9" x14ac:dyDescent="0.25">
      <c r="A187" s="7">
        <v>185</v>
      </c>
      <c r="B187" s="103">
        <f t="shared" ca="1" si="17"/>
        <v>0.59026640970902222</v>
      </c>
      <c r="C187" s="7" t="str">
        <f>'PL1'!H194</f>
        <v>PL1-284</v>
      </c>
      <c r="D187" s="161"/>
      <c r="E187" s="162"/>
      <c r="F187" s="103" t="str">
        <f t="shared" ca="1" si="18"/>
        <v/>
      </c>
      <c r="G187" s="7" t="str">
        <f>'PL2'!H194</f>
        <v/>
      </c>
      <c r="H187" s="161"/>
      <c r="I187" s="219"/>
    </row>
    <row r="188" spans="1:9" x14ac:dyDescent="0.25">
      <c r="A188" s="7">
        <v>186</v>
      </c>
      <c r="B188" s="103">
        <f t="shared" ca="1" si="17"/>
        <v>0.61444277546437664</v>
      </c>
      <c r="C188" s="7" t="str">
        <f>'PL1'!H195</f>
        <v>PL1-285</v>
      </c>
      <c r="D188" s="161"/>
      <c r="E188" s="162"/>
      <c r="F188" s="103" t="str">
        <f t="shared" ca="1" si="18"/>
        <v/>
      </c>
      <c r="G188" s="7" t="str">
        <f>'PL2'!H195</f>
        <v/>
      </c>
      <c r="H188" s="161"/>
      <c r="I188" s="219"/>
    </row>
    <row r="189" spans="1:9" x14ac:dyDescent="0.25">
      <c r="A189" s="7">
        <v>187</v>
      </c>
      <c r="B189" s="103">
        <f t="shared" ca="1" si="17"/>
        <v>0.28273988240887626</v>
      </c>
      <c r="C189" s="7" t="str">
        <f>'PL1'!H196</f>
        <v>PL1-286</v>
      </c>
      <c r="D189" s="161"/>
      <c r="E189" s="162"/>
      <c r="F189" s="103" t="str">
        <f t="shared" ca="1" si="18"/>
        <v/>
      </c>
      <c r="G189" s="7" t="str">
        <f>'PL2'!H196</f>
        <v/>
      </c>
      <c r="H189" s="161"/>
      <c r="I189" s="219"/>
    </row>
    <row r="190" spans="1:9" x14ac:dyDescent="0.25">
      <c r="A190" s="7">
        <v>188</v>
      </c>
      <c r="B190" s="103">
        <f t="shared" ca="1" si="17"/>
        <v>0.37870933417521291</v>
      </c>
      <c r="C190" s="7" t="str">
        <f>'PL1'!H197</f>
        <v>PL1-287</v>
      </c>
      <c r="D190" s="161"/>
      <c r="E190" s="162"/>
      <c r="F190" s="103" t="str">
        <f t="shared" ca="1" si="18"/>
        <v/>
      </c>
      <c r="G190" s="7" t="str">
        <f>'PL2'!H197</f>
        <v/>
      </c>
      <c r="H190" s="161"/>
      <c r="I190" s="219"/>
    </row>
    <row r="191" spans="1:9" x14ac:dyDescent="0.25">
      <c r="A191" s="7">
        <v>189</v>
      </c>
      <c r="B191" s="103">
        <f t="shared" ca="1" si="17"/>
        <v>0.28085014913025363</v>
      </c>
      <c r="C191" s="7" t="str">
        <f>'PL1'!H198</f>
        <v>PL1-288</v>
      </c>
      <c r="D191" s="161"/>
      <c r="E191" s="162"/>
      <c r="F191" s="103" t="str">
        <f t="shared" ca="1" si="18"/>
        <v/>
      </c>
      <c r="G191" s="7" t="str">
        <f>'PL2'!H198</f>
        <v/>
      </c>
      <c r="H191" s="161"/>
      <c r="I191" s="219"/>
    </row>
    <row r="192" spans="1:9" x14ac:dyDescent="0.25">
      <c r="A192" s="7">
        <v>190</v>
      </c>
      <c r="B192" s="103">
        <f t="shared" ca="1" si="17"/>
        <v>0.27101083332706066</v>
      </c>
      <c r="C192" s="7" t="str">
        <f>'PL1'!H199</f>
        <v>PL1-289</v>
      </c>
      <c r="D192" s="161"/>
      <c r="E192" s="162"/>
      <c r="F192" s="103" t="str">
        <f t="shared" ca="1" si="18"/>
        <v/>
      </c>
      <c r="G192" s="7" t="str">
        <f>'PL2'!H199</f>
        <v/>
      </c>
      <c r="H192" s="161"/>
      <c r="I192" s="219"/>
    </row>
    <row r="193" spans="1:9" x14ac:dyDescent="0.25">
      <c r="A193" s="7">
        <v>191</v>
      </c>
      <c r="B193" s="103">
        <f t="shared" ca="1" si="17"/>
        <v>0.21678045518522771</v>
      </c>
      <c r="C193" s="7" t="str">
        <f>'PL1'!H200</f>
        <v>PL1-290</v>
      </c>
      <c r="D193" s="161"/>
      <c r="E193" s="162"/>
      <c r="F193" s="103" t="str">
        <f t="shared" ca="1" si="18"/>
        <v/>
      </c>
      <c r="G193" s="7" t="str">
        <f>'PL2'!H200</f>
        <v/>
      </c>
      <c r="H193" s="161"/>
      <c r="I193" s="219"/>
    </row>
    <row r="194" spans="1:9" x14ac:dyDescent="0.25">
      <c r="A194" s="7">
        <v>192</v>
      </c>
      <c r="B194" s="103">
        <f t="shared" ca="1" si="17"/>
        <v>0.45360258941843812</v>
      </c>
      <c r="C194" s="7" t="str">
        <f>'PL1'!H201</f>
        <v>PL1-291</v>
      </c>
      <c r="D194" s="161"/>
      <c r="E194" s="162"/>
      <c r="F194" s="103" t="str">
        <f t="shared" ca="1" si="18"/>
        <v/>
      </c>
      <c r="G194" s="7" t="str">
        <f>'PL2'!H201</f>
        <v/>
      </c>
      <c r="H194" s="161"/>
      <c r="I194" s="219"/>
    </row>
    <row r="195" spans="1:9" x14ac:dyDescent="0.25">
      <c r="A195" s="7">
        <v>193</v>
      </c>
      <c r="B195" s="103">
        <f t="shared" ca="1" si="17"/>
        <v>0.69305356140112095</v>
      </c>
      <c r="C195" s="7" t="str">
        <f>'PL1'!H202</f>
        <v>PL1-292</v>
      </c>
      <c r="D195" s="161"/>
      <c r="E195" s="162"/>
      <c r="F195" s="103" t="str">
        <f t="shared" ca="1" si="18"/>
        <v/>
      </c>
      <c r="G195" s="7" t="str">
        <f>'PL2'!H202</f>
        <v/>
      </c>
      <c r="H195" s="161"/>
      <c r="I195" s="219"/>
    </row>
    <row r="196" spans="1:9" x14ac:dyDescent="0.25">
      <c r="A196" s="7">
        <v>194</v>
      </c>
      <c r="B196" s="103">
        <f t="shared" ref="B196:B259" ca="1" si="19">IF(C196="","",RAND())</f>
        <v>2.7443761758258911E-2</v>
      </c>
      <c r="C196" s="7" t="str">
        <f>'PL1'!H203</f>
        <v>PL1-293</v>
      </c>
      <c r="D196" s="161"/>
      <c r="E196" s="162"/>
      <c r="F196" s="103" t="str">
        <f t="shared" ref="F196:F259" ca="1" si="20">IF(G196="","",RAND())</f>
        <v/>
      </c>
      <c r="G196" s="7" t="str">
        <f>'PL2'!H203</f>
        <v/>
      </c>
      <c r="H196" s="161"/>
      <c r="I196" s="219"/>
    </row>
    <row r="197" spans="1:9" x14ac:dyDescent="0.25">
      <c r="A197" s="7">
        <v>195</v>
      </c>
      <c r="B197" s="103">
        <f t="shared" ca="1" si="19"/>
        <v>0.83604011385284305</v>
      </c>
      <c r="C197" s="7" t="str">
        <f>'PL1'!H204</f>
        <v>PL1-294</v>
      </c>
      <c r="D197" s="161"/>
      <c r="E197" s="162"/>
      <c r="F197" s="103" t="str">
        <f t="shared" ca="1" si="20"/>
        <v/>
      </c>
      <c r="G197" s="7" t="str">
        <f>'PL2'!H204</f>
        <v/>
      </c>
      <c r="H197" s="161"/>
      <c r="I197" s="219"/>
    </row>
    <row r="198" spans="1:9" x14ac:dyDescent="0.25">
      <c r="A198" s="7">
        <v>196</v>
      </c>
      <c r="B198" s="103">
        <f t="shared" ca="1" si="19"/>
        <v>0.30503395735940475</v>
      </c>
      <c r="C198" s="7" t="str">
        <f>'PL1'!H205</f>
        <v>PL1-295</v>
      </c>
      <c r="D198" s="161"/>
      <c r="E198" s="162"/>
      <c r="F198" s="103" t="str">
        <f t="shared" ca="1" si="20"/>
        <v/>
      </c>
      <c r="G198" s="7" t="str">
        <f>'PL2'!H205</f>
        <v/>
      </c>
      <c r="H198" s="161"/>
      <c r="I198" s="219"/>
    </row>
    <row r="199" spans="1:9" x14ac:dyDescent="0.25">
      <c r="A199" s="7">
        <v>197</v>
      </c>
      <c r="B199" s="103">
        <f t="shared" ca="1" si="19"/>
        <v>3.6618294606269974E-2</v>
      </c>
      <c r="C199" s="7" t="str">
        <f>'PL1'!H206</f>
        <v>PL1-296</v>
      </c>
      <c r="D199" s="161"/>
      <c r="E199" s="162"/>
      <c r="F199" s="103" t="str">
        <f t="shared" ca="1" si="20"/>
        <v/>
      </c>
      <c r="G199" s="7" t="str">
        <f>'PL2'!H206</f>
        <v/>
      </c>
      <c r="H199" s="161"/>
      <c r="I199" s="219"/>
    </row>
    <row r="200" spans="1:9" x14ac:dyDescent="0.25">
      <c r="A200" s="7">
        <v>198</v>
      </c>
      <c r="B200" s="103">
        <f t="shared" ca="1" si="19"/>
        <v>0.91946142260616948</v>
      </c>
      <c r="C200" s="7" t="str">
        <f>'PL1'!H207</f>
        <v>PL1-297</v>
      </c>
      <c r="D200" s="161"/>
      <c r="E200" s="162"/>
      <c r="F200" s="103" t="str">
        <f t="shared" ca="1" si="20"/>
        <v/>
      </c>
      <c r="G200" s="7" t="str">
        <f>'PL2'!H207</f>
        <v/>
      </c>
      <c r="H200" s="161"/>
      <c r="I200" s="219"/>
    </row>
    <row r="201" spans="1:9" x14ac:dyDescent="0.25">
      <c r="A201" s="7">
        <v>199</v>
      </c>
      <c r="B201" s="103">
        <f t="shared" ca="1" si="19"/>
        <v>0.44715762934616154</v>
      </c>
      <c r="C201" s="7" t="str">
        <f>'PL1'!H208</f>
        <v>PL1-298</v>
      </c>
      <c r="D201" s="161"/>
      <c r="E201" s="162"/>
      <c r="F201" s="103" t="str">
        <f t="shared" ca="1" si="20"/>
        <v/>
      </c>
      <c r="G201" s="7" t="str">
        <f>'PL2'!H208</f>
        <v/>
      </c>
      <c r="H201" s="161"/>
      <c r="I201" s="219"/>
    </row>
    <row r="202" spans="1:9" x14ac:dyDescent="0.25">
      <c r="A202" s="7">
        <v>200</v>
      </c>
      <c r="B202" s="103">
        <f t="shared" ca="1" si="19"/>
        <v>0.52040036408992218</v>
      </c>
      <c r="C202" s="7" t="str">
        <f>'PL1'!H209</f>
        <v>PL1-299</v>
      </c>
      <c r="D202" s="161"/>
      <c r="E202" s="162"/>
      <c r="F202" s="103" t="str">
        <f t="shared" ca="1" si="20"/>
        <v/>
      </c>
      <c r="G202" s="7" t="str">
        <f>'PL2'!H209</f>
        <v/>
      </c>
      <c r="H202" s="161"/>
      <c r="I202" s="219"/>
    </row>
    <row r="203" spans="1:9" x14ac:dyDescent="0.25">
      <c r="A203" s="7">
        <v>201</v>
      </c>
      <c r="B203" s="103">
        <f t="shared" ca="1" si="19"/>
        <v>1.4834035470706608E-3</v>
      </c>
      <c r="C203" s="7" t="str">
        <f>'PL1'!H210</f>
        <v>PL1-300</v>
      </c>
      <c r="D203" s="161"/>
      <c r="E203" s="162"/>
      <c r="F203" s="103" t="str">
        <f t="shared" ca="1" si="20"/>
        <v/>
      </c>
      <c r="G203" s="7" t="str">
        <f>'PL2'!H210</f>
        <v/>
      </c>
      <c r="H203" s="161"/>
      <c r="I203" s="219"/>
    </row>
    <row r="204" spans="1:9" x14ac:dyDescent="0.25">
      <c r="A204" s="7">
        <v>202</v>
      </c>
      <c r="B204" s="103">
        <f t="shared" ca="1" si="19"/>
        <v>1.7540813918805243E-2</v>
      </c>
      <c r="C204" s="7" t="str">
        <f>'PL1'!H211</f>
        <v>PL1-301</v>
      </c>
      <c r="D204" s="161"/>
      <c r="E204" s="162"/>
      <c r="F204" s="103" t="str">
        <f t="shared" ca="1" si="20"/>
        <v/>
      </c>
      <c r="G204" s="7" t="str">
        <f>'PL2'!H211</f>
        <v/>
      </c>
      <c r="H204" s="161"/>
      <c r="I204" s="219"/>
    </row>
    <row r="205" spans="1:9" x14ac:dyDescent="0.25">
      <c r="A205" s="7">
        <v>203</v>
      </c>
      <c r="B205" s="103">
        <f t="shared" ca="1" si="19"/>
        <v>0.73284529534019383</v>
      </c>
      <c r="C205" s="7" t="str">
        <f>'PL1'!H212</f>
        <v>PL1-302</v>
      </c>
      <c r="D205" s="161"/>
      <c r="E205" s="162"/>
      <c r="F205" s="103" t="str">
        <f t="shared" ca="1" si="20"/>
        <v/>
      </c>
      <c r="G205" s="7" t="str">
        <f>'PL2'!H212</f>
        <v/>
      </c>
      <c r="H205" s="161"/>
      <c r="I205" s="219"/>
    </row>
    <row r="206" spans="1:9" x14ac:dyDescent="0.25">
      <c r="A206" s="7">
        <v>204</v>
      </c>
      <c r="B206" s="103">
        <f t="shared" ca="1" si="19"/>
        <v>0.95455265796135047</v>
      </c>
      <c r="C206" s="7" t="str">
        <f>'PL1'!H213</f>
        <v>PL1-303</v>
      </c>
      <c r="D206" s="161"/>
      <c r="E206" s="162"/>
      <c r="F206" s="103" t="str">
        <f t="shared" ca="1" si="20"/>
        <v/>
      </c>
      <c r="G206" s="7" t="str">
        <f>'PL2'!H213</f>
        <v/>
      </c>
      <c r="H206" s="161"/>
      <c r="I206" s="219"/>
    </row>
    <row r="207" spans="1:9" x14ac:dyDescent="0.25">
      <c r="A207" s="7">
        <v>205</v>
      </c>
      <c r="B207" s="103">
        <f t="shared" ca="1" si="19"/>
        <v>0.49921350933703679</v>
      </c>
      <c r="C207" s="7" t="str">
        <f>'PL1'!H214</f>
        <v>PL1-304</v>
      </c>
      <c r="D207" s="161"/>
      <c r="E207" s="162"/>
      <c r="F207" s="103" t="str">
        <f t="shared" ca="1" si="20"/>
        <v/>
      </c>
      <c r="G207" s="7" t="str">
        <f>'PL2'!H214</f>
        <v/>
      </c>
      <c r="H207" s="161"/>
      <c r="I207" s="219"/>
    </row>
    <row r="208" spans="1:9" x14ac:dyDescent="0.25">
      <c r="A208" s="7">
        <v>206</v>
      </c>
      <c r="B208" s="103">
        <f t="shared" ca="1" si="19"/>
        <v>0.98329699514610036</v>
      </c>
      <c r="C208" s="7" t="str">
        <f>'PL1'!H215</f>
        <v>PL1-305</v>
      </c>
      <c r="D208" s="161"/>
      <c r="E208" s="162"/>
      <c r="F208" s="103" t="str">
        <f t="shared" ca="1" si="20"/>
        <v/>
      </c>
      <c r="G208" s="7" t="str">
        <f>'PL2'!H215</f>
        <v/>
      </c>
      <c r="H208" s="161"/>
      <c r="I208" s="219"/>
    </row>
    <row r="209" spans="1:9" x14ac:dyDescent="0.25">
      <c r="A209" s="7">
        <v>207</v>
      </c>
      <c r="B209" s="103">
        <f t="shared" ca="1" si="19"/>
        <v>0.2102002145537184</v>
      </c>
      <c r="C209" s="7" t="str">
        <f>'PL1'!H216</f>
        <v>PL1-306</v>
      </c>
      <c r="D209" s="161"/>
      <c r="E209" s="162"/>
      <c r="F209" s="103" t="str">
        <f t="shared" ca="1" si="20"/>
        <v/>
      </c>
      <c r="G209" s="7" t="str">
        <f>'PL2'!H216</f>
        <v/>
      </c>
      <c r="H209" s="161"/>
      <c r="I209" s="219"/>
    </row>
    <row r="210" spans="1:9" x14ac:dyDescent="0.25">
      <c r="A210" s="7">
        <v>208</v>
      </c>
      <c r="B210" s="103">
        <f t="shared" ca="1" si="19"/>
        <v>0.46326196056664493</v>
      </c>
      <c r="C210" s="7" t="str">
        <f>'PL1'!H217</f>
        <v>PL1-307</v>
      </c>
      <c r="D210" s="161"/>
      <c r="E210" s="162"/>
      <c r="F210" s="103" t="str">
        <f t="shared" ca="1" si="20"/>
        <v/>
      </c>
      <c r="G210" s="7" t="str">
        <f>'PL2'!H217</f>
        <v/>
      </c>
      <c r="H210" s="161"/>
      <c r="I210" s="219"/>
    </row>
    <row r="211" spans="1:9" x14ac:dyDescent="0.25">
      <c r="A211" s="7">
        <v>209</v>
      </c>
      <c r="B211" s="103">
        <f t="shared" ca="1" si="19"/>
        <v>0.13285821662963371</v>
      </c>
      <c r="C211" s="7" t="str">
        <f>'PL1'!H218</f>
        <v>PL1-308</v>
      </c>
      <c r="D211" s="161"/>
      <c r="E211" s="162"/>
      <c r="F211" s="103" t="str">
        <f t="shared" ca="1" si="20"/>
        <v/>
      </c>
      <c r="G211" s="7" t="str">
        <f>'PL2'!H218</f>
        <v/>
      </c>
      <c r="H211" s="161"/>
      <c r="I211" s="219"/>
    </row>
    <row r="212" spans="1:9" x14ac:dyDescent="0.25">
      <c r="A212" s="7">
        <v>210</v>
      </c>
      <c r="B212" s="103">
        <f t="shared" ca="1" si="19"/>
        <v>0.88018125969152783</v>
      </c>
      <c r="C212" s="7" t="str">
        <f>'PL1'!H219</f>
        <v>PL1-309</v>
      </c>
      <c r="D212" s="161"/>
      <c r="E212" s="162"/>
      <c r="F212" s="103" t="str">
        <f t="shared" ca="1" si="20"/>
        <v/>
      </c>
      <c r="G212" s="7" t="str">
        <f>'PL2'!H219</f>
        <v/>
      </c>
      <c r="H212" s="161"/>
      <c r="I212" s="219"/>
    </row>
    <row r="213" spans="1:9" x14ac:dyDescent="0.25">
      <c r="A213" s="7">
        <v>211</v>
      </c>
      <c r="B213" s="103">
        <f t="shared" ca="1" si="19"/>
        <v>0.30492873955149657</v>
      </c>
      <c r="C213" s="7" t="str">
        <f>'PL1'!H220</f>
        <v>PL1-310</v>
      </c>
      <c r="D213" s="161"/>
      <c r="E213" s="162"/>
      <c r="F213" s="103" t="str">
        <f t="shared" ca="1" si="20"/>
        <v/>
      </c>
      <c r="G213" s="7" t="str">
        <f>'PL2'!H220</f>
        <v/>
      </c>
      <c r="H213" s="161"/>
      <c r="I213" s="219"/>
    </row>
    <row r="214" spans="1:9" x14ac:dyDescent="0.25">
      <c r="A214" s="7">
        <v>212</v>
      </c>
      <c r="B214" s="103">
        <f t="shared" ca="1" si="19"/>
        <v>0.52685489361304472</v>
      </c>
      <c r="C214" s="7" t="str">
        <f>'PL1'!H221</f>
        <v>PL1-311</v>
      </c>
      <c r="D214" s="161"/>
      <c r="E214" s="162"/>
      <c r="F214" s="103" t="str">
        <f t="shared" ca="1" si="20"/>
        <v/>
      </c>
      <c r="G214" s="7" t="str">
        <f>'PL2'!H221</f>
        <v/>
      </c>
      <c r="H214" s="161"/>
      <c r="I214" s="219"/>
    </row>
    <row r="215" spans="1:9" x14ac:dyDescent="0.25">
      <c r="A215" s="7">
        <v>213</v>
      </c>
      <c r="B215" s="103">
        <f t="shared" ca="1" si="19"/>
        <v>9.5187852942843487E-2</v>
      </c>
      <c r="C215" s="7" t="str">
        <f>'PL1'!H222</f>
        <v>PL1-312</v>
      </c>
      <c r="D215" s="161"/>
      <c r="E215" s="162"/>
      <c r="F215" s="103" t="str">
        <f t="shared" ca="1" si="20"/>
        <v/>
      </c>
      <c r="G215" s="7" t="str">
        <f>'PL2'!H222</f>
        <v/>
      </c>
      <c r="H215" s="161"/>
      <c r="I215" s="219"/>
    </row>
    <row r="216" spans="1:9" x14ac:dyDescent="0.25">
      <c r="A216" s="7">
        <v>214</v>
      </c>
      <c r="B216" s="103">
        <f t="shared" ca="1" si="19"/>
        <v>0.12452171013081248</v>
      </c>
      <c r="C216" s="7" t="str">
        <f>'PL1'!H223</f>
        <v>PL1-313</v>
      </c>
      <c r="D216" s="161"/>
      <c r="E216" s="162"/>
      <c r="F216" s="103" t="str">
        <f t="shared" ca="1" si="20"/>
        <v/>
      </c>
      <c r="G216" s="7" t="str">
        <f>'PL2'!H223</f>
        <v/>
      </c>
      <c r="H216" s="161"/>
      <c r="I216" s="219"/>
    </row>
    <row r="217" spans="1:9" x14ac:dyDescent="0.25">
      <c r="A217" s="7">
        <v>215</v>
      </c>
      <c r="B217" s="103">
        <f t="shared" ca="1" si="19"/>
        <v>0.76705958703854538</v>
      </c>
      <c r="C217" s="7" t="str">
        <f>'PL1'!H224</f>
        <v>PL1-314</v>
      </c>
      <c r="D217" s="161"/>
      <c r="E217" s="162"/>
      <c r="F217" s="103" t="str">
        <f t="shared" ca="1" si="20"/>
        <v/>
      </c>
      <c r="G217" s="7" t="str">
        <f>'PL2'!H224</f>
        <v/>
      </c>
      <c r="H217" s="161"/>
      <c r="I217" s="219"/>
    </row>
    <row r="218" spans="1:9" x14ac:dyDescent="0.25">
      <c r="A218" s="7">
        <v>216</v>
      </c>
      <c r="B218" s="103">
        <f t="shared" ca="1" si="19"/>
        <v>0.6308098163069592</v>
      </c>
      <c r="C218" s="7" t="str">
        <f>'PL1'!H225</f>
        <v>PL1-315</v>
      </c>
      <c r="D218" s="161"/>
      <c r="E218" s="162"/>
      <c r="F218" s="103" t="str">
        <f t="shared" ca="1" si="20"/>
        <v/>
      </c>
      <c r="G218" s="7" t="str">
        <f>'PL2'!H225</f>
        <v/>
      </c>
      <c r="H218" s="161"/>
      <c r="I218" s="219"/>
    </row>
    <row r="219" spans="1:9" x14ac:dyDescent="0.25">
      <c r="A219" s="7">
        <v>217</v>
      </c>
      <c r="B219" s="103">
        <f t="shared" ca="1" si="19"/>
        <v>0.35612972691434808</v>
      </c>
      <c r="C219" s="7" t="str">
        <f>'PL1'!H226</f>
        <v>PL1-316</v>
      </c>
      <c r="D219" s="161"/>
      <c r="E219" s="162"/>
      <c r="F219" s="103" t="str">
        <f t="shared" ca="1" si="20"/>
        <v/>
      </c>
      <c r="G219" s="7" t="str">
        <f>'PL2'!H226</f>
        <v/>
      </c>
      <c r="H219" s="161"/>
      <c r="I219" s="219"/>
    </row>
    <row r="220" spans="1:9" x14ac:dyDescent="0.25">
      <c r="A220" s="7">
        <v>218</v>
      </c>
      <c r="B220" s="103">
        <f t="shared" ca="1" si="19"/>
        <v>0.81170321537610879</v>
      </c>
      <c r="C220" s="7" t="str">
        <f>'PL1'!H227</f>
        <v>PL1-317</v>
      </c>
      <c r="D220" s="161"/>
      <c r="E220" s="162"/>
      <c r="F220" s="103" t="str">
        <f t="shared" ca="1" si="20"/>
        <v/>
      </c>
      <c r="G220" s="7" t="str">
        <f>'PL2'!H227</f>
        <v/>
      </c>
      <c r="H220" s="161"/>
      <c r="I220" s="219"/>
    </row>
    <row r="221" spans="1:9" x14ac:dyDescent="0.25">
      <c r="A221" s="7">
        <v>219</v>
      </c>
      <c r="B221" s="103">
        <f t="shared" ca="1" si="19"/>
        <v>0.33844260774993751</v>
      </c>
      <c r="C221" s="7" t="str">
        <f>'PL1'!H228</f>
        <v>PL1-318</v>
      </c>
      <c r="D221" s="161"/>
      <c r="E221" s="162"/>
      <c r="F221" s="103" t="str">
        <f t="shared" ca="1" si="20"/>
        <v/>
      </c>
      <c r="G221" s="7" t="str">
        <f>'PL2'!H228</f>
        <v/>
      </c>
      <c r="H221" s="161"/>
      <c r="I221" s="219"/>
    </row>
    <row r="222" spans="1:9" x14ac:dyDescent="0.25">
      <c r="A222" s="7">
        <v>220</v>
      </c>
      <c r="B222" s="103">
        <f t="shared" ca="1" si="19"/>
        <v>0.98407198158223497</v>
      </c>
      <c r="C222" s="7" t="str">
        <f>'PL1'!H229</f>
        <v>PL1-319</v>
      </c>
      <c r="D222" s="161"/>
      <c r="E222" s="162"/>
      <c r="F222" s="103" t="str">
        <f t="shared" ca="1" si="20"/>
        <v/>
      </c>
      <c r="G222" s="7" t="str">
        <f>'PL2'!H229</f>
        <v/>
      </c>
      <c r="H222" s="161"/>
      <c r="I222" s="219"/>
    </row>
    <row r="223" spans="1:9" x14ac:dyDescent="0.25">
      <c r="A223" s="7">
        <v>221</v>
      </c>
      <c r="B223" s="103">
        <f t="shared" ca="1" si="19"/>
        <v>0.2145553870020932</v>
      </c>
      <c r="C223" s="7" t="str">
        <f>'PL1'!H230</f>
        <v>PL1-320</v>
      </c>
      <c r="D223" s="161"/>
      <c r="E223" s="162"/>
      <c r="F223" s="103" t="str">
        <f t="shared" ca="1" si="20"/>
        <v/>
      </c>
      <c r="G223" s="7" t="str">
        <f>'PL2'!H230</f>
        <v/>
      </c>
      <c r="H223" s="161"/>
      <c r="I223" s="219"/>
    </row>
    <row r="224" spans="1:9" x14ac:dyDescent="0.25">
      <c r="A224" s="7">
        <v>222</v>
      </c>
      <c r="B224" s="103">
        <f t="shared" ca="1" si="19"/>
        <v>0.8866714105915694</v>
      </c>
      <c r="C224" s="7" t="str">
        <f>'PL1'!H231</f>
        <v>PL1-321</v>
      </c>
      <c r="D224" s="161"/>
      <c r="E224" s="162"/>
      <c r="F224" s="103" t="str">
        <f t="shared" ca="1" si="20"/>
        <v/>
      </c>
      <c r="G224" s="7" t="str">
        <f>'PL2'!H231</f>
        <v/>
      </c>
      <c r="H224" s="161"/>
      <c r="I224" s="219"/>
    </row>
    <row r="225" spans="1:9" x14ac:dyDescent="0.25">
      <c r="A225" s="7">
        <v>223</v>
      </c>
      <c r="B225" s="103">
        <f t="shared" ca="1" si="19"/>
        <v>0.89689725361570172</v>
      </c>
      <c r="C225" s="7" t="str">
        <f>'PL1'!H232</f>
        <v>PL1-322</v>
      </c>
      <c r="D225" s="161"/>
      <c r="E225" s="162"/>
      <c r="F225" s="103" t="str">
        <f t="shared" ca="1" si="20"/>
        <v/>
      </c>
      <c r="G225" s="7" t="str">
        <f>'PL2'!H232</f>
        <v/>
      </c>
      <c r="H225" s="161"/>
      <c r="I225" s="219"/>
    </row>
    <row r="226" spans="1:9" x14ac:dyDescent="0.25">
      <c r="A226" s="7">
        <v>224</v>
      </c>
      <c r="B226" s="103">
        <f t="shared" ca="1" si="19"/>
        <v>0.37681886511977636</v>
      </c>
      <c r="C226" s="7" t="str">
        <f>'PL1'!H233</f>
        <v>PL1-323</v>
      </c>
      <c r="D226" s="161"/>
      <c r="E226" s="162"/>
      <c r="F226" s="103" t="str">
        <f t="shared" ca="1" si="20"/>
        <v/>
      </c>
      <c r="G226" s="7" t="str">
        <f>'PL2'!H233</f>
        <v/>
      </c>
      <c r="H226" s="161"/>
      <c r="I226" s="219"/>
    </row>
    <row r="227" spans="1:9" x14ac:dyDescent="0.25">
      <c r="A227" s="7">
        <v>225</v>
      </c>
      <c r="B227" s="103">
        <f t="shared" ca="1" si="19"/>
        <v>0.72986235049831583</v>
      </c>
      <c r="C227" s="7" t="str">
        <f>'PL1'!H234</f>
        <v>PL1-324</v>
      </c>
      <c r="D227" s="161"/>
      <c r="E227" s="162"/>
      <c r="F227" s="103" t="str">
        <f t="shared" ca="1" si="20"/>
        <v/>
      </c>
      <c r="G227" s="7" t="str">
        <f>'PL2'!H234</f>
        <v/>
      </c>
      <c r="H227" s="161"/>
      <c r="I227" s="219"/>
    </row>
    <row r="228" spans="1:9" x14ac:dyDescent="0.25">
      <c r="A228" s="7">
        <v>226</v>
      </c>
      <c r="B228" s="103">
        <f t="shared" ca="1" si="19"/>
        <v>0.52029683032648533</v>
      </c>
      <c r="C228" s="7" t="str">
        <f>'PL1'!H235</f>
        <v>PL1-325</v>
      </c>
      <c r="D228" s="161"/>
      <c r="E228" s="162"/>
      <c r="F228" s="103" t="str">
        <f t="shared" ca="1" si="20"/>
        <v/>
      </c>
      <c r="G228" s="7" t="str">
        <f>'PL2'!H235</f>
        <v/>
      </c>
      <c r="H228" s="161"/>
      <c r="I228" s="219"/>
    </row>
    <row r="229" spans="1:9" x14ac:dyDescent="0.25">
      <c r="A229" s="7">
        <v>227</v>
      </c>
      <c r="B229" s="103">
        <f t="shared" ca="1" si="19"/>
        <v>0.53094820750253169</v>
      </c>
      <c r="C229" s="7" t="str">
        <f>'PL1'!H236</f>
        <v>PL1-326</v>
      </c>
      <c r="D229" s="161"/>
      <c r="E229" s="162"/>
      <c r="F229" s="103" t="str">
        <f t="shared" ca="1" si="20"/>
        <v/>
      </c>
      <c r="G229" s="7" t="str">
        <f>'PL2'!H236</f>
        <v/>
      </c>
      <c r="H229" s="161"/>
      <c r="I229" s="219"/>
    </row>
    <row r="230" spans="1:9" x14ac:dyDescent="0.25">
      <c r="A230" s="7">
        <v>228</v>
      </c>
      <c r="B230" s="103">
        <f t="shared" ca="1" si="19"/>
        <v>0.46652066544071524</v>
      </c>
      <c r="C230" s="7" t="str">
        <f>'PL1'!H237</f>
        <v>PL1-327</v>
      </c>
      <c r="D230" s="161"/>
      <c r="E230" s="162"/>
      <c r="F230" s="103" t="str">
        <f t="shared" ca="1" si="20"/>
        <v/>
      </c>
      <c r="G230" s="7" t="str">
        <f>'PL2'!H237</f>
        <v/>
      </c>
      <c r="H230" s="161"/>
      <c r="I230" s="219"/>
    </row>
    <row r="231" spans="1:9" x14ac:dyDescent="0.25">
      <c r="A231" s="7">
        <v>229</v>
      </c>
      <c r="B231" s="103">
        <f t="shared" ca="1" si="19"/>
        <v>0.52763663090191038</v>
      </c>
      <c r="C231" s="7" t="str">
        <f>'PL1'!H238</f>
        <v>PL1-328</v>
      </c>
      <c r="D231" s="161"/>
      <c r="E231" s="162"/>
      <c r="F231" s="103" t="str">
        <f t="shared" ca="1" si="20"/>
        <v/>
      </c>
      <c r="G231" s="7" t="str">
        <f>'PL2'!H238</f>
        <v/>
      </c>
      <c r="H231" s="161"/>
      <c r="I231" s="219"/>
    </row>
    <row r="232" spans="1:9" x14ac:dyDescent="0.25">
      <c r="A232" s="7">
        <v>230</v>
      </c>
      <c r="B232" s="103">
        <f t="shared" ca="1" si="19"/>
        <v>0.34110949124535939</v>
      </c>
      <c r="C232" s="7" t="str">
        <f>'PL1'!H239</f>
        <v>PL1-329</v>
      </c>
      <c r="D232" s="161"/>
      <c r="E232" s="162"/>
      <c r="F232" s="103" t="str">
        <f t="shared" ca="1" si="20"/>
        <v/>
      </c>
      <c r="G232" s="7" t="str">
        <f>'PL2'!H239</f>
        <v/>
      </c>
      <c r="H232" s="161"/>
      <c r="I232" s="219"/>
    </row>
    <row r="233" spans="1:9" x14ac:dyDescent="0.25">
      <c r="A233" s="7">
        <v>231</v>
      </c>
      <c r="B233" s="103">
        <f t="shared" ca="1" si="19"/>
        <v>0.73410337088114774</v>
      </c>
      <c r="C233" s="7" t="str">
        <f>'PL1'!H240</f>
        <v>PL1-330</v>
      </c>
      <c r="D233" s="161"/>
      <c r="E233" s="162"/>
      <c r="F233" s="103" t="str">
        <f t="shared" ca="1" si="20"/>
        <v/>
      </c>
      <c r="G233" s="7" t="str">
        <f>'PL2'!H240</f>
        <v/>
      </c>
      <c r="H233" s="161"/>
      <c r="I233" s="219"/>
    </row>
    <row r="234" spans="1:9" x14ac:dyDescent="0.25">
      <c r="A234" s="7">
        <v>232</v>
      </c>
      <c r="B234" s="103">
        <f t="shared" ca="1" si="19"/>
        <v>0.63640827953486245</v>
      </c>
      <c r="C234" s="7" t="str">
        <f>'PL1'!H241</f>
        <v>PL1-331</v>
      </c>
      <c r="D234" s="161"/>
      <c r="E234" s="162"/>
      <c r="F234" s="103" t="str">
        <f t="shared" ca="1" si="20"/>
        <v/>
      </c>
      <c r="G234" s="7" t="str">
        <f>'PL2'!H241</f>
        <v/>
      </c>
      <c r="H234" s="161"/>
      <c r="I234" s="219"/>
    </row>
    <row r="235" spans="1:9" x14ac:dyDescent="0.25">
      <c r="A235" s="7">
        <v>233</v>
      </c>
      <c r="B235" s="103">
        <f t="shared" ca="1" si="19"/>
        <v>0.89955264295938497</v>
      </c>
      <c r="C235" s="7" t="str">
        <f>'PL1'!H242</f>
        <v>PL1-332</v>
      </c>
      <c r="D235" s="161"/>
      <c r="E235" s="162"/>
      <c r="F235" s="103" t="str">
        <f t="shared" ca="1" si="20"/>
        <v/>
      </c>
      <c r="G235" s="7" t="str">
        <f>'PL2'!H242</f>
        <v/>
      </c>
      <c r="H235" s="161"/>
      <c r="I235" s="219"/>
    </row>
    <row r="236" spans="1:9" x14ac:dyDescent="0.25">
      <c r="A236" s="7">
        <v>234</v>
      </c>
      <c r="B236" s="103">
        <f t="shared" ca="1" si="19"/>
        <v>9.707085642562463E-2</v>
      </c>
      <c r="C236" s="7" t="str">
        <f>'PL1'!H243</f>
        <v>PL1-333</v>
      </c>
      <c r="D236" s="161"/>
      <c r="E236" s="162"/>
      <c r="F236" s="103" t="str">
        <f t="shared" ca="1" si="20"/>
        <v/>
      </c>
      <c r="G236" s="7" t="str">
        <f>'PL2'!H243</f>
        <v/>
      </c>
      <c r="H236" s="161"/>
      <c r="I236" s="219"/>
    </row>
    <row r="237" spans="1:9" x14ac:dyDescent="0.25">
      <c r="A237" s="7">
        <v>235</v>
      </c>
      <c r="B237" s="103">
        <f t="shared" ca="1" si="19"/>
        <v>0.10020036234204033</v>
      </c>
      <c r="C237" s="7" t="str">
        <f>'PL1'!H244</f>
        <v>PL1-334</v>
      </c>
      <c r="D237" s="161"/>
      <c r="E237" s="162"/>
      <c r="F237" s="103" t="str">
        <f t="shared" ca="1" si="20"/>
        <v/>
      </c>
      <c r="G237" s="7" t="str">
        <f>'PL2'!H244</f>
        <v/>
      </c>
      <c r="H237" s="161"/>
      <c r="I237" s="219"/>
    </row>
    <row r="238" spans="1:9" x14ac:dyDescent="0.25">
      <c r="A238" s="7">
        <v>236</v>
      </c>
      <c r="B238" s="103">
        <f t="shared" ca="1" si="19"/>
        <v>0.94573344935489712</v>
      </c>
      <c r="C238" s="7" t="str">
        <f>'PL1'!H245</f>
        <v>PL1-335</v>
      </c>
      <c r="D238" s="161"/>
      <c r="E238" s="162"/>
      <c r="F238" s="103" t="str">
        <f t="shared" ca="1" si="20"/>
        <v/>
      </c>
      <c r="G238" s="7" t="str">
        <f>'PL2'!H245</f>
        <v/>
      </c>
      <c r="H238" s="161"/>
      <c r="I238" s="219"/>
    </row>
    <row r="239" spans="1:9" x14ac:dyDescent="0.25">
      <c r="A239" s="7">
        <v>237</v>
      </c>
      <c r="B239" s="103">
        <f t="shared" ca="1" si="19"/>
        <v>0.59604745146819749</v>
      </c>
      <c r="C239" s="7" t="str">
        <f>'PL1'!H246</f>
        <v>PL1-336</v>
      </c>
      <c r="D239" s="161"/>
      <c r="E239" s="162"/>
      <c r="F239" s="103" t="str">
        <f t="shared" ca="1" si="20"/>
        <v/>
      </c>
      <c r="G239" s="7" t="str">
        <f>'PL2'!H246</f>
        <v/>
      </c>
      <c r="H239" s="161"/>
      <c r="I239" s="219"/>
    </row>
    <row r="240" spans="1:9" x14ac:dyDescent="0.25">
      <c r="A240" s="7">
        <v>238</v>
      </c>
      <c r="B240" s="103">
        <f t="shared" ca="1" si="19"/>
        <v>0.50405806876893577</v>
      </c>
      <c r="C240" s="7" t="str">
        <f>'PL1'!H247</f>
        <v>PL1-337</v>
      </c>
      <c r="D240" s="161"/>
      <c r="E240" s="162"/>
      <c r="F240" s="103" t="str">
        <f t="shared" ca="1" si="20"/>
        <v/>
      </c>
      <c r="G240" s="7" t="str">
        <f>'PL2'!H247</f>
        <v/>
      </c>
      <c r="H240" s="161"/>
      <c r="I240" s="219"/>
    </row>
    <row r="241" spans="1:9" x14ac:dyDescent="0.25">
      <c r="A241" s="7">
        <v>239</v>
      </c>
      <c r="B241" s="103">
        <f t="shared" ca="1" si="19"/>
        <v>0.87060707508890156</v>
      </c>
      <c r="C241" s="7" t="str">
        <f>'PL1'!H248</f>
        <v>PL1-338</v>
      </c>
      <c r="D241" s="161"/>
      <c r="E241" s="162"/>
      <c r="F241" s="103" t="str">
        <f t="shared" ca="1" si="20"/>
        <v/>
      </c>
      <c r="G241" s="7" t="str">
        <f>'PL2'!H248</f>
        <v/>
      </c>
      <c r="H241" s="161"/>
      <c r="I241" s="219"/>
    </row>
    <row r="242" spans="1:9" x14ac:dyDescent="0.25">
      <c r="A242" s="7">
        <v>240</v>
      </c>
      <c r="B242" s="103">
        <f t="shared" ca="1" si="19"/>
        <v>0.3841013410297327</v>
      </c>
      <c r="C242" s="7" t="str">
        <f>'PL1'!H249</f>
        <v>PL1-339</v>
      </c>
      <c r="D242" s="161"/>
      <c r="E242" s="162"/>
      <c r="F242" s="103" t="str">
        <f t="shared" ca="1" si="20"/>
        <v/>
      </c>
      <c r="G242" s="7" t="str">
        <f>'PL2'!H249</f>
        <v/>
      </c>
      <c r="H242" s="161"/>
      <c r="I242" s="219"/>
    </row>
    <row r="243" spans="1:9" x14ac:dyDescent="0.25">
      <c r="A243" s="7">
        <v>241</v>
      </c>
      <c r="B243" s="103">
        <f t="shared" ca="1" si="19"/>
        <v>0.52479146872535498</v>
      </c>
      <c r="C243" s="7" t="str">
        <f>'PL1'!H250</f>
        <v>PL1-340</v>
      </c>
      <c r="D243" s="161"/>
      <c r="E243" s="162"/>
      <c r="F243" s="103" t="str">
        <f t="shared" ca="1" si="20"/>
        <v/>
      </c>
      <c r="G243" s="7" t="str">
        <f>'PL2'!H250</f>
        <v/>
      </c>
      <c r="H243" s="161"/>
      <c r="I243" s="219"/>
    </row>
    <row r="244" spans="1:9" x14ac:dyDescent="0.25">
      <c r="A244" s="7">
        <v>242</v>
      </c>
      <c r="B244" s="103">
        <f t="shared" ca="1" si="19"/>
        <v>0.28870261113338724</v>
      </c>
      <c r="C244" s="7" t="str">
        <f>'PL1'!H251</f>
        <v>PL1-341</v>
      </c>
      <c r="D244" s="161"/>
      <c r="E244" s="162"/>
      <c r="F244" s="103" t="str">
        <f t="shared" ca="1" si="20"/>
        <v/>
      </c>
      <c r="G244" s="7" t="str">
        <f>'PL2'!H251</f>
        <v/>
      </c>
      <c r="H244" s="161"/>
      <c r="I244" s="219"/>
    </row>
    <row r="245" spans="1:9" x14ac:dyDescent="0.25">
      <c r="A245" s="7">
        <v>243</v>
      </c>
      <c r="B245" s="103">
        <f t="shared" ca="1" si="19"/>
        <v>0.45919911618837617</v>
      </c>
      <c r="C245" s="7" t="str">
        <f>'PL1'!H252</f>
        <v>PL1-342</v>
      </c>
      <c r="D245" s="161"/>
      <c r="E245" s="162"/>
      <c r="F245" s="103" t="str">
        <f t="shared" ca="1" si="20"/>
        <v/>
      </c>
      <c r="G245" s="7" t="str">
        <f>'PL2'!H252</f>
        <v/>
      </c>
      <c r="H245" s="161"/>
      <c r="I245" s="219"/>
    </row>
    <row r="246" spans="1:9" x14ac:dyDescent="0.25">
      <c r="A246" s="7">
        <v>244</v>
      </c>
      <c r="B246" s="103">
        <f t="shared" ca="1" si="19"/>
        <v>0.84671454847355432</v>
      </c>
      <c r="C246" s="7" t="str">
        <f>'PL1'!H253</f>
        <v>PL1-343</v>
      </c>
      <c r="D246" s="161"/>
      <c r="E246" s="162"/>
      <c r="F246" s="103" t="str">
        <f t="shared" ca="1" si="20"/>
        <v/>
      </c>
      <c r="G246" s="7" t="str">
        <f>'PL2'!H253</f>
        <v/>
      </c>
      <c r="H246" s="161"/>
      <c r="I246" s="219"/>
    </row>
    <row r="247" spans="1:9" x14ac:dyDescent="0.25">
      <c r="A247" s="7">
        <v>245</v>
      </c>
      <c r="B247" s="103">
        <f t="shared" ca="1" si="19"/>
        <v>2.4172455425502504E-2</v>
      </c>
      <c r="C247" s="7" t="str">
        <f>'PL1'!H254</f>
        <v>PL1-344</v>
      </c>
      <c r="D247" s="161"/>
      <c r="E247" s="162"/>
      <c r="F247" s="103" t="str">
        <f t="shared" ca="1" si="20"/>
        <v/>
      </c>
      <c r="G247" s="7" t="str">
        <f>'PL2'!H254</f>
        <v/>
      </c>
      <c r="H247" s="161"/>
      <c r="I247" s="219"/>
    </row>
    <row r="248" spans="1:9" x14ac:dyDescent="0.25">
      <c r="A248" s="7">
        <v>246</v>
      </c>
      <c r="B248" s="103">
        <f t="shared" ca="1" si="19"/>
        <v>0.75212245127928912</v>
      </c>
      <c r="C248" s="7" t="str">
        <f>'PL1'!H255</f>
        <v>PL1-345</v>
      </c>
      <c r="D248" s="161"/>
      <c r="E248" s="162"/>
      <c r="F248" s="103" t="str">
        <f t="shared" ca="1" si="20"/>
        <v/>
      </c>
      <c r="G248" s="7" t="str">
        <f>'PL2'!H255</f>
        <v/>
      </c>
      <c r="H248" s="161"/>
      <c r="I248" s="219"/>
    </row>
    <row r="249" spans="1:9" x14ac:dyDescent="0.25">
      <c r="A249" s="7">
        <v>247</v>
      </c>
      <c r="B249" s="103">
        <f t="shared" ca="1" si="19"/>
        <v>0.37144724651531891</v>
      </c>
      <c r="C249" s="7" t="str">
        <f>'PL1'!H256</f>
        <v>PL1-346</v>
      </c>
      <c r="D249" s="161"/>
      <c r="E249" s="162"/>
      <c r="F249" s="103" t="str">
        <f t="shared" ca="1" si="20"/>
        <v/>
      </c>
      <c r="G249" s="7" t="str">
        <f>'PL2'!H256</f>
        <v/>
      </c>
      <c r="H249" s="161"/>
      <c r="I249" s="219"/>
    </row>
    <row r="250" spans="1:9" x14ac:dyDescent="0.25">
      <c r="A250" s="7">
        <v>248</v>
      </c>
      <c r="B250" s="103">
        <f t="shared" ca="1" si="19"/>
        <v>7.4804772518022311E-3</v>
      </c>
      <c r="C250" s="7" t="str">
        <f>'PL1'!H257</f>
        <v>PL1-347</v>
      </c>
      <c r="D250" s="161"/>
      <c r="E250" s="162"/>
      <c r="F250" s="103" t="str">
        <f t="shared" ca="1" si="20"/>
        <v/>
      </c>
      <c r="G250" s="7" t="str">
        <f>'PL2'!H257</f>
        <v/>
      </c>
      <c r="H250" s="161"/>
      <c r="I250" s="219"/>
    </row>
    <row r="251" spans="1:9" x14ac:dyDescent="0.25">
      <c r="A251" s="7">
        <v>249</v>
      </c>
      <c r="B251" s="103">
        <f t="shared" ca="1" si="19"/>
        <v>0.47454252161361454</v>
      </c>
      <c r="C251" s="7" t="str">
        <f>'PL1'!H258</f>
        <v>PL1-348</v>
      </c>
      <c r="D251" s="161"/>
      <c r="E251" s="162"/>
      <c r="F251" s="103" t="str">
        <f t="shared" ca="1" si="20"/>
        <v/>
      </c>
      <c r="G251" s="7" t="str">
        <f>'PL2'!H258</f>
        <v/>
      </c>
      <c r="H251" s="161"/>
      <c r="I251" s="219"/>
    </row>
    <row r="252" spans="1:9" x14ac:dyDescent="0.25">
      <c r="A252" s="7">
        <v>250</v>
      </c>
      <c r="B252" s="103">
        <f t="shared" ca="1" si="19"/>
        <v>0.49469071104294893</v>
      </c>
      <c r="C252" s="7" t="str">
        <f>'PL1'!H259</f>
        <v>PL1-349</v>
      </c>
      <c r="D252" s="161"/>
      <c r="E252" s="162"/>
      <c r="F252" s="103" t="str">
        <f t="shared" ca="1" si="20"/>
        <v/>
      </c>
      <c r="G252" s="7" t="str">
        <f>'PL2'!H259</f>
        <v/>
      </c>
      <c r="H252" s="161"/>
      <c r="I252" s="219"/>
    </row>
    <row r="253" spans="1:9" x14ac:dyDescent="0.25">
      <c r="A253" s="7">
        <v>251</v>
      </c>
      <c r="B253" s="103">
        <f t="shared" ca="1" si="19"/>
        <v>0.95951276098214011</v>
      </c>
      <c r="C253" s="7" t="str">
        <f>'PL1'!H260</f>
        <v>PL1-350</v>
      </c>
      <c r="D253" s="161"/>
      <c r="E253" s="162"/>
      <c r="F253" s="103" t="str">
        <f t="shared" ca="1" si="20"/>
        <v/>
      </c>
      <c r="G253" s="7" t="str">
        <f>'PL2'!H260</f>
        <v/>
      </c>
      <c r="H253" s="161"/>
      <c r="I253" s="219"/>
    </row>
    <row r="254" spans="1:9" x14ac:dyDescent="0.25">
      <c r="A254" s="7">
        <v>252</v>
      </c>
      <c r="B254" s="103">
        <f t="shared" ca="1" si="19"/>
        <v>0.1755929280488201</v>
      </c>
      <c r="C254" s="7" t="str">
        <f>'PL1'!H261</f>
        <v>PL1-351</v>
      </c>
      <c r="D254" s="161"/>
      <c r="E254" s="162"/>
      <c r="F254" s="103" t="str">
        <f t="shared" ca="1" si="20"/>
        <v/>
      </c>
      <c r="G254" s="7" t="str">
        <f>'PL2'!H261</f>
        <v/>
      </c>
      <c r="H254" s="161"/>
      <c r="I254" s="219"/>
    </row>
    <row r="255" spans="1:9" x14ac:dyDescent="0.25">
      <c r="A255" s="7">
        <v>253</v>
      </c>
      <c r="B255" s="103">
        <f t="shared" ca="1" si="19"/>
        <v>0.59564249654053036</v>
      </c>
      <c r="C255" s="7" t="str">
        <f>'PL1'!H262</f>
        <v>PL1-352</v>
      </c>
      <c r="D255" s="161"/>
      <c r="E255" s="162"/>
      <c r="F255" s="103" t="str">
        <f t="shared" ca="1" si="20"/>
        <v/>
      </c>
      <c r="G255" s="7" t="str">
        <f>'PL2'!H262</f>
        <v/>
      </c>
      <c r="H255" s="161"/>
      <c r="I255" s="219"/>
    </row>
    <row r="256" spans="1:9" x14ac:dyDescent="0.25">
      <c r="A256" s="7">
        <v>254</v>
      </c>
      <c r="B256" s="103">
        <f t="shared" ca="1" si="19"/>
        <v>0.42692901207185863</v>
      </c>
      <c r="C256" s="7" t="str">
        <f>'PL1'!H263</f>
        <v>PL1-353</v>
      </c>
      <c r="D256" s="161"/>
      <c r="E256" s="162"/>
      <c r="F256" s="103" t="str">
        <f t="shared" ca="1" si="20"/>
        <v/>
      </c>
      <c r="G256" s="7" t="str">
        <f>'PL2'!H263</f>
        <v/>
      </c>
      <c r="H256" s="161"/>
      <c r="I256" s="219"/>
    </row>
    <row r="257" spans="1:9" x14ac:dyDescent="0.25">
      <c r="A257" s="7">
        <v>255</v>
      </c>
      <c r="B257" s="103">
        <f t="shared" ca="1" si="19"/>
        <v>0.72271193958696434</v>
      </c>
      <c r="C257" s="7" t="str">
        <f>'PL1'!H264</f>
        <v>PL1-354</v>
      </c>
      <c r="D257" s="161"/>
      <c r="E257" s="162"/>
      <c r="F257" s="103" t="str">
        <f t="shared" ca="1" si="20"/>
        <v/>
      </c>
      <c r="G257" s="7" t="str">
        <f>'PL2'!H264</f>
        <v/>
      </c>
      <c r="H257" s="161"/>
      <c r="I257" s="219"/>
    </row>
    <row r="258" spans="1:9" x14ac:dyDescent="0.25">
      <c r="A258" s="7">
        <v>256</v>
      </c>
      <c r="B258" s="103">
        <f t="shared" ca="1" si="19"/>
        <v>0.10501612074444477</v>
      </c>
      <c r="C258" s="7" t="str">
        <f>'PL1'!H265</f>
        <v>PL1-355</v>
      </c>
      <c r="D258" s="161"/>
      <c r="E258" s="162"/>
      <c r="F258" s="103" t="str">
        <f t="shared" ca="1" si="20"/>
        <v/>
      </c>
      <c r="G258" s="7" t="str">
        <f>'PL2'!H265</f>
        <v/>
      </c>
      <c r="H258" s="161"/>
      <c r="I258" s="219"/>
    </row>
    <row r="259" spans="1:9" x14ac:dyDescent="0.25">
      <c r="A259" s="7">
        <v>257</v>
      </c>
      <c r="B259" s="103">
        <f t="shared" ca="1" si="19"/>
        <v>0.55707555216963223</v>
      </c>
      <c r="C259" s="7" t="str">
        <f>'PL1'!H266</f>
        <v>PL1-356</v>
      </c>
      <c r="D259" s="161"/>
      <c r="E259" s="162"/>
      <c r="F259" s="103" t="str">
        <f t="shared" ca="1" si="20"/>
        <v/>
      </c>
      <c r="G259" s="7" t="str">
        <f>'PL2'!H266</f>
        <v/>
      </c>
      <c r="H259" s="161"/>
      <c r="I259" s="219"/>
    </row>
    <row r="260" spans="1:9" x14ac:dyDescent="0.25">
      <c r="A260" s="7">
        <v>258</v>
      </c>
      <c r="B260" s="103">
        <f t="shared" ref="B260:B323" ca="1" si="21">IF(C260="","",RAND())</f>
        <v>0.29932195153003482</v>
      </c>
      <c r="C260" s="7" t="str">
        <f>'PL1'!H267</f>
        <v>PL1-357</v>
      </c>
      <c r="D260" s="161"/>
      <c r="E260" s="162"/>
      <c r="F260" s="103" t="str">
        <f t="shared" ref="F260:F323" ca="1" si="22">IF(G260="","",RAND())</f>
        <v/>
      </c>
      <c r="G260" s="7" t="str">
        <f>'PL2'!H267</f>
        <v/>
      </c>
      <c r="H260" s="161"/>
      <c r="I260" s="219"/>
    </row>
    <row r="261" spans="1:9" x14ac:dyDescent="0.25">
      <c r="A261" s="7">
        <v>259</v>
      </c>
      <c r="B261" s="103">
        <f t="shared" ca="1" si="21"/>
        <v>0.82176353630247978</v>
      </c>
      <c r="C261" s="7" t="str">
        <f>'PL1'!H268</f>
        <v>PL1-358</v>
      </c>
      <c r="D261" s="161"/>
      <c r="E261" s="162"/>
      <c r="F261" s="103" t="str">
        <f t="shared" ca="1" si="22"/>
        <v/>
      </c>
      <c r="G261" s="7" t="str">
        <f>'PL2'!H268</f>
        <v/>
      </c>
      <c r="H261" s="161"/>
      <c r="I261" s="219"/>
    </row>
    <row r="262" spans="1:9" x14ac:dyDescent="0.25">
      <c r="A262" s="7">
        <v>260</v>
      </c>
      <c r="B262" s="103">
        <f t="shared" ca="1" si="21"/>
        <v>0.99592454749067272</v>
      </c>
      <c r="C262" s="7" t="str">
        <f>'PL1'!H269</f>
        <v>PL1-359</v>
      </c>
      <c r="D262" s="161"/>
      <c r="E262" s="162"/>
      <c r="F262" s="103" t="str">
        <f t="shared" ca="1" si="22"/>
        <v/>
      </c>
      <c r="G262" s="7" t="str">
        <f>'PL2'!H269</f>
        <v/>
      </c>
      <c r="H262" s="161"/>
      <c r="I262" s="219"/>
    </row>
    <row r="263" spans="1:9" x14ac:dyDescent="0.25">
      <c r="A263" s="7">
        <v>261</v>
      </c>
      <c r="B263" s="103">
        <f t="shared" ca="1" si="21"/>
        <v>6.0158121240439177E-2</v>
      </c>
      <c r="C263" s="7" t="str">
        <f>'PL1'!H270</f>
        <v>PL1-360</v>
      </c>
      <c r="D263" s="161"/>
      <c r="E263" s="162"/>
      <c r="F263" s="103" t="str">
        <f t="shared" ca="1" si="22"/>
        <v/>
      </c>
      <c r="G263" s="7" t="str">
        <f>'PL2'!H270</f>
        <v/>
      </c>
      <c r="H263" s="161"/>
      <c r="I263" s="219"/>
    </row>
    <row r="264" spans="1:9" x14ac:dyDescent="0.25">
      <c r="A264" s="7">
        <v>262</v>
      </c>
      <c r="B264" s="103" t="str">
        <f t="shared" ca="1" si="21"/>
        <v/>
      </c>
      <c r="C264" s="7" t="str">
        <f>'PL1'!H271</f>
        <v/>
      </c>
      <c r="D264" s="161"/>
      <c r="E264" s="162"/>
      <c r="F264" s="103" t="str">
        <f t="shared" ca="1" si="22"/>
        <v/>
      </c>
      <c r="G264" s="7" t="str">
        <f>'PL2'!H271</f>
        <v/>
      </c>
      <c r="H264" s="161"/>
      <c r="I264" s="219"/>
    </row>
    <row r="265" spans="1:9" x14ac:dyDescent="0.25">
      <c r="A265" s="7">
        <v>263</v>
      </c>
      <c r="B265" s="103">
        <f t="shared" ca="1" si="21"/>
        <v>0.52843219037013434</v>
      </c>
      <c r="C265" s="7" t="str">
        <f>'PL1'!H272</f>
        <v>PL1-362</v>
      </c>
      <c r="D265" s="161"/>
      <c r="E265" s="162"/>
      <c r="F265" s="103" t="str">
        <f t="shared" ca="1" si="22"/>
        <v/>
      </c>
      <c r="G265" s="7" t="str">
        <f>'PL2'!H272</f>
        <v/>
      </c>
      <c r="H265" s="161"/>
      <c r="I265" s="219"/>
    </row>
    <row r="266" spans="1:9" x14ac:dyDescent="0.25">
      <c r="A266" s="7">
        <v>264</v>
      </c>
      <c r="B266" s="103">
        <f t="shared" ca="1" si="21"/>
        <v>0.15870359227276642</v>
      </c>
      <c r="C266" s="7" t="str">
        <f>'PL1'!H273</f>
        <v>PL1-363</v>
      </c>
      <c r="D266" s="161"/>
      <c r="E266" s="162"/>
      <c r="F266" s="103" t="str">
        <f t="shared" ca="1" si="22"/>
        <v/>
      </c>
      <c r="G266" s="7" t="str">
        <f>'PL2'!H273</f>
        <v/>
      </c>
      <c r="H266" s="161"/>
      <c r="I266" s="219"/>
    </row>
    <row r="267" spans="1:9" x14ac:dyDescent="0.25">
      <c r="A267" s="7">
        <v>265</v>
      </c>
      <c r="B267" s="103">
        <f t="shared" ca="1" si="21"/>
        <v>0.65486958568437303</v>
      </c>
      <c r="C267" s="7" t="str">
        <f>'PL1'!H274</f>
        <v>PL1-364</v>
      </c>
      <c r="D267" s="161"/>
      <c r="E267" s="162"/>
      <c r="F267" s="103" t="str">
        <f t="shared" ca="1" si="22"/>
        <v/>
      </c>
      <c r="G267" s="7" t="str">
        <f>'PL2'!H274</f>
        <v/>
      </c>
      <c r="H267" s="161"/>
      <c r="I267" s="219"/>
    </row>
    <row r="268" spans="1:9" x14ac:dyDescent="0.25">
      <c r="A268" s="7">
        <v>266</v>
      </c>
      <c r="B268" s="103">
        <f t="shared" ca="1" si="21"/>
        <v>0.73497113000755343</v>
      </c>
      <c r="C268" s="7" t="str">
        <f>'PL1'!H275</f>
        <v>PL1-365</v>
      </c>
      <c r="D268" s="161"/>
      <c r="E268" s="162"/>
      <c r="F268" s="103" t="str">
        <f t="shared" ca="1" si="22"/>
        <v/>
      </c>
      <c r="G268" s="7" t="str">
        <f>'PL2'!H275</f>
        <v/>
      </c>
      <c r="H268" s="161"/>
      <c r="I268" s="219"/>
    </row>
    <row r="269" spans="1:9" x14ac:dyDescent="0.25">
      <c r="A269" s="7">
        <v>267</v>
      </c>
      <c r="B269" s="103">
        <f t="shared" ca="1" si="21"/>
        <v>0.29552153121937574</v>
      </c>
      <c r="C269" s="7" t="str">
        <f>'PL1'!H276</f>
        <v>PL1-366</v>
      </c>
      <c r="D269" s="161"/>
      <c r="E269" s="162"/>
      <c r="F269" s="103" t="str">
        <f t="shared" ca="1" si="22"/>
        <v/>
      </c>
      <c r="G269" s="7" t="str">
        <f>'PL2'!H276</f>
        <v/>
      </c>
      <c r="H269" s="161"/>
      <c r="I269" s="219"/>
    </row>
    <row r="270" spans="1:9" x14ac:dyDescent="0.25">
      <c r="A270" s="7">
        <v>268</v>
      </c>
      <c r="B270" s="103">
        <f t="shared" ca="1" si="21"/>
        <v>0.3484574620730736</v>
      </c>
      <c r="C270" s="7" t="str">
        <f>'PL1'!H277</f>
        <v>PL1-367</v>
      </c>
      <c r="D270" s="161"/>
      <c r="E270" s="162"/>
      <c r="F270" s="103" t="str">
        <f t="shared" ca="1" si="22"/>
        <v/>
      </c>
      <c r="G270" s="7" t="str">
        <f>'PL2'!H277</f>
        <v/>
      </c>
      <c r="H270" s="161"/>
      <c r="I270" s="219"/>
    </row>
    <row r="271" spans="1:9" x14ac:dyDescent="0.25">
      <c r="A271" s="7">
        <v>269</v>
      </c>
      <c r="B271" s="103">
        <f t="shared" ca="1" si="21"/>
        <v>0.92309055364589698</v>
      </c>
      <c r="C271" s="7" t="str">
        <f>'PL1'!H278</f>
        <v>PL1-368</v>
      </c>
      <c r="D271" s="161"/>
      <c r="E271" s="162"/>
      <c r="F271" s="103" t="str">
        <f t="shared" ca="1" si="22"/>
        <v/>
      </c>
      <c r="G271" s="7" t="str">
        <f>'PL2'!H278</f>
        <v/>
      </c>
      <c r="H271" s="161"/>
      <c r="I271" s="219"/>
    </row>
    <row r="272" spans="1:9" x14ac:dyDescent="0.25">
      <c r="A272" s="7">
        <v>270</v>
      </c>
      <c r="B272" s="103">
        <f t="shared" ca="1" si="21"/>
        <v>0.43689972338262728</v>
      </c>
      <c r="C272" s="7" t="str">
        <f>'PL1'!H279</f>
        <v>PL1-369</v>
      </c>
      <c r="D272" s="161"/>
      <c r="E272" s="162"/>
      <c r="F272" s="103" t="str">
        <f t="shared" ca="1" si="22"/>
        <v/>
      </c>
      <c r="G272" s="7" t="str">
        <f>'PL2'!H279</f>
        <v/>
      </c>
      <c r="H272" s="161"/>
      <c r="I272" s="219"/>
    </row>
    <row r="273" spans="1:9" x14ac:dyDescent="0.25">
      <c r="A273" s="7">
        <v>271</v>
      </c>
      <c r="B273" s="103">
        <f t="shared" ca="1" si="21"/>
        <v>0.32291948190135855</v>
      </c>
      <c r="C273" s="7" t="str">
        <f>'PL1'!H280</f>
        <v>PL1-370</v>
      </c>
      <c r="D273" s="161"/>
      <c r="E273" s="162"/>
      <c r="F273" s="103" t="str">
        <f t="shared" ca="1" si="22"/>
        <v/>
      </c>
      <c r="G273" s="7" t="str">
        <f>'PL2'!H280</f>
        <v/>
      </c>
      <c r="H273" s="161"/>
      <c r="I273" s="219"/>
    </row>
    <row r="274" spans="1:9" x14ac:dyDescent="0.25">
      <c r="A274" s="7">
        <v>272</v>
      </c>
      <c r="B274" s="103">
        <f t="shared" ca="1" si="21"/>
        <v>0.63775906773983115</v>
      </c>
      <c r="C274" s="7" t="str">
        <f>'PL1'!H281</f>
        <v>PL1-371</v>
      </c>
      <c r="D274" s="161"/>
      <c r="E274" s="162"/>
      <c r="F274" s="103" t="str">
        <f t="shared" ca="1" si="22"/>
        <v/>
      </c>
      <c r="G274" s="7" t="str">
        <f>'PL2'!H281</f>
        <v/>
      </c>
      <c r="H274" s="161"/>
      <c r="I274" s="219"/>
    </row>
    <row r="275" spans="1:9" x14ac:dyDescent="0.25">
      <c r="A275" s="7">
        <v>273</v>
      </c>
      <c r="B275" s="103">
        <f t="shared" ca="1" si="21"/>
        <v>0.67675090710815722</v>
      </c>
      <c r="C275" s="7" t="str">
        <f>'PL1'!H282</f>
        <v>PL1-372</v>
      </c>
      <c r="D275" s="161"/>
      <c r="E275" s="162"/>
      <c r="F275" s="103" t="str">
        <f t="shared" ca="1" si="22"/>
        <v/>
      </c>
      <c r="G275" s="7" t="str">
        <f>'PL2'!H282</f>
        <v/>
      </c>
      <c r="H275" s="161"/>
      <c r="I275" s="219"/>
    </row>
    <row r="276" spans="1:9" x14ac:dyDescent="0.25">
      <c r="A276" s="7">
        <v>274</v>
      </c>
      <c r="B276" s="103">
        <f t="shared" ca="1" si="21"/>
        <v>0.13001130724050602</v>
      </c>
      <c r="C276" s="7" t="str">
        <f>'PL1'!H283</f>
        <v>PL1-373</v>
      </c>
      <c r="D276" s="161"/>
      <c r="E276" s="162"/>
      <c r="F276" s="103" t="str">
        <f t="shared" ca="1" si="22"/>
        <v/>
      </c>
      <c r="G276" s="7" t="str">
        <f>'PL2'!H283</f>
        <v/>
      </c>
      <c r="H276" s="161"/>
      <c r="I276" s="219"/>
    </row>
    <row r="277" spans="1:9" x14ac:dyDescent="0.25">
      <c r="A277" s="7">
        <v>275</v>
      </c>
      <c r="B277" s="103" t="str">
        <f t="shared" ca="1" si="21"/>
        <v/>
      </c>
      <c r="C277" s="7" t="str">
        <f>'PL1'!H284</f>
        <v/>
      </c>
      <c r="D277" s="161"/>
      <c r="E277" s="162"/>
      <c r="F277" s="103" t="str">
        <f t="shared" ca="1" si="22"/>
        <v/>
      </c>
      <c r="G277" s="7" t="str">
        <f>'PL2'!H284</f>
        <v/>
      </c>
      <c r="H277" s="161"/>
      <c r="I277" s="219"/>
    </row>
    <row r="278" spans="1:9" x14ac:dyDescent="0.25">
      <c r="A278" s="7">
        <v>276</v>
      </c>
      <c r="B278" s="103" t="str">
        <f t="shared" ca="1" si="21"/>
        <v/>
      </c>
      <c r="C278" s="7" t="str">
        <f>'PL1'!H285</f>
        <v/>
      </c>
      <c r="D278" s="161"/>
      <c r="E278" s="162"/>
      <c r="F278" s="103" t="str">
        <f t="shared" ca="1" si="22"/>
        <v/>
      </c>
      <c r="G278" s="7" t="str">
        <f>'PL2'!H285</f>
        <v/>
      </c>
      <c r="H278" s="161"/>
      <c r="I278" s="219"/>
    </row>
    <row r="279" spans="1:9" x14ac:dyDescent="0.25">
      <c r="A279" s="7">
        <v>277</v>
      </c>
      <c r="B279" s="103" t="str">
        <f t="shared" ca="1" si="21"/>
        <v/>
      </c>
      <c r="C279" s="7" t="str">
        <f>'PL1'!H286</f>
        <v/>
      </c>
      <c r="D279" s="161"/>
      <c r="E279" s="162"/>
      <c r="F279" s="103" t="str">
        <f t="shared" ca="1" si="22"/>
        <v/>
      </c>
      <c r="G279" s="7" t="str">
        <f>'PL2'!H286</f>
        <v/>
      </c>
      <c r="H279" s="161"/>
      <c r="I279" s="219"/>
    </row>
    <row r="280" spans="1:9" x14ac:dyDescent="0.25">
      <c r="A280" s="7">
        <v>278</v>
      </c>
      <c r="B280" s="103" t="str">
        <f t="shared" ca="1" si="21"/>
        <v/>
      </c>
      <c r="C280" s="7" t="str">
        <f>'PL1'!H287</f>
        <v/>
      </c>
      <c r="D280" s="161"/>
      <c r="E280" s="162"/>
      <c r="F280" s="103" t="str">
        <f t="shared" ca="1" si="22"/>
        <v/>
      </c>
      <c r="G280" s="7" t="str">
        <f>'PL2'!H287</f>
        <v/>
      </c>
      <c r="H280" s="161"/>
      <c r="I280" s="219"/>
    </row>
    <row r="281" spans="1:9" x14ac:dyDescent="0.25">
      <c r="A281" s="7">
        <v>279</v>
      </c>
      <c r="B281" s="103" t="str">
        <f t="shared" ca="1" si="21"/>
        <v/>
      </c>
      <c r="C281" s="7" t="str">
        <f>'PL1'!H288</f>
        <v/>
      </c>
      <c r="D281" s="161"/>
      <c r="E281" s="162"/>
      <c r="F281" s="103" t="str">
        <f t="shared" ca="1" si="22"/>
        <v/>
      </c>
      <c r="G281" s="7" t="str">
        <f>'PL2'!H288</f>
        <v/>
      </c>
      <c r="H281" s="161"/>
      <c r="I281" s="219"/>
    </row>
    <row r="282" spans="1:9" x14ac:dyDescent="0.25">
      <c r="A282" s="7">
        <v>280</v>
      </c>
      <c r="B282" s="103" t="str">
        <f t="shared" ca="1" si="21"/>
        <v/>
      </c>
      <c r="C282" s="7" t="str">
        <f>'PL1'!H289</f>
        <v/>
      </c>
      <c r="D282" s="161"/>
      <c r="E282" s="162"/>
      <c r="F282" s="103" t="str">
        <f t="shared" ca="1" si="22"/>
        <v/>
      </c>
      <c r="G282" s="7" t="str">
        <f>'PL2'!H289</f>
        <v/>
      </c>
      <c r="H282" s="161"/>
      <c r="I282" s="219"/>
    </row>
    <row r="283" spans="1:9" x14ac:dyDescent="0.25">
      <c r="A283" s="7">
        <v>281</v>
      </c>
      <c r="B283" s="103" t="str">
        <f t="shared" ca="1" si="21"/>
        <v/>
      </c>
      <c r="C283" s="7" t="str">
        <f>'PL1'!H290</f>
        <v/>
      </c>
      <c r="D283" s="161"/>
      <c r="E283" s="162"/>
      <c r="F283" s="103" t="str">
        <f t="shared" ca="1" si="22"/>
        <v/>
      </c>
      <c r="G283" s="7" t="str">
        <f>'PL2'!H290</f>
        <v/>
      </c>
      <c r="H283" s="161"/>
      <c r="I283" s="219"/>
    </row>
    <row r="284" spans="1:9" x14ac:dyDescent="0.25">
      <c r="A284" s="7">
        <v>282</v>
      </c>
      <c r="B284" s="103" t="str">
        <f t="shared" ca="1" si="21"/>
        <v/>
      </c>
      <c r="C284" s="7" t="str">
        <f>'PL1'!H291</f>
        <v/>
      </c>
      <c r="D284" s="161"/>
      <c r="E284" s="162"/>
      <c r="F284" s="103" t="str">
        <f t="shared" ca="1" si="22"/>
        <v/>
      </c>
      <c r="G284" s="7" t="str">
        <f>'PL2'!H291</f>
        <v/>
      </c>
      <c r="H284" s="161"/>
      <c r="I284" s="219"/>
    </row>
    <row r="285" spans="1:9" x14ac:dyDescent="0.25">
      <c r="A285" s="7">
        <v>283</v>
      </c>
      <c r="B285" s="103" t="str">
        <f t="shared" ca="1" si="21"/>
        <v/>
      </c>
      <c r="C285" s="7" t="str">
        <f>'PL1'!H292</f>
        <v/>
      </c>
      <c r="D285" s="161"/>
      <c r="E285" s="162"/>
      <c r="F285" s="103" t="str">
        <f t="shared" ca="1" si="22"/>
        <v/>
      </c>
      <c r="G285" s="7" t="str">
        <f>'PL2'!H292</f>
        <v/>
      </c>
      <c r="H285" s="161"/>
      <c r="I285" s="219"/>
    </row>
    <row r="286" spans="1:9" x14ac:dyDescent="0.25">
      <c r="A286" s="7">
        <v>284</v>
      </c>
      <c r="B286" s="103" t="str">
        <f t="shared" ca="1" si="21"/>
        <v/>
      </c>
      <c r="C286" s="7" t="str">
        <f>'PL1'!H293</f>
        <v/>
      </c>
      <c r="D286" s="161"/>
      <c r="E286" s="162"/>
      <c r="F286" s="103" t="str">
        <f t="shared" ca="1" si="22"/>
        <v/>
      </c>
      <c r="G286" s="7" t="str">
        <f>'PL2'!H293</f>
        <v/>
      </c>
      <c r="H286" s="161"/>
      <c r="I286" s="219"/>
    </row>
    <row r="287" spans="1:9" x14ac:dyDescent="0.25">
      <c r="A287" s="7">
        <v>285</v>
      </c>
      <c r="B287" s="103" t="str">
        <f t="shared" ca="1" si="21"/>
        <v/>
      </c>
      <c r="C287" s="7" t="str">
        <f>'PL1'!H294</f>
        <v/>
      </c>
      <c r="D287" s="161"/>
      <c r="E287" s="162"/>
      <c r="F287" s="103" t="str">
        <f t="shared" ca="1" si="22"/>
        <v/>
      </c>
      <c r="G287" s="7" t="str">
        <f>'PL2'!H294</f>
        <v/>
      </c>
      <c r="H287" s="161"/>
      <c r="I287" s="219"/>
    </row>
    <row r="288" spans="1:9" x14ac:dyDescent="0.25">
      <c r="A288" s="7">
        <v>286</v>
      </c>
      <c r="B288" s="103" t="str">
        <f t="shared" ca="1" si="21"/>
        <v/>
      </c>
      <c r="C288" s="7" t="str">
        <f>'PL1'!H295</f>
        <v/>
      </c>
      <c r="D288" s="161"/>
      <c r="E288" s="162"/>
      <c r="F288" s="103" t="str">
        <f t="shared" ca="1" si="22"/>
        <v/>
      </c>
      <c r="G288" s="7" t="str">
        <f>'PL2'!H295</f>
        <v/>
      </c>
      <c r="H288" s="161"/>
      <c r="I288" s="219"/>
    </row>
    <row r="289" spans="1:9" x14ac:dyDescent="0.25">
      <c r="A289" s="7">
        <v>287</v>
      </c>
      <c r="B289" s="103" t="str">
        <f t="shared" ca="1" si="21"/>
        <v/>
      </c>
      <c r="C289" s="7" t="str">
        <f>'PL1'!H296</f>
        <v/>
      </c>
      <c r="D289" s="161"/>
      <c r="E289" s="162"/>
      <c r="F289" s="103" t="str">
        <f t="shared" ca="1" si="22"/>
        <v/>
      </c>
      <c r="G289" s="7" t="str">
        <f>'PL2'!H296</f>
        <v/>
      </c>
      <c r="H289" s="161"/>
      <c r="I289" s="219"/>
    </row>
    <row r="290" spans="1:9" x14ac:dyDescent="0.25">
      <c r="A290" s="7">
        <v>288</v>
      </c>
      <c r="B290" s="103" t="str">
        <f t="shared" ca="1" si="21"/>
        <v/>
      </c>
      <c r="C290" s="7" t="str">
        <f>'PL1'!H297</f>
        <v/>
      </c>
      <c r="D290" s="161"/>
      <c r="E290" s="162"/>
      <c r="F290" s="103" t="str">
        <f t="shared" ca="1" si="22"/>
        <v/>
      </c>
      <c r="G290" s="7" t="str">
        <f>'PL2'!H297</f>
        <v/>
      </c>
      <c r="H290" s="161"/>
      <c r="I290" s="219"/>
    </row>
    <row r="291" spans="1:9" x14ac:dyDescent="0.25">
      <c r="A291" s="7">
        <v>289</v>
      </c>
      <c r="B291" s="103" t="str">
        <f t="shared" ca="1" si="21"/>
        <v/>
      </c>
      <c r="C291" s="7" t="str">
        <f>'PL1'!H298</f>
        <v/>
      </c>
      <c r="D291" s="161"/>
      <c r="E291" s="162"/>
      <c r="F291" s="103" t="str">
        <f t="shared" ca="1" si="22"/>
        <v/>
      </c>
      <c r="G291" s="7" t="str">
        <f>'PL2'!H298</f>
        <v/>
      </c>
      <c r="H291" s="161"/>
      <c r="I291" s="219"/>
    </row>
    <row r="292" spans="1:9" x14ac:dyDescent="0.25">
      <c r="A292" s="7">
        <v>290</v>
      </c>
      <c r="B292" s="103" t="str">
        <f t="shared" ca="1" si="21"/>
        <v/>
      </c>
      <c r="C292" s="7" t="str">
        <f>'PL1'!H299</f>
        <v/>
      </c>
      <c r="D292" s="161"/>
      <c r="E292" s="162"/>
      <c r="F292" s="103" t="str">
        <f t="shared" ca="1" si="22"/>
        <v/>
      </c>
      <c r="G292" s="7" t="str">
        <f>'PL2'!H299</f>
        <v/>
      </c>
      <c r="H292" s="161"/>
      <c r="I292" s="219"/>
    </row>
    <row r="293" spans="1:9" x14ac:dyDescent="0.25">
      <c r="A293" s="7">
        <v>291</v>
      </c>
      <c r="B293" s="103" t="str">
        <f t="shared" ca="1" si="21"/>
        <v/>
      </c>
      <c r="C293" s="7" t="str">
        <f>'PL1'!H300</f>
        <v/>
      </c>
      <c r="D293" s="161"/>
      <c r="E293" s="162"/>
      <c r="F293" s="103" t="str">
        <f t="shared" ca="1" si="22"/>
        <v/>
      </c>
      <c r="G293" s="7" t="str">
        <f>'PL2'!H300</f>
        <v/>
      </c>
      <c r="H293" s="161"/>
      <c r="I293" s="219"/>
    </row>
    <row r="294" spans="1:9" x14ac:dyDescent="0.25">
      <c r="A294" s="7">
        <v>292</v>
      </c>
      <c r="B294" s="103" t="str">
        <f t="shared" ca="1" si="21"/>
        <v/>
      </c>
      <c r="C294" s="7" t="str">
        <f>'PL1'!H301</f>
        <v/>
      </c>
      <c r="D294" s="161"/>
      <c r="E294" s="162"/>
      <c r="F294" s="103" t="str">
        <f t="shared" ca="1" si="22"/>
        <v/>
      </c>
      <c r="G294" s="7" t="str">
        <f>'PL2'!H301</f>
        <v/>
      </c>
      <c r="H294" s="161"/>
      <c r="I294" s="219"/>
    </row>
    <row r="295" spans="1:9" x14ac:dyDescent="0.25">
      <c r="A295" s="7">
        <v>293</v>
      </c>
      <c r="B295" s="103" t="str">
        <f t="shared" ca="1" si="21"/>
        <v/>
      </c>
      <c r="C295" s="7" t="str">
        <f>'PL1'!H302</f>
        <v/>
      </c>
      <c r="D295" s="161"/>
      <c r="E295" s="162"/>
      <c r="F295" s="103" t="str">
        <f t="shared" ca="1" si="22"/>
        <v/>
      </c>
      <c r="G295" s="7" t="str">
        <f>'PL2'!H302</f>
        <v/>
      </c>
      <c r="H295" s="161"/>
      <c r="I295" s="219"/>
    </row>
    <row r="296" spans="1:9" x14ac:dyDescent="0.25">
      <c r="A296" s="7">
        <v>294</v>
      </c>
      <c r="B296" s="103" t="str">
        <f t="shared" ca="1" si="21"/>
        <v/>
      </c>
      <c r="C296" s="7" t="str">
        <f>'PL1'!H303</f>
        <v/>
      </c>
      <c r="D296" s="161"/>
      <c r="E296" s="162"/>
      <c r="F296" s="103" t="str">
        <f t="shared" ca="1" si="22"/>
        <v/>
      </c>
      <c r="G296" s="7" t="str">
        <f>'PL2'!H303</f>
        <v/>
      </c>
      <c r="H296" s="161"/>
      <c r="I296" s="219"/>
    </row>
    <row r="297" spans="1:9" x14ac:dyDescent="0.25">
      <c r="A297" s="7">
        <v>295</v>
      </c>
      <c r="B297" s="103" t="str">
        <f t="shared" ca="1" si="21"/>
        <v/>
      </c>
      <c r="C297" s="7" t="str">
        <f>'PL1'!H304</f>
        <v/>
      </c>
      <c r="D297" s="161"/>
      <c r="E297" s="162"/>
      <c r="F297" s="103" t="str">
        <f t="shared" ca="1" si="22"/>
        <v/>
      </c>
      <c r="G297" s="7" t="str">
        <f>'PL2'!H304</f>
        <v/>
      </c>
      <c r="H297" s="161"/>
      <c r="I297" s="219"/>
    </row>
    <row r="298" spans="1:9" x14ac:dyDescent="0.25">
      <c r="A298" s="7">
        <v>296</v>
      </c>
      <c r="B298" s="103" t="str">
        <f t="shared" ca="1" si="21"/>
        <v/>
      </c>
      <c r="C298" s="7" t="str">
        <f>'PL1'!H305</f>
        <v/>
      </c>
      <c r="D298" s="161"/>
      <c r="E298" s="162"/>
      <c r="F298" s="103" t="str">
        <f t="shared" ca="1" si="22"/>
        <v/>
      </c>
      <c r="G298" s="7" t="str">
        <f>'PL2'!H305</f>
        <v/>
      </c>
      <c r="H298" s="161"/>
      <c r="I298" s="219"/>
    </row>
    <row r="299" spans="1:9" x14ac:dyDescent="0.25">
      <c r="A299" s="7">
        <v>297</v>
      </c>
      <c r="B299" s="103" t="str">
        <f t="shared" ca="1" si="21"/>
        <v/>
      </c>
      <c r="C299" s="7" t="str">
        <f>'PL1'!H306</f>
        <v/>
      </c>
      <c r="D299" s="161"/>
      <c r="E299" s="162"/>
      <c r="F299" s="103" t="str">
        <f t="shared" ca="1" si="22"/>
        <v/>
      </c>
      <c r="G299" s="7" t="str">
        <f>'PL2'!H306</f>
        <v/>
      </c>
      <c r="H299" s="161"/>
      <c r="I299" s="219"/>
    </row>
    <row r="300" spans="1:9" x14ac:dyDescent="0.25">
      <c r="A300" s="7">
        <v>298</v>
      </c>
      <c r="B300" s="103" t="str">
        <f t="shared" ca="1" si="21"/>
        <v/>
      </c>
      <c r="C300" s="7" t="str">
        <f>'PL1'!H307</f>
        <v/>
      </c>
      <c r="D300" s="161"/>
      <c r="E300" s="162"/>
      <c r="F300" s="103" t="str">
        <f t="shared" ca="1" si="22"/>
        <v/>
      </c>
      <c r="G300" s="7" t="str">
        <f>'PL2'!H307</f>
        <v/>
      </c>
      <c r="H300" s="161"/>
      <c r="I300" s="219"/>
    </row>
    <row r="301" spans="1:9" x14ac:dyDescent="0.25">
      <c r="A301" s="7">
        <v>299</v>
      </c>
      <c r="B301" s="103" t="str">
        <f t="shared" ca="1" si="21"/>
        <v/>
      </c>
      <c r="C301" s="7" t="str">
        <f>'PL1'!H308</f>
        <v/>
      </c>
      <c r="D301" s="161"/>
      <c r="E301" s="162"/>
      <c r="F301" s="103" t="str">
        <f t="shared" ca="1" si="22"/>
        <v/>
      </c>
      <c r="G301" s="7" t="str">
        <f>'PL2'!H308</f>
        <v/>
      </c>
      <c r="H301" s="161"/>
      <c r="I301" s="219"/>
    </row>
    <row r="302" spans="1:9" x14ac:dyDescent="0.25">
      <c r="A302" s="7">
        <v>300</v>
      </c>
      <c r="B302" s="103" t="str">
        <f t="shared" ca="1" si="21"/>
        <v/>
      </c>
      <c r="C302" s="7" t="str">
        <f>'PL1'!H309</f>
        <v/>
      </c>
      <c r="D302" s="161"/>
      <c r="E302" s="162"/>
      <c r="F302" s="103" t="str">
        <f t="shared" ca="1" si="22"/>
        <v/>
      </c>
      <c r="G302" s="7" t="str">
        <f>'PL2'!H309</f>
        <v/>
      </c>
      <c r="H302" s="161"/>
      <c r="I302" s="219"/>
    </row>
    <row r="303" spans="1:9" x14ac:dyDescent="0.25">
      <c r="A303" s="7">
        <v>301</v>
      </c>
      <c r="B303" s="103" t="str">
        <f t="shared" ca="1" si="21"/>
        <v/>
      </c>
      <c r="C303" s="7" t="str">
        <f>'PL1'!H310</f>
        <v/>
      </c>
      <c r="D303" s="161"/>
      <c r="E303" s="162"/>
      <c r="F303" s="103" t="str">
        <f t="shared" ca="1" si="22"/>
        <v/>
      </c>
      <c r="G303" s="7" t="str">
        <f>'PL2'!H310</f>
        <v/>
      </c>
      <c r="H303" s="161"/>
      <c r="I303" s="219"/>
    </row>
    <row r="304" spans="1:9" x14ac:dyDescent="0.25">
      <c r="A304" s="7">
        <v>302</v>
      </c>
      <c r="B304" s="103" t="str">
        <f t="shared" ca="1" si="21"/>
        <v/>
      </c>
      <c r="C304" s="7" t="str">
        <f>'PL1'!H311</f>
        <v/>
      </c>
      <c r="D304" s="161"/>
      <c r="E304" s="162"/>
      <c r="F304" s="103" t="str">
        <f t="shared" ca="1" si="22"/>
        <v/>
      </c>
      <c r="G304" s="7" t="str">
        <f>'PL2'!H311</f>
        <v/>
      </c>
      <c r="H304" s="161"/>
      <c r="I304" s="219"/>
    </row>
    <row r="305" spans="1:9" x14ac:dyDescent="0.25">
      <c r="A305" s="7">
        <v>303</v>
      </c>
      <c r="B305" s="103" t="str">
        <f t="shared" ca="1" si="21"/>
        <v/>
      </c>
      <c r="C305" s="7" t="str">
        <f>'PL1'!H312</f>
        <v/>
      </c>
      <c r="D305" s="161"/>
      <c r="E305" s="162"/>
      <c r="F305" s="103" t="str">
        <f t="shared" ca="1" si="22"/>
        <v/>
      </c>
      <c r="G305" s="7" t="str">
        <f>'PL2'!H312</f>
        <v/>
      </c>
      <c r="H305" s="161"/>
      <c r="I305" s="219"/>
    </row>
    <row r="306" spans="1:9" x14ac:dyDescent="0.25">
      <c r="A306" s="7">
        <v>304</v>
      </c>
      <c r="B306" s="103" t="str">
        <f t="shared" ca="1" si="21"/>
        <v/>
      </c>
      <c r="C306" s="7" t="str">
        <f>'PL1'!H313</f>
        <v/>
      </c>
      <c r="D306" s="161"/>
      <c r="E306" s="162"/>
      <c r="F306" s="103" t="str">
        <f t="shared" ca="1" si="22"/>
        <v/>
      </c>
      <c r="G306" s="7" t="str">
        <f>'PL2'!H313</f>
        <v/>
      </c>
      <c r="H306" s="161"/>
      <c r="I306" s="219"/>
    </row>
    <row r="307" spans="1:9" x14ac:dyDescent="0.25">
      <c r="A307" s="7">
        <v>305</v>
      </c>
      <c r="B307" s="103" t="str">
        <f t="shared" ca="1" si="21"/>
        <v/>
      </c>
      <c r="C307" s="7" t="str">
        <f>'PL1'!H314</f>
        <v/>
      </c>
      <c r="D307" s="161"/>
      <c r="E307" s="162"/>
      <c r="F307" s="103" t="str">
        <f t="shared" ca="1" si="22"/>
        <v/>
      </c>
      <c r="G307" s="7" t="str">
        <f>'PL2'!H314</f>
        <v/>
      </c>
      <c r="H307" s="161"/>
      <c r="I307" s="219"/>
    </row>
    <row r="308" spans="1:9" x14ac:dyDescent="0.25">
      <c r="A308" s="7">
        <v>306</v>
      </c>
      <c r="B308" s="103" t="str">
        <f t="shared" ca="1" si="21"/>
        <v/>
      </c>
      <c r="C308" s="7" t="str">
        <f>'PL1'!H315</f>
        <v/>
      </c>
      <c r="D308" s="161"/>
      <c r="E308" s="162"/>
      <c r="F308" s="103" t="str">
        <f t="shared" ca="1" si="22"/>
        <v/>
      </c>
      <c r="G308" s="7" t="str">
        <f>'PL2'!H315</f>
        <v/>
      </c>
      <c r="H308" s="161"/>
      <c r="I308" s="219"/>
    </row>
    <row r="309" spans="1:9" x14ac:dyDescent="0.25">
      <c r="A309" s="7">
        <v>307</v>
      </c>
      <c r="B309" s="103" t="str">
        <f t="shared" ca="1" si="21"/>
        <v/>
      </c>
      <c r="C309" s="7" t="str">
        <f>'PL1'!H316</f>
        <v/>
      </c>
      <c r="D309" s="161"/>
      <c r="E309" s="162"/>
      <c r="F309" s="103" t="str">
        <f t="shared" ca="1" si="22"/>
        <v/>
      </c>
      <c r="G309" s="7" t="str">
        <f>'PL2'!H316</f>
        <v/>
      </c>
      <c r="H309" s="161"/>
      <c r="I309" s="219"/>
    </row>
    <row r="310" spans="1:9" x14ac:dyDescent="0.25">
      <c r="A310" s="7">
        <v>308</v>
      </c>
      <c r="B310" s="103" t="str">
        <f t="shared" ca="1" si="21"/>
        <v/>
      </c>
      <c r="C310" s="7" t="str">
        <f>'PL1'!H317</f>
        <v/>
      </c>
      <c r="D310" s="161"/>
      <c r="E310" s="162"/>
      <c r="F310" s="103" t="str">
        <f t="shared" ca="1" si="22"/>
        <v/>
      </c>
      <c r="G310" s="7" t="str">
        <f>'PL2'!H317</f>
        <v/>
      </c>
      <c r="H310" s="161"/>
      <c r="I310" s="219"/>
    </row>
    <row r="311" spans="1:9" x14ac:dyDescent="0.25">
      <c r="A311" s="7">
        <v>309</v>
      </c>
      <c r="B311" s="103" t="str">
        <f t="shared" ca="1" si="21"/>
        <v/>
      </c>
      <c r="C311" s="7" t="str">
        <f>'PL1'!H318</f>
        <v/>
      </c>
      <c r="D311" s="161"/>
      <c r="E311" s="162"/>
      <c r="F311" s="103" t="str">
        <f t="shared" ca="1" si="22"/>
        <v/>
      </c>
      <c r="G311" s="7" t="str">
        <f>'PL2'!H318</f>
        <v/>
      </c>
      <c r="H311" s="161"/>
      <c r="I311" s="219"/>
    </row>
    <row r="312" spans="1:9" x14ac:dyDescent="0.25">
      <c r="A312" s="7">
        <v>310</v>
      </c>
      <c r="B312" s="103" t="str">
        <f t="shared" ca="1" si="21"/>
        <v/>
      </c>
      <c r="C312" s="7" t="str">
        <f>'PL1'!H319</f>
        <v/>
      </c>
      <c r="D312" s="161"/>
      <c r="E312" s="162"/>
      <c r="F312" s="103" t="str">
        <f t="shared" ca="1" si="22"/>
        <v/>
      </c>
      <c r="G312" s="7" t="str">
        <f>'PL2'!H319</f>
        <v/>
      </c>
      <c r="H312" s="161"/>
      <c r="I312" s="219"/>
    </row>
    <row r="313" spans="1:9" x14ac:dyDescent="0.25">
      <c r="A313" s="7">
        <v>311</v>
      </c>
      <c r="B313" s="103" t="str">
        <f t="shared" ca="1" si="21"/>
        <v/>
      </c>
      <c r="C313" s="7" t="str">
        <f>'PL1'!H320</f>
        <v/>
      </c>
      <c r="D313" s="161"/>
      <c r="E313" s="162"/>
      <c r="F313" s="103" t="str">
        <f t="shared" ca="1" si="22"/>
        <v/>
      </c>
      <c r="G313" s="7" t="str">
        <f>'PL2'!H320</f>
        <v/>
      </c>
      <c r="H313" s="161"/>
      <c r="I313" s="219"/>
    </row>
    <row r="314" spans="1:9" x14ac:dyDescent="0.25">
      <c r="A314" s="7">
        <v>312</v>
      </c>
      <c r="B314" s="103" t="str">
        <f t="shared" ca="1" si="21"/>
        <v/>
      </c>
      <c r="C314" s="7" t="str">
        <f>'PL1'!H321</f>
        <v/>
      </c>
      <c r="D314" s="161"/>
      <c r="E314" s="162"/>
      <c r="F314" s="103" t="str">
        <f t="shared" ca="1" si="22"/>
        <v/>
      </c>
      <c r="G314" s="7" t="str">
        <f>'PL2'!H321</f>
        <v/>
      </c>
      <c r="H314" s="161"/>
      <c r="I314" s="219"/>
    </row>
    <row r="315" spans="1:9" x14ac:dyDescent="0.25">
      <c r="A315" s="7">
        <v>313</v>
      </c>
      <c r="B315" s="103" t="str">
        <f t="shared" ca="1" si="21"/>
        <v/>
      </c>
      <c r="C315" s="7" t="str">
        <f>'PL1'!H322</f>
        <v/>
      </c>
      <c r="D315" s="161"/>
      <c r="E315" s="162"/>
      <c r="F315" s="103" t="str">
        <f t="shared" ca="1" si="22"/>
        <v/>
      </c>
      <c r="G315" s="7" t="str">
        <f>'PL2'!H322</f>
        <v/>
      </c>
      <c r="H315" s="161"/>
      <c r="I315" s="219"/>
    </row>
    <row r="316" spans="1:9" x14ac:dyDescent="0.25">
      <c r="A316" s="7">
        <v>314</v>
      </c>
      <c r="B316" s="103" t="str">
        <f t="shared" ca="1" si="21"/>
        <v/>
      </c>
      <c r="C316" s="7" t="str">
        <f>'PL1'!H323</f>
        <v/>
      </c>
      <c r="D316" s="161"/>
      <c r="E316" s="162"/>
      <c r="F316" s="103" t="str">
        <f t="shared" ca="1" si="22"/>
        <v/>
      </c>
      <c r="G316" s="7" t="str">
        <f>'PL2'!H323</f>
        <v/>
      </c>
      <c r="H316" s="161"/>
      <c r="I316" s="219"/>
    </row>
    <row r="317" spans="1:9" x14ac:dyDescent="0.25">
      <c r="A317" s="7">
        <v>315</v>
      </c>
      <c r="B317" s="103" t="str">
        <f t="shared" ca="1" si="21"/>
        <v/>
      </c>
      <c r="C317" s="7" t="str">
        <f>'PL1'!H324</f>
        <v/>
      </c>
      <c r="D317" s="161"/>
      <c r="E317" s="162"/>
      <c r="F317" s="103" t="str">
        <f t="shared" ca="1" si="22"/>
        <v/>
      </c>
      <c r="G317" s="7" t="str">
        <f>'PL2'!H324</f>
        <v/>
      </c>
      <c r="H317" s="161"/>
      <c r="I317" s="219"/>
    </row>
    <row r="318" spans="1:9" x14ac:dyDescent="0.25">
      <c r="A318" s="7">
        <v>316</v>
      </c>
      <c r="B318" s="103" t="str">
        <f t="shared" ca="1" si="21"/>
        <v/>
      </c>
      <c r="C318" s="7" t="str">
        <f>'PL1'!H325</f>
        <v/>
      </c>
      <c r="D318" s="161"/>
      <c r="E318" s="162"/>
      <c r="F318" s="103" t="str">
        <f t="shared" ca="1" si="22"/>
        <v/>
      </c>
      <c r="G318" s="7" t="str">
        <f>'PL2'!H325</f>
        <v/>
      </c>
      <c r="H318" s="161"/>
      <c r="I318" s="219"/>
    </row>
    <row r="319" spans="1:9" x14ac:dyDescent="0.25">
      <c r="A319" s="7">
        <v>317</v>
      </c>
      <c r="B319" s="103" t="str">
        <f t="shared" ca="1" si="21"/>
        <v/>
      </c>
      <c r="C319" s="7" t="str">
        <f>'PL1'!H326</f>
        <v/>
      </c>
      <c r="D319" s="161"/>
      <c r="E319" s="162"/>
      <c r="F319" s="103" t="str">
        <f t="shared" ca="1" si="22"/>
        <v/>
      </c>
      <c r="G319" s="7" t="str">
        <f>'PL2'!H326</f>
        <v/>
      </c>
      <c r="H319" s="161"/>
      <c r="I319" s="219"/>
    </row>
    <row r="320" spans="1:9" x14ac:dyDescent="0.25">
      <c r="A320" s="7">
        <v>318</v>
      </c>
      <c r="B320" s="103" t="str">
        <f t="shared" ca="1" si="21"/>
        <v/>
      </c>
      <c r="C320" s="7" t="str">
        <f>'PL1'!H327</f>
        <v/>
      </c>
      <c r="D320" s="161"/>
      <c r="E320" s="162"/>
      <c r="F320" s="103" t="str">
        <f t="shared" ca="1" si="22"/>
        <v/>
      </c>
      <c r="G320" s="7" t="str">
        <f>'PL2'!H327</f>
        <v/>
      </c>
      <c r="H320" s="161"/>
      <c r="I320" s="219"/>
    </row>
    <row r="321" spans="1:9" x14ac:dyDescent="0.25">
      <c r="A321" s="7">
        <v>319</v>
      </c>
      <c r="B321" s="103" t="str">
        <f t="shared" ca="1" si="21"/>
        <v/>
      </c>
      <c r="C321" s="7" t="str">
        <f>'PL1'!H328</f>
        <v/>
      </c>
      <c r="D321" s="161"/>
      <c r="E321" s="162"/>
      <c r="F321" s="103" t="str">
        <f t="shared" ca="1" si="22"/>
        <v/>
      </c>
      <c r="G321" s="7" t="str">
        <f>'PL2'!H328</f>
        <v/>
      </c>
      <c r="H321" s="161"/>
      <c r="I321" s="219"/>
    </row>
    <row r="322" spans="1:9" x14ac:dyDescent="0.25">
      <c r="A322" s="7">
        <v>320</v>
      </c>
      <c r="B322" s="103" t="str">
        <f t="shared" ca="1" si="21"/>
        <v/>
      </c>
      <c r="C322" s="7" t="str">
        <f>'PL1'!H329</f>
        <v/>
      </c>
      <c r="D322" s="161"/>
      <c r="E322" s="162"/>
      <c r="F322" s="103" t="str">
        <f t="shared" ca="1" si="22"/>
        <v/>
      </c>
      <c r="G322" s="7" t="str">
        <f>'PL2'!H329</f>
        <v/>
      </c>
      <c r="H322" s="161"/>
      <c r="I322" s="219"/>
    </row>
    <row r="323" spans="1:9" x14ac:dyDescent="0.25">
      <c r="A323" s="7">
        <v>321</v>
      </c>
      <c r="B323" s="103" t="str">
        <f t="shared" ca="1" si="21"/>
        <v/>
      </c>
      <c r="C323" s="7" t="str">
        <f>'PL1'!H330</f>
        <v/>
      </c>
      <c r="D323" s="161"/>
      <c r="E323" s="162"/>
      <c r="F323" s="103" t="str">
        <f t="shared" ca="1" si="22"/>
        <v/>
      </c>
      <c r="G323" s="7" t="str">
        <f>'PL2'!H330</f>
        <v/>
      </c>
      <c r="H323" s="161"/>
      <c r="I323" s="219"/>
    </row>
    <row r="324" spans="1:9" x14ac:dyDescent="0.25">
      <c r="A324" s="7">
        <v>322</v>
      </c>
      <c r="B324" s="103" t="str">
        <f t="shared" ref="B324:B387" ca="1" si="23">IF(C324="","",RAND())</f>
        <v/>
      </c>
      <c r="C324" s="7" t="str">
        <f>'PL1'!H331</f>
        <v/>
      </c>
      <c r="D324" s="161"/>
      <c r="E324" s="162"/>
      <c r="F324" s="103" t="str">
        <f t="shared" ref="F324:F387" ca="1" si="24">IF(G324="","",RAND())</f>
        <v/>
      </c>
      <c r="G324" s="7" t="str">
        <f>'PL2'!H331</f>
        <v/>
      </c>
      <c r="H324" s="161"/>
      <c r="I324" s="219"/>
    </row>
    <row r="325" spans="1:9" x14ac:dyDescent="0.25">
      <c r="A325" s="7">
        <v>323</v>
      </c>
      <c r="B325" s="103" t="str">
        <f t="shared" ca="1" si="23"/>
        <v/>
      </c>
      <c r="C325" s="7" t="str">
        <f>'PL1'!H332</f>
        <v/>
      </c>
      <c r="D325" s="161"/>
      <c r="E325" s="162"/>
      <c r="F325" s="103" t="str">
        <f t="shared" ca="1" si="24"/>
        <v/>
      </c>
      <c r="G325" s="7" t="str">
        <f>'PL2'!H332</f>
        <v/>
      </c>
      <c r="H325" s="161"/>
      <c r="I325" s="219"/>
    </row>
    <row r="326" spans="1:9" x14ac:dyDescent="0.25">
      <c r="A326" s="7">
        <v>324</v>
      </c>
      <c r="B326" s="103" t="str">
        <f t="shared" ca="1" si="23"/>
        <v/>
      </c>
      <c r="C326" s="7" t="str">
        <f>'PL1'!H333</f>
        <v/>
      </c>
      <c r="D326" s="161"/>
      <c r="E326" s="162"/>
      <c r="F326" s="103" t="str">
        <f t="shared" ca="1" si="24"/>
        <v/>
      </c>
      <c r="G326" s="7" t="str">
        <f>'PL2'!H333</f>
        <v/>
      </c>
      <c r="H326" s="161"/>
      <c r="I326" s="219"/>
    </row>
    <row r="327" spans="1:9" x14ac:dyDescent="0.25">
      <c r="A327" s="7">
        <v>325</v>
      </c>
      <c r="B327" s="103" t="str">
        <f t="shared" ca="1" si="23"/>
        <v/>
      </c>
      <c r="C327" s="7" t="str">
        <f>'PL1'!H334</f>
        <v/>
      </c>
      <c r="D327" s="161"/>
      <c r="E327" s="162"/>
      <c r="F327" s="103" t="str">
        <f t="shared" ca="1" si="24"/>
        <v/>
      </c>
      <c r="G327" s="7" t="str">
        <f>'PL2'!H334</f>
        <v/>
      </c>
      <c r="H327" s="161"/>
      <c r="I327" s="219"/>
    </row>
    <row r="328" spans="1:9" x14ac:dyDescent="0.25">
      <c r="A328" s="7">
        <v>326</v>
      </c>
      <c r="B328" s="103" t="str">
        <f t="shared" ca="1" si="23"/>
        <v/>
      </c>
      <c r="C328" s="7" t="str">
        <f>'PL1'!H335</f>
        <v/>
      </c>
      <c r="D328" s="161"/>
      <c r="E328" s="162"/>
      <c r="F328" s="103" t="str">
        <f t="shared" ca="1" si="24"/>
        <v/>
      </c>
      <c r="G328" s="7" t="str">
        <f>'PL2'!H335</f>
        <v/>
      </c>
      <c r="H328" s="161"/>
      <c r="I328" s="219"/>
    </row>
    <row r="329" spans="1:9" x14ac:dyDescent="0.25">
      <c r="A329" s="7">
        <v>327</v>
      </c>
      <c r="B329" s="103" t="str">
        <f t="shared" ca="1" si="23"/>
        <v/>
      </c>
      <c r="C329" s="7" t="str">
        <f>'PL1'!H336</f>
        <v/>
      </c>
      <c r="D329" s="161"/>
      <c r="E329" s="162"/>
      <c r="F329" s="103" t="str">
        <f t="shared" ca="1" si="24"/>
        <v/>
      </c>
      <c r="G329" s="7" t="str">
        <f>'PL2'!H336</f>
        <v/>
      </c>
      <c r="H329" s="161"/>
      <c r="I329" s="219"/>
    </row>
    <row r="330" spans="1:9" x14ac:dyDescent="0.25">
      <c r="A330" s="7">
        <v>328</v>
      </c>
      <c r="B330" s="103" t="str">
        <f t="shared" ca="1" si="23"/>
        <v/>
      </c>
      <c r="C330" s="7" t="str">
        <f>'PL1'!H337</f>
        <v/>
      </c>
      <c r="D330" s="161"/>
      <c r="E330" s="162"/>
      <c r="F330" s="103" t="str">
        <f t="shared" ca="1" si="24"/>
        <v/>
      </c>
      <c r="G330" s="7" t="str">
        <f>'PL2'!H337</f>
        <v/>
      </c>
      <c r="H330" s="161"/>
      <c r="I330" s="219"/>
    </row>
    <row r="331" spans="1:9" x14ac:dyDescent="0.25">
      <c r="A331" s="7">
        <v>329</v>
      </c>
      <c r="B331" s="103" t="str">
        <f t="shared" ca="1" si="23"/>
        <v/>
      </c>
      <c r="C331" s="7" t="str">
        <f>'PL1'!H338</f>
        <v/>
      </c>
      <c r="D331" s="161"/>
      <c r="E331" s="162"/>
      <c r="F331" s="103" t="str">
        <f t="shared" ca="1" si="24"/>
        <v/>
      </c>
      <c r="G331" s="7" t="str">
        <f>'PL2'!H338</f>
        <v/>
      </c>
      <c r="H331" s="161"/>
      <c r="I331" s="219"/>
    </row>
    <row r="332" spans="1:9" x14ac:dyDescent="0.25">
      <c r="A332" s="7">
        <v>330</v>
      </c>
      <c r="B332" s="103" t="str">
        <f t="shared" ca="1" si="23"/>
        <v/>
      </c>
      <c r="C332" s="7" t="str">
        <f>'PL1'!H339</f>
        <v/>
      </c>
      <c r="D332" s="161"/>
      <c r="E332" s="162"/>
      <c r="F332" s="103" t="str">
        <f t="shared" ca="1" si="24"/>
        <v/>
      </c>
      <c r="G332" s="7" t="str">
        <f>'PL2'!H339</f>
        <v/>
      </c>
      <c r="H332" s="161"/>
      <c r="I332" s="219"/>
    </row>
    <row r="333" spans="1:9" x14ac:dyDescent="0.25">
      <c r="A333" s="7">
        <v>331</v>
      </c>
      <c r="B333" s="103" t="str">
        <f t="shared" ca="1" si="23"/>
        <v/>
      </c>
      <c r="C333" s="7" t="str">
        <f>'PL1'!H340</f>
        <v/>
      </c>
      <c r="D333" s="161"/>
      <c r="E333" s="162"/>
      <c r="F333" s="103" t="str">
        <f t="shared" ca="1" si="24"/>
        <v/>
      </c>
      <c r="G333" s="7" t="str">
        <f>'PL2'!H340</f>
        <v/>
      </c>
      <c r="H333" s="161"/>
      <c r="I333" s="219"/>
    </row>
    <row r="334" spans="1:9" x14ac:dyDescent="0.25">
      <c r="A334" s="7">
        <v>332</v>
      </c>
      <c r="B334" s="103" t="str">
        <f t="shared" ca="1" si="23"/>
        <v/>
      </c>
      <c r="C334" s="7" t="str">
        <f>'PL1'!H341</f>
        <v/>
      </c>
      <c r="D334" s="161"/>
      <c r="E334" s="162"/>
      <c r="F334" s="103" t="str">
        <f t="shared" ca="1" si="24"/>
        <v/>
      </c>
      <c r="G334" s="7" t="str">
        <f>'PL2'!H341</f>
        <v/>
      </c>
      <c r="H334" s="161"/>
      <c r="I334" s="219"/>
    </row>
    <row r="335" spans="1:9" x14ac:dyDescent="0.25">
      <c r="A335" s="7">
        <v>333</v>
      </c>
      <c r="B335" s="103" t="str">
        <f t="shared" ca="1" si="23"/>
        <v/>
      </c>
      <c r="C335" s="7" t="str">
        <f>'PL1'!H342</f>
        <v/>
      </c>
      <c r="D335" s="161"/>
      <c r="E335" s="162"/>
      <c r="F335" s="103" t="str">
        <f t="shared" ca="1" si="24"/>
        <v/>
      </c>
      <c r="G335" s="7" t="str">
        <f>'PL2'!H342</f>
        <v/>
      </c>
      <c r="H335" s="161"/>
      <c r="I335" s="219"/>
    </row>
    <row r="336" spans="1:9" x14ac:dyDescent="0.25">
      <c r="A336" s="7">
        <v>334</v>
      </c>
      <c r="B336" s="103" t="str">
        <f t="shared" ca="1" si="23"/>
        <v/>
      </c>
      <c r="C336" s="7" t="str">
        <f>'PL1'!H343</f>
        <v/>
      </c>
      <c r="D336" s="161"/>
      <c r="E336" s="162"/>
      <c r="F336" s="103" t="str">
        <f t="shared" ca="1" si="24"/>
        <v/>
      </c>
      <c r="G336" s="7" t="str">
        <f>'PL2'!H343</f>
        <v/>
      </c>
      <c r="H336" s="161"/>
      <c r="I336" s="219"/>
    </row>
    <row r="337" spans="1:9" x14ac:dyDescent="0.25">
      <c r="A337" s="7">
        <v>335</v>
      </c>
      <c r="B337" s="103" t="str">
        <f t="shared" ca="1" si="23"/>
        <v/>
      </c>
      <c r="C337" s="7" t="str">
        <f>'PL1'!H344</f>
        <v/>
      </c>
      <c r="D337" s="161"/>
      <c r="E337" s="162"/>
      <c r="F337" s="103" t="str">
        <f t="shared" ca="1" si="24"/>
        <v/>
      </c>
      <c r="G337" s="7" t="str">
        <f>'PL2'!H344</f>
        <v/>
      </c>
      <c r="H337" s="161"/>
      <c r="I337" s="219"/>
    </row>
    <row r="338" spans="1:9" x14ac:dyDescent="0.25">
      <c r="A338" s="7">
        <v>336</v>
      </c>
      <c r="B338" s="103" t="str">
        <f t="shared" ca="1" si="23"/>
        <v/>
      </c>
      <c r="C338" s="7" t="str">
        <f>'PL1'!H345</f>
        <v/>
      </c>
      <c r="D338" s="161"/>
      <c r="E338" s="162"/>
      <c r="F338" s="103" t="str">
        <f t="shared" ca="1" si="24"/>
        <v/>
      </c>
      <c r="G338" s="7" t="str">
        <f>'PL2'!H345</f>
        <v/>
      </c>
      <c r="H338" s="161"/>
      <c r="I338" s="219"/>
    </row>
    <row r="339" spans="1:9" x14ac:dyDescent="0.25">
      <c r="A339" s="7">
        <v>337</v>
      </c>
      <c r="B339" s="103" t="str">
        <f t="shared" ca="1" si="23"/>
        <v/>
      </c>
      <c r="C339" s="7" t="str">
        <f>'PL1'!H346</f>
        <v/>
      </c>
      <c r="D339" s="161"/>
      <c r="E339" s="162"/>
      <c r="F339" s="103" t="str">
        <f t="shared" ca="1" si="24"/>
        <v/>
      </c>
      <c r="G339" s="7" t="str">
        <f>'PL2'!H346</f>
        <v/>
      </c>
      <c r="H339" s="161"/>
      <c r="I339" s="219"/>
    </row>
    <row r="340" spans="1:9" x14ac:dyDescent="0.25">
      <c r="A340" s="7">
        <v>338</v>
      </c>
      <c r="B340" s="103" t="str">
        <f t="shared" ca="1" si="23"/>
        <v/>
      </c>
      <c r="C340" s="7" t="str">
        <f>'PL1'!H347</f>
        <v/>
      </c>
      <c r="D340" s="161"/>
      <c r="E340" s="162"/>
      <c r="F340" s="103" t="str">
        <f t="shared" ca="1" si="24"/>
        <v/>
      </c>
      <c r="G340" s="7" t="str">
        <f>'PL2'!H347</f>
        <v/>
      </c>
      <c r="H340" s="161"/>
      <c r="I340" s="219"/>
    </row>
    <row r="341" spans="1:9" x14ac:dyDescent="0.25">
      <c r="A341" s="7">
        <v>339</v>
      </c>
      <c r="B341" s="103" t="str">
        <f t="shared" ca="1" si="23"/>
        <v/>
      </c>
      <c r="C341" s="7" t="str">
        <f>'PL1'!H348</f>
        <v/>
      </c>
      <c r="D341" s="161"/>
      <c r="E341" s="162"/>
      <c r="F341" s="103" t="str">
        <f t="shared" ca="1" si="24"/>
        <v/>
      </c>
      <c r="G341" s="7" t="str">
        <f>'PL2'!H348</f>
        <v/>
      </c>
      <c r="H341" s="161"/>
      <c r="I341" s="219"/>
    </row>
    <row r="342" spans="1:9" x14ac:dyDescent="0.25">
      <c r="A342" s="7">
        <v>340</v>
      </c>
      <c r="B342" s="103" t="str">
        <f t="shared" ca="1" si="23"/>
        <v/>
      </c>
      <c r="C342" s="7" t="str">
        <f>'PL1'!H349</f>
        <v/>
      </c>
      <c r="D342" s="161"/>
      <c r="E342" s="162"/>
      <c r="F342" s="103" t="str">
        <f t="shared" ca="1" si="24"/>
        <v/>
      </c>
      <c r="G342" s="7" t="str">
        <f>'PL2'!H349</f>
        <v/>
      </c>
      <c r="H342" s="161"/>
      <c r="I342" s="219"/>
    </row>
    <row r="343" spans="1:9" x14ac:dyDescent="0.25">
      <c r="A343" s="7">
        <v>341</v>
      </c>
      <c r="B343" s="103" t="str">
        <f t="shared" ca="1" si="23"/>
        <v/>
      </c>
      <c r="C343" s="7" t="str">
        <f>'PL1'!H350</f>
        <v/>
      </c>
      <c r="D343" s="161"/>
      <c r="E343" s="162"/>
      <c r="F343" s="103" t="str">
        <f t="shared" ca="1" si="24"/>
        <v/>
      </c>
      <c r="G343" s="7" t="str">
        <f>'PL2'!H350</f>
        <v/>
      </c>
      <c r="H343" s="161"/>
      <c r="I343" s="219"/>
    </row>
    <row r="344" spans="1:9" x14ac:dyDescent="0.25">
      <c r="A344" s="7">
        <v>342</v>
      </c>
      <c r="B344" s="103" t="str">
        <f t="shared" ca="1" si="23"/>
        <v/>
      </c>
      <c r="C344" s="7" t="str">
        <f>'PL1'!H351</f>
        <v/>
      </c>
      <c r="D344" s="161"/>
      <c r="E344" s="162"/>
      <c r="F344" s="103" t="str">
        <f t="shared" ca="1" si="24"/>
        <v/>
      </c>
      <c r="G344" s="7" t="str">
        <f>'PL2'!H351</f>
        <v/>
      </c>
      <c r="H344" s="161"/>
      <c r="I344" s="219"/>
    </row>
    <row r="345" spans="1:9" x14ac:dyDescent="0.25">
      <c r="A345" s="7">
        <v>343</v>
      </c>
      <c r="B345" s="103" t="str">
        <f t="shared" ca="1" si="23"/>
        <v/>
      </c>
      <c r="C345" s="7" t="str">
        <f>'PL1'!H352</f>
        <v/>
      </c>
      <c r="D345" s="161"/>
      <c r="E345" s="162"/>
      <c r="F345" s="103" t="str">
        <f t="shared" ca="1" si="24"/>
        <v/>
      </c>
      <c r="G345" s="7" t="str">
        <f>'PL2'!H352</f>
        <v/>
      </c>
      <c r="H345" s="161"/>
      <c r="I345" s="219"/>
    </row>
    <row r="346" spans="1:9" x14ac:dyDescent="0.25">
      <c r="A346" s="7">
        <v>344</v>
      </c>
      <c r="B346" s="103" t="str">
        <f t="shared" ca="1" si="23"/>
        <v/>
      </c>
      <c r="C346" s="7" t="str">
        <f>'PL1'!H353</f>
        <v/>
      </c>
      <c r="D346" s="161"/>
      <c r="E346" s="162"/>
      <c r="F346" s="103" t="str">
        <f t="shared" ca="1" si="24"/>
        <v/>
      </c>
      <c r="G346" s="7" t="str">
        <f>'PL2'!H353</f>
        <v/>
      </c>
      <c r="H346" s="161"/>
      <c r="I346" s="219"/>
    </row>
    <row r="347" spans="1:9" x14ac:dyDescent="0.25">
      <c r="A347" s="7">
        <v>345</v>
      </c>
      <c r="B347" s="103" t="str">
        <f t="shared" ca="1" si="23"/>
        <v/>
      </c>
      <c r="C347" s="7" t="str">
        <f>'PL1'!H354</f>
        <v/>
      </c>
      <c r="D347" s="161"/>
      <c r="E347" s="162"/>
      <c r="F347" s="103" t="str">
        <f t="shared" ca="1" si="24"/>
        <v/>
      </c>
      <c r="G347" s="7" t="str">
        <f>'PL2'!H354</f>
        <v/>
      </c>
      <c r="H347" s="161"/>
      <c r="I347" s="219"/>
    </row>
    <row r="348" spans="1:9" x14ac:dyDescent="0.25">
      <c r="A348" s="7">
        <v>346</v>
      </c>
      <c r="B348" s="103" t="str">
        <f t="shared" ca="1" si="23"/>
        <v/>
      </c>
      <c r="C348" s="7" t="str">
        <f>'PL1'!H355</f>
        <v/>
      </c>
      <c r="D348" s="161"/>
      <c r="E348" s="162"/>
      <c r="F348" s="103" t="str">
        <f t="shared" ca="1" si="24"/>
        <v/>
      </c>
      <c r="G348" s="7" t="str">
        <f>'PL2'!H355</f>
        <v/>
      </c>
      <c r="H348" s="161"/>
      <c r="I348" s="219"/>
    </row>
    <row r="349" spans="1:9" x14ac:dyDescent="0.25">
      <c r="A349" s="7">
        <v>347</v>
      </c>
      <c r="B349" s="103" t="str">
        <f t="shared" ca="1" si="23"/>
        <v/>
      </c>
      <c r="C349" s="7" t="str">
        <f>'PL1'!H356</f>
        <v/>
      </c>
      <c r="D349" s="161"/>
      <c r="E349" s="162"/>
      <c r="F349" s="103" t="str">
        <f t="shared" ca="1" si="24"/>
        <v/>
      </c>
      <c r="G349" s="7" t="str">
        <f>'PL2'!H356</f>
        <v/>
      </c>
      <c r="H349" s="161"/>
      <c r="I349" s="219"/>
    </row>
    <row r="350" spans="1:9" x14ac:dyDescent="0.25">
      <c r="A350" s="7">
        <v>348</v>
      </c>
      <c r="B350" s="103" t="str">
        <f t="shared" ca="1" si="23"/>
        <v/>
      </c>
      <c r="C350" s="7" t="str">
        <f>'PL1'!H357</f>
        <v/>
      </c>
      <c r="D350" s="161"/>
      <c r="E350" s="162"/>
      <c r="F350" s="103" t="str">
        <f t="shared" ca="1" si="24"/>
        <v/>
      </c>
      <c r="G350" s="7" t="str">
        <f>'PL2'!H357</f>
        <v/>
      </c>
      <c r="H350" s="161"/>
      <c r="I350" s="219"/>
    </row>
    <row r="351" spans="1:9" x14ac:dyDescent="0.25">
      <c r="A351" s="7">
        <v>349</v>
      </c>
      <c r="B351" s="103" t="str">
        <f t="shared" ca="1" si="23"/>
        <v/>
      </c>
      <c r="C351" s="7" t="str">
        <f>'PL1'!H358</f>
        <v/>
      </c>
      <c r="D351" s="161"/>
      <c r="E351" s="162"/>
      <c r="F351" s="103" t="str">
        <f t="shared" ca="1" si="24"/>
        <v/>
      </c>
      <c r="G351" s="7" t="str">
        <f>'PL2'!H358</f>
        <v/>
      </c>
      <c r="H351" s="161"/>
      <c r="I351" s="219"/>
    </row>
    <row r="352" spans="1:9" x14ac:dyDescent="0.25">
      <c r="A352" s="7">
        <v>350</v>
      </c>
      <c r="B352" s="103" t="str">
        <f t="shared" ca="1" si="23"/>
        <v/>
      </c>
      <c r="C352" s="7" t="str">
        <f>'PL1'!H359</f>
        <v/>
      </c>
      <c r="D352" s="161"/>
      <c r="E352" s="162"/>
      <c r="F352" s="103" t="str">
        <f t="shared" ca="1" si="24"/>
        <v/>
      </c>
      <c r="G352" s="7" t="str">
        <f>'PL2'!H359</f>
        <v/>
      </c>
      <c r="H352" s="161"/>
      <c r="I352" s="219"/>
    </row>
    <row r="353" spans="1:9" x14ac:dyDescent="0.25">
      <c r="A353" s="7">
        <v>351</v>
      </c>
      <c r="B353" s="103" t="str">
        <f t="shared" ca="1" si="23"/>
        <v/>
      </c>
      <c r="C353" s="7" t="str">
        <f>'PL1'!H360</f>
        <v/>
      </c>
      <c r="D353" s="161"/>
      <c r="E353" s="162"/>
      <c r="F353" s="103" t="str">
        <f t="shared" ca="1" si="24"/>
        <v/>
      </c>
      <c r="G353" s="7" t="str">
        <f>'PL2'!H360</f>
        <v/>
      </c>
      <c r="H353" s="161"/>
      <c r="I353" s="219"/>
    </row>
    <row r="354" spans="1:9" x14ac:dyDescent="0.25">
      <c r="A354" s="7">
        <v>352</v>
      </c>
      <c r="B354" s="103" t="str">
        <f t="shared" ca="1" si="23"/>
        <v/>
      </c>
      <c r="C354" s="7" t="str">
        <f>'PL1'!H361</f>
        <v/>
      </c>
      <c r="D354" s="161"/>
      <c r="E354" s="162"/>
      <c r="F354" s="103" t="str">
        <f t="shared" ca="1" si="24"/>
        <v/>
      </c>
      <c r="G354" s="7" t="str">
        <f>'PL2'!H361</f>
        <v/>
      </c>
      <c r="H354" s="161"/>
      <c r="I354" s="219"/>
    </row>
    <row r="355" spans="1:9" x14ac:dyDescent="0.25">
      <c r="A355" s="7">
        <v>353</v>
      </c>
      <c r="B355" s="103" t="str">
        <f t="shared" ca="1" si="23"/>
        <v/>
      </c>
      <c r="C355" s="7" t="str">
        <f>'PL1'!H362</f>
        <v/>
      </c>
      <c r="D355" s="161"/>
      <c r="E355" s="162"/>
      <c r="F355" s="103" t="str">
        <f t="shared" ca="1" si="24"/>
        <v/>
      </c>
      <c r="G355" s="7" t="str">
        <f>'PL2'!H362</f>
        <v/>
      </c>
      <c r="H355" s="161"/>
      <c r="I355" s="219"/>
    </row>
    <row r="356" spans="1:9" x14ac:dyDescent="0.25">
      <c r="A356" s="7">
        <v>354</v>
      </c>
      <c r="B356" s="103" t="str">
        <f t="shared" ca="1" si="23"/>
        <v/>
      </c>
      <c r="C356" s="7" t="str">
        <f>'PL1'!H363</f>
        <v/>
      </c>
      <c r="D356" s="161"/>
      <c r="E356" s="162"/>
      <c r="F356" s="103" t="str">
        <f t="shared" ca="1" si="24"/>
        <v/>
      </c>
      <c r="G356" s="7" t="str">
        <f>'PL2'!H363</f>
        <v/>
      </c>
      <c r="H356" s="161"/>
      <c r="I356" s="219"/>
    </row>
    <row r="357" spans="1:9" x14ac:dyDescent="0.25">
      <c r="A357" s="7">
        <v>355</v>
      </c>
      <c r="B357" s="103" t="str">
        <f t="shared" ca="1" si="23"/>
        <v/>
      </c>
      <c r="C357" s="7" t="str">
        <f>'PL1'!H364</f>
        <v/>
      </c>
      <c r="D357" s="161"/>
      <c r="E357" s="162"/>
      <c r="F357" s="103" t="str">
        <f t="shared" ca="1" si="24"/>
        <v/>
      </c>
      <c r="G357" s="7" t="str">
        <f>'PL2'!H364</f>
        <v/>
      </c>
      <c r="H357" s="161"/>
      <c r="I357" s="219"/>
    </row>
    <row r="358" spans="1:9" x14ac:dyDescent="0.25">
      <c r="A358" s="7">
        <v>356</v>
      </c>
      <c r="B358" s="103" t="str">
        <f t="shared" ca="1" si="23"/>
        <v/>
      </c>
      <c r="C358" s="7" t="str">
        <f>'PL1'!H365</f>
        <v/>
      </c>
      <c r="D358" s="161"/>
      <c r="E358" s="162"/>
      <c r="F358" s="103" t="str">
        <f t="shared" ca="1" si="24"/>
        <v/>
      </c>
      <c r="G358" s="7" t="str">
        <f>'PL2'!H365</f>
        <v/>
      </c>
      <c r="H358" s="161"/>
      <c r="I358" s="219"/>
    </row>
    <row r="359" spans="1:9" x14ac:dyDescent="0.25">
      <c r="A359" s="7">
        <v>357</v>
      </c>
      <c r="B359" s="103" t="str">
        <f t="shared" ca="1" si="23"/>
        <v/>
      </c>
      <c r="C359" s="7" t="str">
        <f>'PL1'!H366</f>
        <v/>
      </c>
      <c r="D359" s="161"/>
      <c r="E359" s="162"/>
      <c r="F359" s="103" t="str">
        <f t="shared" ca="1" si="24"/>
        <v/>
      </c>
      <c r="G359" s="7" t="str">
        <f>'PL2'!H366</f>
        <v/>
      </c>
      <c r="H359" s="161"/>
      <c r="I359" s="219"/>
    </row>
    <row r="360" spans="1:9" x14ac:dyDescent="0.25">
      <c r="A360" s="7">
        <v>358</v>
      </c>
      <c r="B360" s="103" t="str">
        <f t="shared" ca="1" si="23"/>
        <v/>
      </c>
      <c r="C360" s="7" t="str">
        <f>'PL1'!H367</f>
        <v/>
      </c>
      <c r="D360" s="161"/>
      <c r="E360" s="162"/>
      <c r="F360" s="103" t="str">
        <f t="shared" ca="1" si="24"/>
        <v/>
      </c>
      <c r="G360" s="7" t="str">
        <f>'PL2'!H367</f>
        <v/>
      </c>
      <c r="H360" s="161"/>
      <c r="I360" s="219"/>
    </row>
    <row r="361" spans="1:9" x14ac:dyDescent="0.25">
      <c r="A361" s="7">
        <v>359</v>
      </c>
      <c r="B361" s="103" t="str">
        <f t="shared" ca="1" si="23"/>
        <v/>
      </c>
      <c r="C361" s="7" t="str">
        <f>'PL1'!H368</f>
        <v/>
      </c>
      <c r="D361" s="161"/>
      <c r="E361" s="162"/>
      <c r="F361" s="103" t="str">
        <f t="shared" ca="1" si="24"/>
        <v/>
      </c>
      <c r="G361" s="7" t="str">
        <f>'PL2'!H368</f>
        <v/>
      </c>
      <c r="H361" s="161"/>
      <c r="I361" s="219"/>
    </row>
    <row r="362" spans="1:9" x14ac:dyDescent="0.25">
      <c r="A362" s="7">
        <v>360</v>
      </c>
      <c r="B362" s="103" t="str">
        <f t="shared" ca="1" si="23"/>
        <v/>
      </c>
      <c r="C362" s="7" t="str">
        <f>'PL1'!H369</f>
        <v/>
      </c>
      <c r="D362" s="161"/>
      <c r="E362" s="162"/>
      <c r="F362" s="103" t="str">
        <f t="shared" ca="1" si="24"/>
        <v/>
      </c>
      <c r="G362" s="7" t="str">
        <f>'PL2'!H369</f>
        <v/>
      </c>
      <c r="H362" s="161"/>
      <c r="I362" s="219"/>
    </row>
    <row r="363" spans="1:9" x14ac:dyDescent="0.25">
      <c r="A363" s="7">
        <v>361</v>
      </c>
      <c r="B363" s="103" t="str">
        <f t="shared" ca="1" si="23"/>
        <v/>
      </c>
      <c r="C363" s="7" t="str">
        <f>'PL1'!H370</f>
        <v/>
      </c>
      <c r="D363" s="161"/>
      <c r="E363" s="162"/>
      <c r="F363" s="103" t="str">
        <f t="shared" ca="1" si="24"/>
        <v/>
      </c>
      <c r="G363" s="7" t="str">
        <f>'PL2'!H370</f>
        <v/>
      </c>
      <c r="H363" s="161"/>
      <c r="I363" s="219"/>
    </row>
    <row r="364" spans="1:9" x14ac:dyDescent="0.25">
      <c r="A364" s="7">
        <v>362</v>
      </c>
      <c r="B364" s="103" t="str">
        <f t="shared" ca="1" si="23"/>
        <v/>
      </c>
      <c r="C364" s="7" t="str">
        <f>'PL1'!H371</f>
        <v/>
      </c>
      <c r="D364" s="161"/>
      <c r="E364" s="162"/>
      <c r="F364" s="103" t="str">
        <f t="shared" ca="1" si="24"/>
        <v/>
      </c>
      <c r="G364" s="7" t="str">
        <f>'PL2'!H371</f>
        <v/>
      </c>
      <c r="H364" s="161"/>
      <c r="I364" s="219"/>
    </row>
    <row r="365" spans="1:9" x14ac:dyDescent="0.25">
      <c r="A365" s="7">
        <v>363</v>
      </c>
      <c r="B365" s="103" t="str">
        <f t="shared" ca="1" si="23"/>
        <v/>
      </c>
      <c r="C365" s="7" t="str">
        <f>'PL1'!H372</f>
        <v/>
      </c>
      <c r="D365" s="161"/>
      <c r="E365" s="162"/>
      <c r="F365" s="103" t="str">
        <f t="shared" ca="1" si="24"/>
        <v/>
      </c>
      <c r="G365" s="7" t="str">
        <f>'PL2'!H372</f>
        <v/>
      </c>
      <c r="H365" s="161"/>
      <c r="I365" s="219"/>
    </row>
    <row r="366" spans="1:9" x14ac:dyDescent="0.25">
      <c r="A366" s="7">
        <v>364</v>
      </c>
      <c r="B366" s="103" t="str">
        <f t="shared" ca="1" si="23"/>
        <v/>
      </c>
      <c r="C366" s="7" t="str">
        <f>'PL1'!H373</f>
        <v/>
      </c>
      <c r="D366" s="161"/>
      <c r="E366" s="162"/>
      <c r="F366" s="103" t="str">
        <f t="shared" ca="1" si="24"/>
        <v/>
      </c>
      <c r="G366" s="7" t="str">
        <f>'PL2'!H373</f>
        <v/>
      </c>
      <c r="H366" s="161"/>
      <c r="I366" s="219"/>
    </row>
    <row r="367" spans="1:9" x14ac:dyDescent="0.25">
      <c r="A367" s="7">
        <v>365</v>
      </c>
      <c r="B367" s="103" t="str">
        <f t="shared" ca="1" si="23"/>
        <v/>
      </c>
      <c r="C367" s="7" t="str">
        <f>'PL1'!H374</f>
        <v/>
      </c>
      <c r="D367" s="161"/>
      <c r="E367" s="162"/>
      <c r="F367" s="103" t="str">
        <f t="shared" ca="1" si="24"/>
        <v/>
      </c>
      <c r="G367" s="7" t="str">
        <f>'PL2'!H374</f>
        <v/>
      </c>
      <c r="H367" s="161"/>
      <c r="I367" s="219"/>
    </row>
    <row r="368" spans="1:9" x14ac:dyDescent="0.25">
      <c r="A368" s="7">
        <v>366</v>
      </c>
      <c r="B368" s="103" t="str">
        <f t="shared" ca="1" si="23"/>
        <v/>
      </c>
      <c r="C368" s="7" t="str">
        <f>'PL1'!H375</f>
        <v/>
      </c>
      <c r="D368" s="161"/>
      <c r="E368" s="162"/>
      <c r="F368" s="103" t="str">
        <f t="shared" ca="1" si="24"/>
        <v/>
      </c>
      <c r="G368" s="7" t="str">
        <f>'PL2'!H375</f>
        <v/>
      </c>
      <c r="H368" s="161"/>
      <c r="I368" s="219"/>
    </row>
    <row r="369" spans="1:9" x14ac:dyDescent="0.25">
      <c r="A369" s="7">
        <v>367</v>
      </c>
      <c r="B369" s="103" t="str">
        <f t="shared" ca="1" si="23"/>
        <v/>
      </c>
      <c r="C369" s="7" t="str">
        <f>'PL1'!H376</f>
        <v/>
      </c>
      <c r="D369" s="161"/>
      <c r="E369" s="162"/>
      <c r="F369" s="103" t="str">
        <f t="shared" ca="1" si="24"/>
        <v/>
      </c>
      <c r="G369" s="7" t="str">
        <f>'PL2'!H376</f>
        <v/>
      </c>
      <c r="H369" s="161"/>
      <c r="I369" s="219"/>
    </row>
    <row r="370" spans="1:9" x14ac:dyDescent="0.25">
      <c r="A370" s="7">
        <v>368</v>
      </c>
      <c r="B370" s="103" t="str">
        <f t="shared" ca="1" si="23"/>
        <v/>
      </c>
      <c r="C370" s="7" t="str">
        <f>'PL1'!H377</f>
        <v/>
      </c>
      <c r="D370" s="161"/>
      <c r="E370" s="162"/>
      <c r="F370" s="103" t="str">
        <f t="shared" ca="1" si="24"/>
        <v/>
      </c>
      <c r="G370" s="7" t="str">
        <f>'PL2'!H377</f>
        <v/>
      </c>
      <c r="H370" s="161"/>
      <c r="I370" s="219"/>
    </row>
    <row r="371" spans="1:9" x14ac:dyDescent="0.25">
      <c r="A371" s="7">
        <v>369</v>
      </c>
      <c r="B371" s="103" t="str">
        <f t="shared" ca="1" si="23"/>
        <v/>
      </c>
      <c r="C371" s="7" t="str">
        <f>'PL1'!H378</f>
        <v/>
      </c>
      <c r="D371" s="161"/>
      <c r="E371" s="162"/>
      <c r="F371" s="103" t="str">
        <f t="shared" ca="1" si="24"/>
        <v/>
      </c>
      <c r="G371" s="7" t="str">
        <f>'PL2'!H378</f>
        <v/>
      </c>
      <c r="H371" s="161"/>
      <c r="I371" s="219"/>
    </row>
    <row r="372" spans="1:9" x14ac:dyDescent="0.25">
      <c r="A372" s="7">
        <v>370</v>
      </c>
      <c r="B372" s="103" t="str">
        <f t="shared" ca="1" si="23"/>
        <v/>
      </c>
      <c r="C372" s="7" t="str">
        <f>'PL1'!H379</f>
        <v/>
      </c>
      <c r="D372" s="161"/>
      <c r="E372" s="162"/>
      <c r="F372" s="103" t="str">
        <f t="shared" ca="1" si="24"/>
        <v/>
      </c>
      <c r="G372" s="7" t="str">
        <f>'PL2'!H379</f>
        <v/>
      </c>
      <c r="H372" s="161"/>
      <c r="I372" s="219"/>
    </row>
    <row r="373" spans="1:9" x14ac:dyDescent="0.25">
      <c r="A373" s="7">
        <v>371</v>
      </c>
      <c r="B373" s="103" t="str">
        <f t="shared" ca="1" si="23"/>
        <v/>
      </c>
      <c r="C373" s="7" t="str">
        <f>'PL1'!H380</f>
        <v/>
      </c>
      <c r="D373" s="161"/>
      <c r="E373" s="162"/>
      <c r="F373" s="103" t="str">
        <f t="shared" ca="1" si="24"/>
        <v/>
      </c>
      <c r="G373" s="7" t="str">
        <f>'PL2'!H380</f>
        <v/>
      </c>
      <c r="H373" s="161"/>
      <c r="I373" s="219"/>
    </row>
    <row r="374" spans="1:9" x14ac:dyDescent="0.25">
      <c r="A374" s="7">
        <v>372</v>
      </c>
      <c r="B374" s="103" t="str">
        <f t="shared" ca="1" si="23"/>
        <v/>
      </c>
      <c r="C374" s="7" t="str">
        <f>'PL1'!H381</f>
        <v/>
      </c>
      <c r="D374" s="161"/>
      <c r="E374" s="162"/>
      <c r="F374" s="103" t="str">
        <f t="shared" ca="1" si="24"/>
        <v/>
      </c>
      <c r="G374" s="7" t="str">
        <f>'PL2'!H381</f>
        <v/>
      </c>
      <c r="H374" s="161"/>
      <c r="I374" s="219"/>
    </row>
    <row r="375" spans="1:9" x14ac:dyDescent="0.25">
      <c r="A375" s="7">
        <v>373</v>
      </c>
      <c r="B375" s="103" t="str">
        <f t="shared" ca="1" si="23"/>
        <v/>
      </c>
      <c r="C375" s="7" t="str">
        <f>'PL1'!H382</f>
        <v/>
      </c>
      <c r="D375" s="161"/>
      <c r="E375" s="162"/>
      <c r="F375" s="103" t="str">
        <f t="shared" ca="1" si="24"/>
        <v/>
      </c>
      <c r="G375" s="7" t="str">
        <f>'PL2'!H382</f>
        <v/>
      </c>
      <c r="H375" s="161"/>
      <c r="I375" s="219"/>
    </row>
    <row r="376" spans="1:9" x14ac:dyDescent="0.25">
      <c r="A376" s="7">
        <v>374</v>
      </c>
      <c r="B376" s="103" t="str">
        <f t="shared" ca="1" si="23"/>
        <v/>
      </c>
      <c r="C376" s="7" t="str">
        <f>'PL1'!H383</f>
        <v/>
      </c>
      <c r="D376" s="161"/>
      <c r="E376" s="162"/>
      <c r="F376" s="103" t="str">
        <f t="shared" ca="1" si="24"/>
        <v/>
      </c>
      <c r="G376" s="7" t="str">
        <f>'PL2'!H383</f>
        <v/>
      </c>
      <c r="H376" s="161"/>
      <c r="I376" s="219"/>
    </row>
    <row r="377" spans="1:9" x14ac:dyDescent="0.25">
      <c r="A377" s="7">
        <v>375</v>
      </c>
      <c r="B377" s="103" t="str">
        <f t="shared" ca="1" si="23"/>
        <v/>
      </c>
      <c r="C377" s="7" t="str">
        <f>'PL1'!H384</f>
        <v/>
      </c>
      <c r="D377" s="161"/>
      <c r="E377" s="162"/>
      <c r="F377" s="103" t="str">
        <f t="shared" ca="1" si="24"/>
        <v/>
      </c>
      <c r="G377" s="7" t="str">
        <f>'PL2'!H384</f>
        <v/>
      </c>
      <c r="H377" s="161"/>
      <c r="I377" s="219"/>
    </row>
    <row r="378" spans="1:9" x14ac:dyDescent="0.25">
      <c r="A378" s="7">
        <v>376</v>
      </c>
      <c r="B378" s="103" t="str">
        <f t="shared" ca="1" si="23"/>
        <v/>
      </c>
      <c r="C378" s="7" t="str">
        <f>'PL1'!H385</f>
        <v/>
      </c>
      <c r="D378" s="161"/>
      <c r="E378" s="162"/>
      <c r="F378" s="103" t="str">
        <f t="shared" ca="1" si="24"/>
        <v/>
      </c>
      <c r="G378" s="7" t="str">
        <f>'PL2'!H385</f>
        <v/>
      </c>
      <c r="H378" s="161"/>
      <c r="I378" s="219"/>
    </row>
    <row r="379" spans="1:9" x14ac:dyDescent="0.25">
      <c r="A379" s="7">
        <v>377</v>
      </c>
      <c r="B379" s="103" t="str">
        <f t="shared" ca="1" si="23"/>
        <v/>
      </c>
      <c r="C379" s="7" t="str">
        <f>'PL1'!H386</f>
        <v/>
      </c>
      <c r="D379" s="161"/>
      <c r="E379" s="162"/>
      <c r="F379" s="103" t="str">
        <f t="shared" ca="1" si="24"/>
        <v/>
      </c>
      <c r="G379" s="7" t="str">
        <f>'PL2'!H386</f>
        <v/>
      </c>
      <c r="H379" s="161"/>
      <c r="I379" s="219"/>
    </row>
    <row r="380" spans="1:9" x14ac:dyDescent="0.25">
      <c r="A380" s="7">
        <v>378</v>
      </c>
      <c r="B380" s="103" t="str">
        <f t="shared" ca="1" si="23"/>
        <v/>
      </c>
      <c r="C380" s="7" t="str">
        <f>'PL1'!H387</f>
        <v/>
      </c>
      <c r="D380" s="161"/>
      <c r="E380" s="162"/>
      <c r="F380" s="103" t="str">
        <f t="shared" ca="1" si="24"/>
        <v/>
      </c>
      <c r="G380" s="7" t="str">
        <f>'PL2'!H387</f>
        <v/>
      </c>
      <c r="H380" s="161"/>
      <c r="I380" s="219"/>
    </row>
    <row r="381" spans="1:9" x14ac:dyDescent="0.25">
      <c r="A381" s="7">
        <v>379</v>
      </c>
      <c r="B381" s="103" t="str">
        <f t="shared" ca="1" si="23"/>
        <v/>
      </c>
      <c r="C381" s="7" t="str">
        <f>'PL1'!H388</f>
        <v/>
      </c>
      <c r="D381" s="161"/>
      <c r="E381" s="162"/>
      <c r="F381" s="103" t="str">
        <f t="shared" ca="1" si="24"/>
        <v/>
      </c>
      <c r="G381" s="7" t="str">
        <f>'PL2'!H388</f>
        <v/>
      </c>
      <c r="H381" s="161"/>
      <c r="I381" s="219"/>
    </row>
    <row r="382" spans="1:9" x14ac:dyDescent="0.25">
      <c r="A382" s="7">
        <v>380</v>
      </c>
      <c r="B382" s="103" t="str">
        <f t="shared" ca="1" si="23"/>
        <v/>
      </c>
      <c r="C382" s="7" t="str">
        <f>'PL1'!H389</f>
        <v/>
      </c>
      <c r="D382" s="161"/>
      <c r="E382" s="162"/>
      <c r="F382" s="103" t="str">
        <f t="shared" ca="1" si="24"/>
        <v/>
      </c>
      <c r="G382" s="7" t="str">
        <f>'PL2'!H389</f>
        <v/>
      </c>
      <c r="H382" s="161"/>
      <c r="I382" s="219"/>
    </row>
    <row r="383" spans="1:9" x14ac:dyDescent="0.25">
      <c r="A383" s="7">
        <v>381</v>
      </c>
      <c r="B383" s="103" t="str">
        <f t="shared" ca="1" si="23"/>
        <v/>
      </c>
      <c r="C383" s="7" t="str">
        <f>'PL1'!H390</f>
        <v/>
      </c>
      <c r="D383" s="161"/>
      <c r="E383" s="162"/>
      <c r="F383" s="103" t="str">
        <f t="shared" ca="1" si="24"/>
        <v/>
      </c>
      <c r="G383" s="7" t="str">
        <f>'PL2'!H390</f>
        <v/>
      </c>
      <c r="H383" s="161"/>
      <c r="I383" s="219"/>
    </row>
    <row r="384" spans="1:9" x14ac:dyDescent="0.25">
      <c r="A384" s="7">
        <v>382</v>
      </c>
      <c r="B384" s="103" t="str">
        <f t="shared" ca="1" si="23"/>
        <v/>
      </c>
      <c r="C384" s="7" t="str">
        <f>'PL1'!H391</f>
        <v/>
      </c>
      <c r="D384" s="161"/>
      <c r="E384" s="162"/>
      <c r="F384" s="103" t="str">
        <f t="shared" ca="1" si="24"/>
        <v/>
      </c>
      <c r="G384" s="7" t="str">
        <f>'PL2'!H391</f>
        <v/>
      </c>
      <c r="H384" s="161"/>
      <c r="I384" s="219"/>
    </row>
    <row r="385" spans="1:9" x14ac:dyDescent="0.25">
      <c r="A385" s="7">
        <v>383</v>
      </c>
      <c r="B385" s="103" t="str">
        <f t="shared" ca="1" si="23"/>
        <v/>
      </c>
      <c r="C385" s="7" t="str">
        <f>'PL1'!H392</f>
        <v/>
      </c>
      <c r="D385" s="161"/>
      <c r="E385" s="162"/>
      <c r="F385" s="103" t="str">
        <f t="shared" ca="1" si="24"/>
        <v/>
      </c>
      <c r="G385" s="7" t="str">
        <f>'PL2'!H392</f>
        <v/>
      </c>
      <c r="H385" s="161"/>
      <c r="I385" s="219"/>
    </row>
    <row r="386" spans="1:9" x14ac:dyDescent="0.25">
      <c r="A386" s="7">
        <v>384</v>
      </c>
      <c r="B386" s="103" t="str">
        <f t="shared" ca="1" si="23"/>
        <v/>
      </c>
      <c r="C386" s="7" t="str">
        <f>'PL1'!H393</f>
        <v/>
      </c>
      <c r="D386" s="161"/>
      <c r="E386" s="162"/>
      <c r="F386" s="103" t="str">
        <f t="shared" ca="1" si="24"/>
        <v/>
      </c>
      <c r="G386" s="7" t="str">
        <f>'PL2'!H393</f>
        <v/>
      </c>
      <c r="H386" s="161"/>
      <c r="I386" s="219"/>
    </row>
    <row r="387" spans="1:9" x14ac:dyDescent="0.25">
      <c r="A387" s="7">
        <v>385</v>
      </c>
      <c r="B387" s="103" t="str">
        <f t="shared" ca="1" si="23"/>
        <v/>
      </c>
      <c r="C387" s="7" t="str">
        <f>'PL1'!H394</f>
        <v/>
      </c>
      <c r="D387" s="161"/>
      <c r="E387" s="162"/>
      <c r="F387" s="103" t="str">
        <f t="shared" ca="1" si="24"/>
        <v/>
      </c>
      <c r="G387" s="7" t="str">
        <f>'PL2'!H394</f>
        <v/>
      </c>
      <c r="H387" s="161"/>
      <c r="I387" s="219"/>
    </row>
    <row r="388" spans="1:9" x14ac:dyDescent="0.25">
      <c r="A388" s="7">
        <v>386</v>
      </c>
      <c r="B388" s="103" t="str">
        <f t="shared" ref="B388:B451" ca="1" si="25">IF(C388="","",RAND())</f>
        <v/>
      </c>
      <c r="C388" s="7" t="str">
        <f>'PL1'!H395</f>
        <v/>
      </c>
      <c r="D388" s="161"/>
      <c r="E388" s="162"/>
      <c r="F388" s="103" t="str">
        <f t="shared" ref="F388:F451" ca="1" si="26">IF(G388="","",RAND())</f>
        <v/>
      </c>
      <c r="G388" s="7" t="str">
        <f>'PL2'!H395</f>
        <v/>
      </c>
      <c r="H388" s="161"/>
      <c r="I388" s="219"/>
    </row>
    <row r="389" spans="1:9" x14ac:dyDescent="0.25">
      <c r="A389" s="7">
        <v>387</v>
      </c>
      <c r="B389" s="103" t="str">
        <f t="shared" ca="1" si="25"/>
        <v/>
      </c>
      <c r="C389" s="7" t="str">
        <f>'PL1'!H396</f>
        <v/>
      </c>
      <c r="D389" s="161"/>
      <c r="E389" s="162"/>
      <c r="F389" s="103" t="str">
        <f t="shared" ca="1" si="26"/>
        <v/>
      </c>
      <c r="G389" s="7" t="str">
        <f>'PL2'!H396</f>
        <v/>
      </c>
      <c r="H389" s="161"/>
      <c r="I389" s="219"/>
    </row>
    <row r="390" spans="1:9" x14ac:dyDescent="0.25">
      <c r="A390" s="7">
        <v>388</v>
      </c>
      <c r="B390" s="103" t="str">
        <f t="shared" ca="1" si="25"/>
        <v/>
      </c>
      <c r="C390" s="7" t="str">
        <f>'PL1'!H397</f>
        <v/>
      </c>
      <c r="D390" s="161"/>
      <c r="E390" s="162"/>
      <c r="F390" s="103" t="str">
        <f t="shared" ca="1" si="26"/>
        <v/>
      </c>
      <c r="G390" s="7" t="str">
        <f>'PL2'!H397</f>
        <v/>
      </c>
      <c r="H390" s="161"/>
      <c r="I390" s="219"/>
    </row>
    <row r="391" spans="1:9" x14ac:dyDescent="0.25">
      <c r="A391" s="7">
        <v>389</v>
      </c>
      <c r="B391" s="103" t="str">
        <f t="shared" ca="1" si="25"/>
        <v/>
      </c>
      <c r="C391" s="7" t="str">
        <f>'PL1'!H398</f>
        <v/>
      </c>
      <c r="D391" s="161"/>
      <c r="E391" s="162"/>
      <c r="F391" s="103" t="str">
        <f t="shared" ca="1" si="26"/>
        <v/>
      </c>
      <c r="G391" s="7" t="str">
        <f>'PL2'!H398</f>
        <v/>
      </c>
      <c r="H391" s="161"/>
      <c r="I391" s="219"/>
    </row>
    <row r="392" spans="1:9" x14ac:dyDescent="0.25">
      <c r="A392" s="7">
        <v>390</v>
      </c>
      <c r="B392" s="103" t="str">
        <f t="shared" ca="1" si="25"/>
        <v/>
      </c>
      <c r="C392" s="7" t="str">
        <f>'PL1'!H399</f>
        <v/>
      </c>
      <c r="D392" s="161"/>
      <c r="E392" s="162"/>
      <c r="F392" s="103" t="str">
        <f t="shared" ca="1" si="26"/>
        <v/>
      </c>
      <c r="G392" s="7" t="str">
        <f>'PL2'!H399</f>
        <v/>
      </c>
      <c r="H392" s="161"/>
      <c r="I392" s="219"/>
    </row>
    <row r="393" spans="1:9" x14ac:dyDescent="0.25">
      <c r="A393" s="7">
        <v>391</v>
      </c>
      <c r="B393" s="103" t="str">
        <f t="shared" ca="1" si="25"/>
        <v/>
      </c>
      <c r="C393" s="7" t="str">
        <f>'PL1'!H400</f>
        <v/>
      </c>
      <c r="D393" s="161"/>
      <c r="E393" s="162"/>
      <c r="F393" s="103" t="str">
        <f t="shared" ca="1" si="26"/>
        <v/>
      </c>
      <c r="G393" s="7" t="str">
        <f>'PL2'!H400</f>
        <v/>
      </c>
      <c r="H393" s="161"/>
      <c r="I393" s="219"/>
    </row>
    <row r="394" spans="1:9" x14ac:dyDescent="0.25">
      <c r="A394" s="7">
        <v>392</v>
      </c>
      <c r="B394" s="103" t="str">
        <f t="shared" ca="1" si="25"/>
        <v/>
      </c>
      <c r="C394" s="7" t="str">
        <f>'PL1'!H401</f>
        <v/>
      </c>
      <c r="D394" s="161"/>
      <c r="E394" s="162"/>
      <c r="F394" s="103" t="str">
        <f t="shared" ca="1" si="26"/>
        <v/>
      </c>
      <c r="G394" s="7" t="str">
        <f>'PL2'!H401</f>
        <v/>
      </c>
      <c r="H394" s="161"/>
      <c r="I394" s="219"/>
    </row>
    <row r="395" spans="1:9" x14ac:dyDescent="0.25">
      <c r="A395" s="7">
        <v>393</v>
      </c>
      <c r="B395" s="103" t="str">
        <f t="shared" ca="1" si="25"/>
        <v/>
      </c>
      <c r="C395" s="7" t="str">
        <f>'PL1'!H402</f>
        <v/>
      </c>
      <c r="D395" s="161"/>
      <c r="E395" s="162"/>
      <c r="F395" s="103" t="str">
        <f t="shared" ca="1" si="26"/>
        <v/>
      </c>
      <c r="G395" s="7" t="str">
        <f>'PL2'!H402</f>
        <v/>
      </c>
      <c r="H395" s="161"/>
      <c r="I395" s="219"/>
    </row>
    <row r="396" spans="1:9" x14ac:dyDescent="0.25">
      <c r="A396" s="7">
        <v>394</v>
      </c>
      <c r="B396" s="103" t="str">
        <f t="shared" ca="1" si="25"/>
        <v/>
      </c>
      <c r="C396" s="7" t="str">
        <f>'PL1'!H403</f>
        <v/>
      </c>
      <c r="D396" s="161"/>
      <c r="E396" s="162"/>
      <c r="F396" s="103" t="str">
        <f t="shared" ca="1" si="26"/>
        <v/>
      </c>
      <c r="G396" s="7" t="str">
        <f>'PL2'!H403</f>
        <v/>
      </c>
      <c r="H396" s="161"/>
      <c r="I396" s="219"/>
    </row>
    <row r="397" spans="1:9" x14ac:dyDescent="0.25">
      <c r="A397" s="7">
        <v>395</v>
      </c>
      <c r="B397" s="103" t="str">
        <f t="shared" ca="1" si="25"/>
        <v/>
      </c>
      <c r="C397" s="7" t="str">
        <f>'PL1'!H404</f>
        <v/>
      </c>
      <c r="D397" s="161"/>
      <c r="E397" s="162"/>
      <c r="F397" s="103" t="str">
        <f t="shared" ca="1" si="26"/>
        <v/>
      </c>
      <c r="G397" s="7" t="str">
        <f>'PL2'!H404</f>
        <v/>
      </c>
      <c r="H397" s="161"/>
      <c r="I397" s="219"/>
    </row>
    <row r="398" spans="1:9" x14ac:dyDescent="0.25">
      <c r="A398" s="7">
        <v>396</v>
      </c>
      <c r="B398" s="103" t="str">
        <f t="shared" ca="1" si="25"/>
        <v/>
      </c>
      <c r="C398" s="7" t="str">
        <f>'PL1'!H405</f>
        <v/>
      </c>
      <c r="D398" s="161"/>
      <c r="E398" s="162"/>
      <c r="F398" s="103" t="str">
        <f t="shared" ca="1" si="26"/>
        <v/>
      </c>
      <c r="G398" s="7" t="str">
        <f>'PL2'!H405</f>
        <v/>
      </c>
      <c r="H398" s="161"/>
      <c r="I398" s="219"/>
    </row>
    <row r="399" spans="1:9" x14ac:dyDescent="0.25">
      <c r="A399" s="7">
        <v>397</v>
      </c>
      <c r="B399" s="103" t="str">
        <f t="shared" ca="1" si="25"/>
        <v/>
      </c>
      <c r="C399" s="7" t="str">
        <f>'PL1'!H406</f>
        <v/>
      </c>
      <c r="D399" s="161"/>
      <c r="E399" s="162"/>
      <c r="F399" s="103" t="str">
        <f t="shared" ca="1" si="26"/>
        <v/>
      </c>
      <c r="G399" s="7" t="str">
        <f>'PL2'!H406</f>
        <v/>
      </c>
      <c r="H399" s="161"/>
      <c r="I399" s="219"/>
    </row>
    <row r="400" spans="1:9" x14ac:dyDescent="0.25">
      <c r="A400" s="7">
        <v>398</v>
      </c>
      <c r="B400" s="103" t="str">
        <f t="shared" ca="1" si="25"/>
        <v/>
      </c>
      <c r="C400" s="7" t="str">
        <f>'PL1'!H407</f>
        <v/>
      </c>
      <c r="D400" s="161"/>
      <c r="E400" s="162"/>
      <c r="F400" s="103" t="str">
        <f t="shared" ca="1" si="26"/>
        <v/>
      </c>
      <c r="G400" s="7" t="str">
        <f>'PL2'!H407</f>
        <v/>
      </c>
      <c r="H400" s="161"/>
      <c r="I400" s="219"/>
    </row>
    <row r="401" spans="1:9" x14ac:dyDescent="0.25">
      <c r="A401" s="7">
        <v>399</v>
      </c>
      <c r="B401" s="103" t="str">
        <f t="shared" ca="1" si="25"/>
        <v/>
      </c>
      <c r="C401" s="7" t="str">
        <f>'PL1'!H408</f>
        <v/>
      </c>
      <c r="D401" s="161"/>
      <c r="E401" s="162"/>
      <c r="F401" s="103" t="str">
        <f t="shared" ca="1" si="26"/>
        <v/>
      </c>
      <c r="G401" s="7" t="str">
        <f>'PL2'!H408</f>
        <v/>
      </c>
      <c r="H401" s="161"/>
      <c r="I401" s="219"/>
    </row>
    <row r="402" spans="1:9" x14ac:dyDescent="0.25">
      <c r="A402" s="7">
        <v>400</v>
      </c>
      <c r="B402" s="103" t="str">
        <f t="shared" ca="1" si="25"/>
        <v/>
      </c>
      <c r="C402" s="7" t="str">
        <f>'PL1'!H409</f>
        <v/>
      </c>
      <c r="D402" s="161"/>
      <c r="E402" s="162"/>
      <c r="F402" s="103" t="str">
        <f t="shared" ca="1" si="26"/>
        <v/>
      </c>
      <c r="G402" s="7" t="str">
        <f>'PL2'!H409</f>
        <v/>
      </c>
      <c r="H402" s="161"/>
      <c r="I402" s="219"/>
    </row>
    <row r="403" spans="1:9" x14ac:dyDescent="0.25">
      <c r="A403" s="7">
        <v>401</v>
      </c>
      <c r="B403" s="103" t="str">
        <f t="shared" ca="1" si="25"/>
        <v/>
      </c>
      <c r="C403" s="7" t="str">
        <f>'PL1'!H410</f>
        <v/>
      </c>
      <c r="D403" s="161"/>
      <c r="E403" s="162"/>
      <c r="F403" s="103" t="str">
        <f t="shared" ca="1" si="26"/>
        <v/>
      </c>
      <c r="G403" s="7" t="str">
        <f>'PL2'!H410</f>
        <v/>
      </c>
      <c r="H403" s="161"/>
      <c r="I403" s="219"/>
    </row>
    <row r="404" spans="1:9" x14ac:dyDescent="0.25">
      <c r="A404" s="7">
        <v>402</v>
      </c>
      <c r="B404" s="103" t="str">
        <f t="shared" ca="1" si="25"/>
        <v/>
      </c>
      <c r="C404" s="7" t="str">
        <f>'PL1'!H411</f>
        <v/>
      </c>
      <c r="D404" s="161"/>
      <c r="E404" s="162"/>
      <c r="F404" s="103" t="str">
        <f t="shared" ca="1" si="26"/>
        <v/>
      </c>
      <c r="G404" s="7" t="str">
        <f>'PL2'!H411</f>
        <v/>
      </c>
      <c r="H404" s="161"/>
      <c r="I404" s="219"/>
    </row>
    <row r="405" spans="1:9" x14ac:dyDescent="0.25">
      <c r="A405" s="7">
        <v>403</v>
      </c>
      <c r="B405" s="103" t="str">
        <f t="shared" ca="1" si="25"/>
        <v/>
      </c>
      <c r="C405" s="7" t="str">
        <f>'PL1'!H412</f>
        <v/>
      </c>
      <c r="D405" s="161"/>
      <c r="E405" s="162"/>
      <c r="F405" s="103" t="str">
        <f t="shared" ca="1" si="26"/>
        <v/>
      </c>
      <c r="G405" s="7" t="str">
        <f>'PL2'!H412</f>
        <v/>
      </c>
      <c r="H405" s="161"/>
      <c r="I405" s="219"/>
    </row>
    <row r="406" spans="1:9" x14ac:dyDescent="0.25">
      <c r="A406" s="7">
        <v>404</v>
      </c>
      <c r="B406" s="103" t="str">
        <f t="shared" ca="1" si="25"/>
        <v/>
      </c>
      <c r="C406" s="7" t="str">
        <f>'PL1'!H413</f>
        <v/>
      </c>
      <c r="D406" s="161"/>
      <c r="E406" s="162"/>
      <c r="F406" s="103" t="str">
        <f t="shared" ca="1" si="26"/>
        <v/>
      </c>
      <c r="G406" s="7" t="str">
        <f>'PL2'!H413</f>
        <v/>
      </c>
      <c r="H406" s="161"/>
      <c r="I406" s="219"/>
    </row>
    <row r="407" spans="1:9" x14ac:dyDescent="0.25">
      <c r="A407" s="7">
        <v>405</v>
      </c>
      <c r="B407" s="103" t="str">
        <f t="shared" ca="1" si="25"/>
        <v/>
      </c>
      <c r="C407" s="7" t="str">
        <f>'PL1'!H414</f>
        <v/>
      </c>
      <c r="D407" s="161"/>
      <c r="E407" s="162"/>
      <c r="F407" s="103" t="str">
        <f t="shared" ca="1" si="26"/>
        <v/>
      </c>
      <c r="G407" s="7" t="str">
        <f>'PL2'!H414</f>
        <v/>
      </c>
      <c r="H407" s="161"/>
      <c r="I407" s="219"/>
    </row>
    <row r="408" spans="1:9" x14ac:dyDescent="0.25">
      <c r="A408" s="7">
        <v>406</v>
      </c>
      <c r="B408" s="103" t="str">
        <f t="shared" ca="1" si="25"/>
        <v/>
      </c>
      <c r="C408" s="7" t="str">
        <f>'PL1'!H415</f>
        <v/>
      </c>
      <c r="D408" s="161"/>
      <c r="E408" s="162"/>
      <c r="F408" s="103" t="str">
        <f t="shared" ca="1" si="26"/>
        <v/>
      </c>
      <c r="G408" s="7" t="str">
        <f>'PL2'!H415</f>
        <v/>
      </c>
      <c r="H408" s="161"/>
      <c r="I408" s="219"/>
    </row>
    <row r="409" spans="1:9" x14ac:dyDescent="0.25">
      <c r="A409" s="7">
        <v>407</v>
      </c>
      <c r="B409" s="103" t="str">
        <f t="shared" ca="1" si="25"/>
        <v/>
      </c>
      <c r="C409" s="7" t="str">
        <f>'PL1'!H416</f>
        <v/>
      </c>
      <c r="D409" s="161"/>
      <c r="E409" s="162"/>
      <c r="F409" s="103" t="str">
        <f t="shared" ca="1" si="26"/>
        <v/>
      </c>
      <c r="G409" s="7" t="str">
        <f>'PL2'!H416</f>
        <v/>
      </c>
      <c r="H409" s="161"/>
      <c r="I409" s="219"/>
    </row>
    <row r="410" spans="1:9" x14ac:dyDescent="0.25">
      <c r="A410" s="7">
        <v>408</v>
      </c>
      <c r="B410" s="103" t="str">
        <f t="shared" ca="1" si="25"/>
        <v/>
      </c>
      <c r="C410" s="7" t="str">
        <f>'PL1'!H417</f>
        <v/>
      </c>
      <c r="D410" s="161"/>
      <c r="E410" s="162"/>
      <c r="F410" s="103" t="str">
        <f t="shared" ca="1" si="26"/>
        <v/>
      </c>
      <c r="G410" s="7" t="str">
        <f>'PL2'!H417</f>
        <v/>
      </c>
      <c r="H410" s="161"/>
      <c r="I410" s="219"/>
    </row>
    <row r="411" spans="1:9" x14ac:dyDescent="0.25">
      <c r="A411" s="7">
        <v>409</v>
      </c>
      <c r="B411" s="103" t="str">
        <f t="shared" ca="1" si="25"/>
        <v/>
      </c>
      <c r="C411" s="7" t="str">
        <f>'PL1'!H418</f>
        <v/>
      </c>
      <c r="D411" s="161"/>
      <c r="E411" s="162"/>
      <c r="F411" s="103" t="str">
        <f t="shared" ca="1" si="26"/>
        <v/>
      </c>
      <c r="G411" s="7" t="str">
        <f>'PL2'!H418</f>
        <v/>
      </c>
      <c r="H411" s="161"/>
      <c r="I411" s="219"/>
    </row>
    <row r="412" spans="1:9" x14ac:dyDescent="0.25">
      <c r="A412" s="7">
        <v>410</v>
      </c>
      <c r="B412" s="103" t="str">
        <f t="shared" ca="1" si="25"/>
        <v/>
      </c>
      <c r="C412" s="7" t="str">
        <f>'PL1'!H419</f>
        <v/>
      </c>
      <c r="D412" s="161"/>
      <c r="E412" s="162"/>
      <c r="F412" s="103" t="str">
        <f t="shared" ca="1" si="26"/>
        <v/>
      </c>
      <c r="G412" s="7" t="str">
        <f>'PL2'!H419</f>
        <v/>
      </c>
      <c r="H412" s="161"/>
      <c r="I412" s="219"/>
    </row>
    <row r="413" spans="1:9" x14ac:dyDescent="0.25">
      <c r="A413" s="7">
        <v>411</v>
      </c>
      <c r="B413" s="103" t="str">
        <f t="shared" ca="1" si="25"/>
        <v/>
      </c>
      <c r="C413" s="7" t="str">
        <f>'PL1'!H420</f>
        <v/>
      </c>
      <c r="D413" s="161"/>
      <c r="E413" s="162"/>
      <c r="F413" s="103" t="str">
        <f t="shared" ca="1" si="26"/>
        <v/>
      </c>
      <c r="G413" s="7" t="str">
        <f>'PL2'!H420</f>
        <v/>
      </c>
      <c r="H413" s="161"/>
      <c r="I413" s="219"/>
    </row>
    <row r="414" spans="1:9" x14ac:dyDescent="0.25">
      <c r="A414" s="7">
        <v>412</v>
      </c>
      <c r="B414" s="103" t="str">
        <f t="shared" ca="1" si="25"/>
        <v/>
      </c>
      <c r="C414" s="7" t="str">
        <f>'PL1'!H421</f>
        <v/>
      </c>
      <c r="D414" s="161"/>
      <c r="E414" s="162"/>
      <c r="F414" s="103" t="str">
        <f t="shared" ca="1" si="26"/>
        <v/>
      </c>
      <c r="G414" s="7" t="str">
        <f>'PL2'!H421</f>
        <v/>
      </c>
      <c r="H414" s="161"/>
      <c r="I414" s="219"/>
    </row>
    <row r="415" spans="1:9" x14ac:dyDescent="0.25">
      <c r="A415" s="7">
        <v>413</v>
      </c>
      <c r="B415" s="103" t="str">
        <f t="shared" ca="1" si="25"/>
        <v/>
      </c>
      <c r="C415" s="7" t="str">
        <f>'PL1'!H422</f>
        <v/>
      </c>
      <c r="D415" s="161"/>
      <c r="E415" s="162"/>
      <c r="F415" s="103" t="str">
        <f t="shared" ca="1" si="26"/>
        <v/>
      </c>
      <c r="G415" s="7" t="str">
        <f>'PL2'!H422</f>
        <v/>
      </c>
      <c r="H415" s="161"/>
      <c r="I415" s="219"/>
    </row>
    <row r="416" spans="1:9" x14ac:dyDescent="0.25">
      <c r="A416" s="7">
        <v>414</v>
      </c>
      <c r="B416" s="103" t="str">
        <f t="shared" ca="1" si="25"/>
        <v/>
      </c>
      <c r="C416" s="7" t="str">
        <f>'PL1'!H423</f>
        <v/>
      </c>
      <c r="D416" s="161"/>
      <c r="E416" s="162"/>
      <c r="F416" s="103" t="str">
        <f t="shared" ca="1" si="26"/>
        <v/>
      </c>
      <c r="G416" s="7" t="str">
        <f>'PL2'!H423</f>
        <v/>
      </c>
      <c r="H416" s="161"/>
      <c r="I416" s="219"/>
    </row>
    <row r="417" spans="1:9" x14ac:dyDescent="0.25">
      <c r="A417" s="7">
        <v>415</v>
      </c>
      <c r="B417" s="103" t="str">
        <f t="shared" ca="1" si="25"/>
        <v/>
      </c>
      <c r="C417" s="7" t="str">
        <f>'PL1'!H424</f>
        <v/>
      </c>
      <c r="D417" s="161"/>
      <c r="E417" s="162"/>
      <c r="F417" s="103" t="str">
        <f t="shared" ca="1" si="26"/>
        <v/>
      </c>
      <c r="G417" s="7" t="str">
        <f>'PL2'!H424</f>
        <v/>
      </c>
      <c r="H417" s="161"/>
      <c r="I417" s="219"/>
    </row>
    <row r="418" spans="1:9" x14ac:dyDescent="0.25">
      <c r="A418" s="7">
        <v>416</v>
      </c>
      <c r="B418" s="103" t="str">
        <f t="shared" ca="1" si="25"/>
        <v/>
      </c>
      <c r="C418" s="7" t="str">
        <f>'PL1'!H425</f>
        <v/>
      </c>
      <c r="D418" s="161"/>
      <c r="E418" s="162"/>
      <c r="F418" s="103" t="str">
        <f t="shared" ca="1" si="26"/>
        <v/>
      </c>
      <c r="G418" s="7" t="str">
        <f>'PL2'!H425</f>
        <v/>
      </c>
      <c r="H418" s="161"/>
      <c r="I418" s="219"/>
    </row>
    <row r="419" spans="1:9" x14ac:dyDescent="0.25">
      <c r="A419" s="7">
        <v>417</v>
      </c>
      <c r="B419" s="103" t="str">
        <f t="shared" ca="1" si="25"/>
        <v/>
      </c>
      <c r="C419" s="7" t="str">
        <f>'PL1'!H426</f>
        <v/>
      </c>
      <c r="D419" s="161"/>
      <c r="E419" s="162"/>
      <c r="F419" s="103" t="str">
        <f t="shared" ca="1" si="26"/>
        <v/>
      </c>
      <c r="G419" s="7" t="str">
        <f>'PL2'!H426</f>
        <v/>
      </c>
      <c r="H419" s="161"/>
      <c r="I419" s="219"/>
    </row>
    <row r="420" spans="1:9" x14ac:dyDescent="0.25">
      <c r="A420" s="7">
        <v>418</v>
      </c>
      <c r="B420" s="103" t="str">
        <f t="shared" ca="1" si="25"/>
        <v/>
      </c>
      <c r="C420" s="7" t="str">
        <f>'PL1'!H427</f>
        <v/>
      </c>
      <c r="D420" s="161"/>
      <c r="E420" s="162"/>
      <c r="F420" s="103" t="str">
        <f t="shared" ca="1" si="26"/>
        <v/>
      </c>
      <c r="G420" s="7" t="str">
        <f>'PL2'!H427</f>
        <v/>
      </c>
      <c r="H420" s="161"/>
      <c r="I420" s="219"/>
    </row>
    <row r="421" spans="1:9" x14ac:dyDescent="0.25">
      <c r="A421" s="7">
        <v>419</v>
      </c>
      <c r="B421" s="103" t="str">
        <f t="shared" ca="1" si="25"/>
        <v/>
      </c>
      <c r="C421" s="7" t="str">
        <f>'PL1'!H428</f>
        <v/>
      </c>
      <c r="D421" s="161"/>
      <c r="E421" s="162"/>
      <c r="F421" s="103" t="str">
        <f t="shared" ca="1" si="26"/>
        <v/>
      </c>
      <c r="G421" s="7" t="str">
        <f>'PL2'!H428</f>
        <v/>
      </c>
      <c r="H421" s="161"/>
      <c r="I421" s="219"/>
    </row>
    <row r="422" spans="1:9" x14ac:dyDescent="0.25">
      <c r="A422" s="7">
        <v>420</v>
      </c>
      <c r="B422" s="103" t="str">
        <f t="shared" ca="1" si="25"/>
        <v/>
      </c>
      <c r="C422" s="7" t="str">
        <f>'PL1'!H429</f>
        <v/>
      </c>
      <c r="D422" s="161"/>
      <c r="E422" s="162"/>
      <c r="F422" s="103" t="str">
        <f t="shared" ca="1" si="26"/>
        <v/>
      </c>
      <c r="G422" s="7" t="str">
        <f>'PL2'!H429</f>
        <v/>
      </c>
      <c r="H422" s="161"/>
      <c r="I422" s="219"/>
    </row>
    <row r="423" spans="1:9" x14ac:dyDescent="0.25">
      <c r="A423" s="7">
        <v>421</v>
      </c>
      <c r="B423" s="103" t="str">
        <f t="shared" ca="1" si="25"/>
        <v/>
      </c>
      <c r="C423" s="7" t="str">
        <f>'PL1'!H430</f>
        <v/>
      </c>
      <c r="D423" s="161"/>
      <c r="E423" s="162"/>
      <c r="F423" s="103" t="str">
        <f t="shared" ca="1" si="26"/>
        <v/>
      </c>
      <c r="G423" s="7" t="str">
        <f>'PL2'!H430</f>
        <v/>
      </c>
      <c r="H423" s="161"/>
      <c r="I423" s="219"/>
    </row>
    <row r="424" spans="1:9" x14ac:dyDescent="0.25">
      <c r="A424" s="7">
        <v>422</v>
      </c>
      <c r="B424" s="103" t="str">
        <f t="shared" ca="1" si="25"/>
        <v/>
      </c>
      <c r="C424" s="7" t="str">
        <f>'PL1'!H431</f>
        <v/>
      </c>
      <c r="D424" s="161"/>
      <c r="E424" s="162"/>
      <c r="F424" s="103" t="str">
        <f t="shared" ca="1" si="26"/>
        <v/>
      </c>
      <c r="G424" s="7" t="str">
        <f>'PL2'!H431</f>
        <v/>
      </c>
      <c r="H424" s="161"/>
      <c r="I424" s="219"/>
    </row>
    <row r="425" spans="1:9" x14ac:dyDescent="0.25">
      <c r="A425" s="7">
        <v>423</v>
      </c>
      <c r="B425" s="103" t="str">
        <f t="shared" ca="1" si="25"/>
        <v/>
      </c>
      <c r="C425" s="7" t="str">
        <f>'PL1'!H432</f>
        <v/>
      </c>
      <c r="D425" s="161"/>
      <c r="E425" s="162"/>
      <c r="F425" s="103" t="str">
        <f t="shared" ca="1" si="26"/>
        <v/>
      </c>
      <c r="G425" s="7" t="str">
        <f>'PL2'!H432</f>
        <v/>
      </c>
      <c r="H425" s="161"/>
      <c r="I425" s="219"/>
    </row>
    <row r="426" spans="1:9" x14ac:dyDescent="0.25">
      <c r="A426" s="7">
        <v>424</v>
      </c>
      <c r="B426" s="103" t="str">
        <f t="shared" ca="1" si="25"/>
        <v/>
      </c>
      <c r="C426" s="7" t="str">
        <f>'PL1'!H433</f>
        <v/>
      </c>
      <c r="D426" s="161"/>
      <c r="E426" s="162"/>
      <c r="F426" s="103" t="str">
        <f t="shared" ca="1" si="26"/>
        <v/>
      </c>
      <c r="G426" s="7" t="str">
        <f>'PL2'!H433</f>
        <v/>
      </c>
      <c r="H426" s="161"/>
      <c r="I426" s="219"/>
    </row>
    <row r="427" spans="1:9" x14ac:dyDescent="0.25">
      <c r="A427" s="7">
        <v>425</v>
      </c>
      <c r="B427" s="103" t="str">
        <f t="shared" ca="1" si="25"/>
        <v/>
      </c>
      <c r="C427" s="7" t="str">
        <f>'PL1'!H434</f>
        <v/>
      </c>
      <c r="D427" s="161"/>
      <c r="E427" s="162"/>
      <c r="F427" s="103" t="str">
        <f t="shared" ca="1" si="26"/>
        <v/>
      </c>
      <c r="G427" s="7" t="str">
        <f>'PL2'!H434</f>
        <v/>
      </c>
      <c r="H427" s="161"/>
      <c r="I427" s="219"/>
    </row>
    <row r="428" spans="1:9" x14ac:dyDescent="0.25">
      <c r="A428" s="7">
        <v>426</v>
      </c>
      <c r="B428" s="103" t="str">
        <f t="shared" ca="1" si="25"/>
        <v/>
      </c>
      <c r="C428" s="7" t="str">
        <f>'PL1'!H435</f>
        <v/>
      </c>
      <c r="D428" s="161"/>
      <c r="E428" s="162"/>
      <c r="F428" s="103" t="str">
        <f t="shared" ca="1" si="26"/>
        <v/>
      </c>
      <c r="G428" s="7" t="str">
        <f>'PL2'!H435</f>
        <v/>
      </c>
      <c r="H428" s="161"/>
      <c r="I428" s="219"/>
    </row>
    <row r="429" spans="1:9" x14ac:dyDescent="0.25">
      <c r="A429" s="7">
        <v>427</v>
      </c>
      <c r="B429" s="103" t="str">
        <f t="shared" ca="1" si="25"/>
        <v/>
      </c>
      <c r="C429" s="7" t="str">
        <f>'PL1'!H436</f>
        <v/>
      </c>
      <c r="D429" s="161"/>
      <c r="E429" s="162"/>
      <c r="F429" s="103" t="str">
        <f t="shared" ca="1" si="26"/>
        <v/>
      </c>
      <c r="G429" s="7" t="str">
        <f>'PL2'!H436</f>
        <v/>
      </c>
      <c r="H429" s="161"/>
      <c r="I429" s="219"/>
    </row>
    <row r="430" spans="1:9" x14ac:dyDescent="0.25">
      <c r="A430" s="7">
        <v>428</v>
      </c>
      <c r="B430" s="103" t="str">
        <f t="shared" ca="1" si="25"/>
        <v/>
      </c>
      <c r="C430" s="7" t="str">
        <f>'PL1'!H437</f>
        <v/>
      </c>
      <c r="D430" s="161"/>
      <c r="E430" s="162"/>
      <c r="F430" s="103" t="str">
        <f t="shared" ca="1" si="26"/>
        <v/>
      </c>
      <c r="G430" s="7" t="str">
        <f>'PL2'!H437</f>
        <v/>
      </c>
      <c r="H430" s="161"/>
      <c r="I430" s="219"/>
    </row>
    <row r="431" spans="1:9" x14ac:dyDescent="0.25">
      <c r="A431" s="7">
        <v>429</v>
      </c>
      <c r="B431" s="103" t="str">
        <f t="shared" ca="1" si="25"/>
        <v/>
      </c>
      <c r="C431" s="7" t="str">
        <f>'PL1'!H438</f>
        <v/>
      </c>
      <c r="D431" s="161"/>
      <c r="E431" s="162"/>
      <c r="F431" s="103" t="str">
        <f t="shared" ca="1" si="26"/>
        <v/>
      </c>
      <c r="G431" s="7" t="str">
        <f>'PL2'!H438</f>
        <v/>
      </c>
      <c r="H431" s="161"/>
      <c r="I431" s="219"/>
    </row>
    <row r="432" spans="1:9" x14ac:dyDescent="0.25">
      <c r="A432" s="7">
        <v>430</v>
      </c>
      <c r="B432" s="103" t="str">
        <f t="shared" ca="1" si="25"/>
        <v/>
      </c>
      <c r="C432" s="7" t="str">
        <f>'PL1'!H439</f>
        <v/>
      </c>
      <c r="D432" s="161"/>
      <c r="E432" s="162"/>
      <c r="F432" s="103" t="str">
        <f t="shared" ca="1" si="26"/>
        <v/>
      </c>
      <c r="G432" s="7" t="str">
        <f>'PL2'!H439</f>
        <v/>
      </c>
      <c r="H432" s="161"/>
      <c r="I432" s="219"/>
    </row>
    <row r="433" spans="1:9" x14ac:dyDescent="0.25">
      <c r="A433" s="7">
        <v>431</v>
      </c>
      <c r="B433" s="103" t="str">
        <f t="shared" ca="1" si="25"/>
        <v/>
      </c>
      <c r="C433" s="7" t="str">
        <f>'PL1'!H440</f>
        <v/>
      </c>
      <c r="D433" s="161"/>
      <c r="E433" s="162"/>
      <c r="F433" s="103" t="str">
        <f t="shared" ca="1" si="26"/>
        <v/>
      </c>
      <c r="G433" s="7" t="str">
        <f>'PL2'!H440</f>
        <v/>
      </c>
      <c r="H433" s="161"/>
      <c r="I433" s="219"/>
    </row>
    <row r="434" spans="1:9" x14ac:dyDescent="0.25">
      <c r="A434" s="7">
        <v>432</v>
      </c>
      <c r="B434" s="103" t="str">
        <f t="shared" ca="1" si="25"/>
        <v/>
      </c>
      <c r="C434" s="7" t="str">
        <f>'PL1'!H441</f>
        <v/>
      </c>
      <c r="D434" s="161"/>
      <c r="E434" s="162"/>
      <c r="F434" s="103" t="str">
        <f t="shared" ca="1" si="26"/>
        <v/>
      </c>
      <c r="G434" s="7" t="str">
        <f>'PL2'!H441</f>
        <v/>
      </c>
      <c r="H434" s="161"/>
      <c r="I434" s="219"/>
    </row>
    <row r="435" spans="1:9" x14ac:dyDescent="0.25">
      <c r="A435" s="7">
        <v>433</v>
      </c>
      <c r="B435" s="103" t="str">
        <f t="shared" ca="1" si="25"/>
        <v/>
      </c>
      <c r="C435" s="7" t="str">
        <f>'PL1'!H442</f>
        <v/>
      </c>
      <c r="D435" s="161"/>
      <c r="E435" s="162"/>
      <c r="F435" s="103" t="str">
        <f t="shared" ca="1" si="26"/>
        <v/>
      </c>
      <c r="G435" s="7" t="str">
        <f>'PL2'!H442</f>
        <v/>
      </c>
      <c r="H435" s="161"/>
      <c r="I435" s="219"/>
    </row>
    <row r="436" spans="1:9" x14ac:dyDescent="0.25">
      <c r="A436" s="7">
        <v>434</v>
      </c>
      <c r="B436" s="103" t="str">
        <f t="shared" ca="1" si="25"/>
        <v/>
      </c>
      <c r="C436" s="7" t="str">
        <f>'PL1'!H443</f>
        <v/>
      </c>
      <c r="D436" s="161"/>
      <c r="E436" s="162"/>
      <c r="F436" s="103" t="str">
        <f t="shared" ca="1" si="26"/>
        <v/>
      </c>
      <c r="G436" s="7" t="str">
        <f>'PL2'!H443</f>
        <v/>
      </c>
      <c r="H436" s="161"/>
      <c r="I436" s="219"/>
    </row>
    <row r="437" spans="1:9" x14ac:dyDescent="0.25">
      <c r="A437" s="7">
        <v>435</v>
      </c>
      <c r="B437" s="103" t="str">
        <f t="shared" ca="1" si="25"/>
        <v/>
      </c>
      <c r="C437" s="7" t="str">
        <f>'PL1'!H444</f>
        <v/>
      </c>
      <c r="D437" s="161"/>
      <c r="E437" s="162"/>
      <c r="F437" s="103" t="str">
        <f t="shared" ca="1" si="26"/>
        <v/>
      </c>
      <c r="G437" s="7" t="str">
        <f>'PL2'!H444</f>
        <v/>
      </c>
      <c r="H437" s="161"/>
      <c r="I437" s="219"/>
    </row>
    <row r="438" spans="1:9" x14ac:dyDescent="0.25">
      <c r="A438" s="7">
        <v>436</v>
      </c>
      <c r="B438" s="103" t="str">
        <f t="shared" ca="1" si="25"/>
        <v/>
      </c>
      <c r="C438" s="7" t="str">
        <f>'PL1'!H445</f>
        <v/>
      </c>
      <c r="D438" s="161"/>
      <c r="E438" s="162"/>
      <c r="F438" s="103" t="str">
        <f t="shared" ca="1" si="26"/>
        <v/>
      </c>
      <c r="G438" s="7" t="str">
        <f>'PL2'!H445</f>
        <v/>
      </c>
      <c r="H438" s="161"/>
      <c r="I438" s="219"/>
    </row>
    <row r="439" spans="1:9" x14ac:dyDescent="0.25">
      <c r="A439" s="7">
        <v>437</v>
      </c>
      <c r="B439" s="103" t="str">
        <f t="shared" ca="1" si="25"/>
        <v/>
      </c>
      <c r="C439" s="7" t="str">
        <f>'PL1'!H446</f>
        <v/>
      </c>
      <c r="D439" s="161"/>
      <c r="E439" s="162"/>
      <c r="F439" s="103" t="str">
        <f t="shared" ca="1" si="26"/>
        <v/>
      </c>
      <c r="G439" s="7" t="str">
        <f>'PL2'!H446</f>
        <v/>
      </c>
      <c r="H439" s="161"/>
      <c r="I439" s="219"/>
    </row>
    <row r="440" spans="1:9" x14ac:dyDescent="0.25">
      <c r="A440" s="7">
        <v>438</v>
      </c>
      <c r="B440" s="103" t="str">
        <f t="shared" ca="1" si="25"/>
        <v/>
      </c>
      <c r="C440" s="7" t="str">
        <f>'PL1'!H447</f>
        <v/>
      </c>
      <c r="D440" s="161"/>
      <c r="E440" s="162"/>
      <c r="F440" s="103" t="str">
        <f t="shared" ca="1" si="26"/>
        <v/>
      </c>
      <c r="G440" s="7" t="str">
        <f>'PL2'!H447</f>
        <v/>
      </c>
      <c r="H440" s="161"/>
      <c r="I440" s="219"/>
    </row>
    <row r="441" spans="1:9" x14ac:dyDescent="0.25">
      <c r="A441" s="7">
        <v>439</v>
      </c>
      <c r="B441" s="103" t="str">
        <f t="shared" ca="1" si="25"/>
        <v/>
      </c>
      <c r="C441" s="7" t="str">
        <f>'PL1'!H448</f>
        <v/>
      </c>
      <c r="D441" s="161"/>
      <c r="E441" s="162"/>
      <c r="F441" s="103" t="str">
        <f t="shared" ca="1" si="26"/>
        <v/>
      </c>
      <c r="G441" s="7" t="str">
        <f>'PL2'!H448</f>
        <v/>
      </c>
      <c r="H441" s="161"/>
      <c r="I441" s="219"/>
    </row>
    <row r="442" spans="1:9" x14ac:dyDescent="0.25">
      <c r="A442" s="7">
        <v>440</v>
      </c>
      <c r="B442" s="103" t="str">
        <f t="shared" ca="1" si="25"/>
        <v/>
      </c>
      <c r="C442" s="7" t="str">
        <f>'PL1'!H449</f>
        <v/>
      </c>
      <c r="D442" s="161"/>
      <c r="E442" s="162"/>
      <c r="F442" s="103" t="str">
        <f t="shared" ca="1" si="26"/>
        <v/>
      </c>
      <c r="G442" s="7" t="str">
        <f>'PL2'!H449</f>
        <v/>
      </c>
      <c r="H442" s="161"/>
      <c r="I442" s="219"/>
    </row>
    <row r="443" spans="1:9" x14ac:dyDescent="0.25">
      <c r="A443" s="7">
        <v>441</v>
      </c>
      <c r="B443" s="103" t="str">
        <f t="shared" ca="1" si="25"/>
        <v/>
      </c>
      <c r="C443" s="7" t="str">
        <f>'PL1'!H450</f>
        <v/>
      </c>
      <c r="D443" s="161"/>
      <c r="E443" s="162"/>
      <c r="F443" s="103" t="str">
        <f t="shared" ca="1" si="26"/>
        <v/>
      </c>
      <c r="G443" s="7" t="str">
        <f>'PL2'!H450</f>
        <v/>
      </c>
      <c r="H443" s="161"/>
      <c r="I443" s="219"/>
    </row>
    <row r="444" spans="1:9" x14ac:dyDescent="0.25">
      <c r="A444" s="7">
        <v>442</v>
      </c>
      <c r="B444" s="103" t="str">
        <f t="shared" ca="1" si="25"/>
        <v/>
      </c>
      <c r="C444" s="7" t="str">
        <f>'PL1'!H451</f>
        <v/>
      </c>
      <c r="D444" s="161"/>
      <c r="E444" s="162"/>
      <c r="F444" s="103" t="str">
        <f t="shared" ca="1" si="26"/>
        <v/>
      </c>
      <c r="G444" s="7" t="str">
        <f>'PL2'!H451</f>
        <v/>
      </c>
      <c r="H444" s="161"/>
      <c r="I444" s="219"/>
    </row>
    <row r="445" spans="1:9" x14ac:dyDescent="0.25">
      <c r="A445" s="7">
        <v>443</v>
      </c>
      <c r="B445" s="103" t="str">
        <f t="shared" ca="1" si="25"/>
        <v/>
      </c>
      <c r="C445" s="7" t="str">
        <f>'PL1'!H452</f>
        <v/>
      </c>
      <c r="D445" s="161"/>
      <c r="E445" s="162"/>
      <c r="F445" s="103" t="str">
        <f t="shared" ca="1" si="26"/>
        <v/>
      </c>
      <c r="G445" s="7" t="str">
        <f>'PL2'!H452</f>
        <v/>
      </c>
      <c r="H445" s="161"/>
      <c r="I445" s="219"/>
    </row>
    <row r="446" spans="1:9" x14ac:dyDescent="0.25">
      <c r="A446" s="7">
        <v>444</v>
      </c>
      <c r="B446" s="103" t="str">
        <f t="shared" ca="1" si="25"/>
        <v/>
      </c>
      <c r="C446" s="7" t="str">
        <f>'PL1'!H453</f>
        <v/>
      </c>
      <c r="D446" s="161"/>
      <c r="E446" s="162"/>
      <c r="F446" s="103" t="str">
        <f t="shared" ca="1" si="26"/>
        <v/>
      </c>
      <c r="G446" s="7" t="str">
        <f>'PL2'!H453</f>
        <v/>
      </c>
      <c r="H446" s="161"/>
      <c r="I446" s="219"/>
    </row>
    <row r="447" spans="1:9" x14ac:dyDescent="0.25">
      <c r="A447" s="7">
        <v>445</v>
      </c>
      <c r="B447" s="103" t="str">
        <f t="shared" ca="1" si="25"/>
        <v/>
      </c>
      <c r="C447" s="7" t="str">
        <f>'PL1'!H454</f>
        <v/>
      </c>
      <c r="D447" s="161"/>
      <c r="E447" s="162"/>
      <c r="F447" s="103" t="str">
        <f t="shared" ca="1" si="26"/>
        <v/>
      </c>
      <c r="G447" s="7" t="str">
        <f>'PL2'!H454</f>
        <v/>
      </c>
      <c r="H447" s="161"/>
      <c r="I447" s="219"/>
    </row>
    <row r="448" spans="1:9" x14ac:dyDescent="0.25">
      <c r="A448" s="7">
        <v>446</v>
      </c>
      <c r="B448" s="103" t="str">
        <f t="shared" ca="1" si="25"/>
        <v/>
      </c>
      <c r="C448" s="7" t="str">
        <f>'PL1'!H455</f>
        <v/>
      </c>
      <c r="D448" s="161"/>
      <c r="E448" s="162"/>
      <c r="F448" s="103" t="str">
        <f t="shared" ca="1" si="26"/>
        <v/>
      </c>
      <c r="G448" s="7" t="str">
        <f>'PL2'!H455</f>
        <v/>
      </c>
      <c r="H448" s="161"/>
      <c r="I448" s="219"/>
    </row>
    <row r="449" spans="1:9" x14ac:dyDescent="0.25">
      <c r="A449" s="7">
        <v>447</v>
      </c>
      <c r="B449" s="103" t="str">
        <f t="shared" ca="1" si="25"/>
        <v/>
      </c>
      <c r="C449" s="7" t="str">
        <f>'PL1'!H456</f>
        <v/>
      </c>
      <c r="D449" s="161"/>
      <c r="E449" s="162"/>
      <c r="F449" s="103" t="str">
        <f t="shared" ca="1" si="26"/>
        <v/>
      </c>
      <c r="G449" s="7" t="str">
        <f>'PL2'!H456</f>
        <v/>
      </c>
      <c r="H449" s="161"/>
      <c r="I449" s="219"/>
    </row>
    <row r="450" spans="1:9" x14ac:dyDescent="0.25">
      <c r="A450" s="7">
        <v>448</v>
      </c>
      <c r="B450" s="103" t="str">
        <f t="shared" ca="1" si="25"/>
        <v/>
      </c>
      <c r="C450" s="7" t="str">
        <f>'PL1'!H457</f>
        <v/>
      </c>
      <c r="D450" s="161"/>
      <c r="E450" s="162"/>
      <c r="F450" s="103" t="str">
        <f t="shared" ca="1" si="26"/>
        <v/>
      </c>
      <c r="G450" s="7" t="str">
        <f>'PL2'!H457</f>
        <v/>
      </c>
      <c r="H450" s="161"/>
      <c r="I450" s="219"/>
    </row>
    <row r="451" spans="1:9" x14ac:dyDescent="0.25">
      <c r="A451" s="7">
        <v>449</v>
      </c>
      <c r="B451" s="103" t="str">
        <f t="shared" ca="1" si="25"/>
        <v/>
      </c>
      <c r="C451" s="7" t="str">
        <f>'PL1'!H458</f>
        <v/>
      </c>
      <c r="D451" s="161"/>
      <c r="E451" s="162"/>
      <c r="F451" s="103" t="str">
        <f t="shared" ca="1" si="26"/>
        <v/>
      </c>
      <c r="G451" s="7" t="str">
        <f>'PL2'!H458</f>
        <v/>
      </c>
      <c r="H451" s="161"/>
      <c r="I451" s="219"/>
    </row>
    <row r="452" spans="1:9" x14ac:dyDescent="0.25">
      <c r="A452" s="7">
        <v>450</v>
      </c>
      <c r="B452" s="103" t="str">
        <f t="shared" ref="B452:B482" ca="1" si="27">IF(C452="","",RAND())</f>
        <v/>
      </c>
      <c r="C452" s="7" t="str">
        <f>'PL1'!H459</f>
        <v/>
      </c>
      <c r="D452" s="161"/>
      <c r="E452" s="162"/>
      <c r="F452" s="103" t="str">
        <f t="shared" ref="F452:F482" ca="1" si="28">IF(G452="","",RAND())</f>
        <v/>
      </c>
      <c r="G452" s="7" t="str">
        <f>'PL2'!H459</f>
        <v/>
      </c>
      <c r="H452" s="161"/>
      <c r="I452" s="219"/>
    </row>
    <row r="453" spans="1:9" x14ac:dyDescent="0.25">
      <c r="A453" s="7">
        <v>451</v>
      </c>
      <c r="B453" s="103" t="str">
        <f t="shared" ca="1" si="27"/>
        <v/>
      </c>
      <c r="C453" s="7" t="str">
        <f>'PL1'!H460</f>
        <v/>
      </c>
      <c r="D453" s="161"/>
      <c r="E453" s="162"/>
      <c r="F453" s="103" t="str">
        <f t="shared" ca="1" si="28"/>
        <v/>
      </c>
      <c r="G453" s="7" t="str">
        <f>'PL2'!H460</f>
        <v/>
      </c>
      <c r="H453" s="161"/>
      <c r="I453" s="219"/>
    </row>
    <row r="454" spans="1:9" x14ac:dyDescent="0.25">
      <c r="A454" s="7">
        <v>452</v>
      </c>
      <c r="B454" s="103" t="str">
        <f t="shared" ca="1" si="27"/>
        <v/>
      </c>
      <c r="C454" s="7" t="str">
        <f>'PL1'!H461</f>
        <v/>
      </c>
      <c r="D454" s="161"/>
      <c r="E454" s="162"/>
      <c r="F454" s="103" t="str">
        <f t="shared" ca="1" si="28"/>
        <v/>
      </c>
      <c r="G454" s="7" t="str">
        <f>'PL2'!H461</f>
        <v/>
      </c>
      <c r="H454" s="161"/>
      <c r="I454" s="219"/>
    </row>
    <row r="455" spans="1:9" x14ac:dyDescent="0.25">
      <c r="A455" s="7">
        <v>453</v>
      </c>
      <c r="B455" s="103" t="str">
        <f t="shared" ca="1" si="27"/>
        <v/>
      </c>
      <c r="C455" s="7" t="str">
        <f>'PL1'!H462</f>
        <v/>
      </c>
      <c r="D455" s="161"/>
      <c r="E455" s="162"/>
      <c r="F455" s="103" t="str">
        <f t="shared" ca="1" si="28"/>
        <v/>
      </c>
      <c r="G455" s="7" t="str">
        <f>'PL2'!H462</f>
        <v/>
      </c>
      <c r="H455" s="161"/>
      <c r="I455" s="219"/>
    </row>
    <row r="456" spans="1:9" x14ac:dyDescent="0.25">
      <c r="A456" s="7">
        <v>454</v>
      </c>
      <c r="B456" s="103" t="str">
        <f t="shared" ca="1" si="27"/>
        <v/>
      </c>
      <c r="C456" s="7" t="str">
        <f>'PL1'!H463</f>
        <v/>
      </c>
      <c r="D456" s="161"/>
      <c r="E456" s="162"/>
      <c r="F456" s="103" t="str">
        <f t="shared" ca="1" si="28"/>
        <v/>
      </c>
      <c r="G456" s="7" t="str">
        <f>'PL2'!H463</f>
        <v/>
      </c>
      <c r="H456" s="161"/>
      <c r="I456" s="219"/>
    </row>
    <row r="457" spans="1:9" x14ac:dyDescent="0.25">
      <c r="A457" s="7">
        <v>455</v>
      </c>
      <c r="B457" s="103" t="str">
        <f t="shared" ca="1" si="27"/>
        <v/>
      </c>
      <c r="C457" s="7" t="str">
        <f>'PL1'!H464</f>
        <v/>
      </c>
      <c r="D457" s="161"/>
      <c r="E457" s="162"/>
      <c r="F457" s="103" t="str">
        <f t="shared" ca="1" si="28"/>
        <v/>
      </c>
      <c r="G457" s="7" t="str">
        <f>'PL2'!H464</f>
        <v/>
      </c>
      <c r="H457" s="161"/>
      <c r="I457" s="219"/>
    </row>
    <row r="458" spans="1:9" x14ac:dyDescent="0.25">
      <c r="A458" s="7">
        <v>456</v>
      </c>
      <c r="B458" s="103" t="str">
        <f t="shared" ca="1" si="27"/>
        <v/>
      </c>
      <c r="C458" s="7" t="str">
        <f>'PL1'!H465</f>
        <v/>
      </c>
      <c r="D458" s="161"/>
      <c r="E458" s="162"/>
      <c r="F458" s="103" t="str">
        <f t="shared" ca="1" si="28"/>
        <v/>
      </c>
      <c r="G458" s="7" t="str">
        <f>'PL2'!H465</f>
        <v/>
      </c>
      <c r="H458" s="161"/>
      <c r="I458" s="219"/>
    </row>
    <row r="459" spans="1:9" x14ac:dyDescent="0.25">
      <c r="A459" s="7">
        <v>457</v>
      </c>
      <c r="B459" s="103" t="str">
        <f t="shared" ca="1" si="27"/>
        <v/>
      </c>
      <c r="C459" s="7" t="str">
        <f>'PL1'!H466</f>
        <v/>
      </c>
      <c r="D459" s="161"/>
      <c r="E459" s="162"/>
      <c r="F459" s="103" t="str">
        <f t="shared" ca="1" si="28"/>
        <v/>
      </c>
      <c r="G459" s="7" t="str">
        <f>'PL2'!H466</f>
        <v/>
      </c>
      <c r="H459" s="161"/>
      <c r="I459" s="219"/>
    </row>
    <row r="460" spans="1:9" x14ac:dyDescent="0.25">
      <c r="A460" s="7">
        <v>458</v>
      </c>
      <c r="B460" s="103" t="str">
        <f t="shared" ca="1" si="27"/>
        <v/>
      </c>
      <c r="C460" s="7" t="str">
        <f>'PL1'!H467</f>
        <v/>
      </c>
      <c r="D460" s="161"/>
      <c r="E460" s="162"/>
      <c r="F460" s="103" t="str">
        <f t="shared" ca="1" si="28"/>
        <v/>
      </c>
      <c r="G460" s="7" t="str">
        <f>'PL2'!H467</f>
        <v/>
      </c>
      <c r="H460" s="161"/>
      <c r="I460" s="219"/>
    </row>
    <row r="461" spans="1:9" x14ac:dyDescent="0.25">
      <c r="A461" s="7">
        <v>459</v>
      </c>
      <c r="B461" s="103" t="str">
        <f t="shared" ca="1" si="27"/>
        <v/>
      </c>
      <c r="C461" s="7" t="str">
        <f>'PL1'!H468</f>
        <v/>
      </c>
      <c r="D461" s="161"/>
      <c r="E461" s="162"/>
      <c r="F461" s="103" t="str">
        <f t="shared" ca="1" si="28"/>
        <v/>
      </c>
      <c r="G461" s="7" t="str">
        <f>'PL2'!H468</f>
        <v/>
      </c>
      <c r="H461" s="161"/>
      <c r="I461" s="219"/>
    </row>
    <row r="462" spans="1:9" x14ac:dyDescent="0.25">
      <c r="A462" s="7">
        <v>460</v>
      </c>
      <c r="B462" s="103" t="str">
        <f t="shared" ca="1" si="27"/>
        <v/>
      </c>
      <c r="C462" s="7" t="str">
        <f>'PL1'!H469</f>
        <v/>
      </c>
      <c r="D462" s="161"/>
      <c r="E462" s="162"/>
      <c r="F462" s="103" t="str">
        <f t="shared" ca="1" si="28"/>
        <v/>
      </c>
      <c r="G462" s="7" t="str">
        <f>'PL2'!H469</f>
        <v/>
      </c>
      <c r="H462" s="161"/>
      <c r="I462" s="219"/>
    </row>
    <row r="463" spans="1:9" x14ac:dyDescent="0.25">
      <c r="A463" s="7">
        <v>461</v>
      </c>
      <c r="B463" s="103" t="str">
        <f t="shared" ca="1" si="27"/>
        <v/>
      </c>
      <c r="C463" s="7" t="str">
        <f>'PL1'!H470</f>
        <v/>
      </c>
      <c r="D463" s="161"/>
      <c r="E463" s="162"/>
      <c r="F463" s="103" t="str">
        <f t="shared" ca="1" si="28"/>
        <v/>
      </c>
      <c r="G463" s="7" t="str">
        <f>'PL2'!H470</f>
        <v/>
      </c>
      <c r="H463" s="161"/>
      <c r="I463" s="219"/>
    </row>
    <row r="464" spans="1:9" x14ac:dyDescent="0.25">
      <c r="A464" s="7">
        <v>462</v>
      </c>
      <c r="B464" s="103" t="str">
        <f t="shared" ca="1" si="27"/>
        <v/>
      </c>
      <c r="C464" s="7" t="str">
        <f>'PL1'!H471</f>
        <v/>
      </c>
      <c r="D464" s="161"/>
      <c r="E464" s="162"/>
      <c r="F464" s="103" t="str">
        <f t="shared" ca="1" si="28"/>
        <v/>
      </c>
      <c r="G464" s="7" t="str">
        <f>'PL2'!H471</f>
        <v/>
      </c>
      <c r="H464" s="161"/>
      <c r="I464" s="219"/>
    </row>
    <row r="465" spans="1:9" x14ac:dyDescent="0.25">
      <c r="A465" s="7">
        <v>463</v>
      </c>
      <c r="B465" s="103" t="str">
        <f t="shared" ca="1" si="27"/>
        <v/>
      </c>
      <c r="C465" s="7" t="str">
        <f>'PL1'!H472</f>
        <v/>
      </c>
      <c r="D465" s="161"/>
      <c r="E465" s="162"/>
      <c r="F465" s="103" t="str">
        <f t="shared" ca="1" si="28"/>
        <v/>
      </c>
      <c r="G465" s="7" t="str">
        <f>'PL2'!H472</f>
        <v/>
      </c>
      <c r="H465" s="161"/>
      <c r="I465" s="219"/>
    </row>
    <row r="466" spans="1:9" x14ac:dyDescent="0.25">
      <c r="A466" s="7">
        <v>464</v>
      </c>
      <c r="B466" s="103" t="str">
        <f t="shared" ca="1" si="27"/>
        <v/>
      </c>
      <c r="C466" s="7" t="str">
        <f>'PL1'!H473</f>
        <v/>
      </c>
      <c r="D466" s="161"/>
      <c r="E466" s="162"/>
      <c r="F466" s="103" t="str">
        <f t="shared" ca="1" si="28"/>
        <v/>
      </c>
      <c r="G466" s="7" t="str">
        <f>'PL2'!H473</f>
        <v/>
      </c>
      <c r="H466" s="161"/>
      <c r="I466" s="219"/>
    </row>
    <row r="467" spans="1:9" x14ac:dyDescent="0.25">
      <c r="A467" s="7">
        <v>465</v>
      </c>
      <c r="B467" s="103" t="str">
        <f t="shared" ca="1" si="27"/>
        <v/>
      </c>
      <c r="C467" s="7" t="str">
        <f>'PL1'!H474</f>
        <v/>
      </c>
      <c r="D467" s="161"/>
      <c r="E467" s="162"/>
      <c r="F467" s="103" t="str">
        <f t="shared" ca="1" si="28"/>
        <v/>
      </c>
      <c r="G467" s="7" t="str">
        <f>'PL2'!H474</f>
        <v/>
      </c>
      <c r="H467" s="161"/>
      <c r="I467" s="219"/>
    </row>
    <row r="468" spans="1:9" x14ac:dyDescent="0.25">
      <c r="A468" s="7">
        <v>466</v>
      </c>
      <c r="B468" s="103" t="str">
        <f t="shared" ca="1" si="27"/>
        <v/>
      </c>
      <c r="C468" s="7" t="str">
        <f>'PL1'!H475</f>
        <v/>
      </c>
      <c r="D468" s="161"/>
      <c r="E468" s="162"/>
      <c r="F468" s="103" t="str">
        <f t="shared" ca="1" si="28"/>
        <v/>
      </c>
      <c r="G468" s="7" t="str">
        <f>'PL2'!H475</f>
        <v/>
      </c>
      <c r="H468" s="161"/>
      <c r="I468" s="219"/>
    </row>
    <row r="469" spans="1:9" x14ac:dyDescent="0.25">
      <c r="A469" s="7">
        <v>467</v>
      </c>
      <c r="B469" s="103" t="str">
        <f t="shared" ca="1" si="27"/>
        <v/>
      </c>
      <c r="C469" s="7" t="str">
        <f>'PL1'!H476</f>
        <v/>
      </c>
      <c r="D469" s="161"/>
      <c r="E469" s="162"/>
      <c r="F469" s="103" t="str">
        <f t="shared" ca="1" si="28"/>
        <v/>
      </c>
      <c r="G469" s="7" t="str">
        <f>'PL2'!H476</f>
        <v/>
      </c>
      <c r="H469" s="161"/>
      <c r="I469" s="219"/>
    </row>
    <row r="470" spans="1:9" x14ac:dyDescent="0.25">
      <c r="A470" s="7">
        <v>468</v>
      </c>
      <c r="B470" s="103" t="str">
        <f t="shared" ca="1" si="27"/>
        <v/>
      </c>
      <c r="C470" s="7" t="str">
        <f>'PL1'!H477</f>
        <v/>
      </c>
      <c r="D470" s="161"/>
      <c r="E470" s="162"/>
      <c r="F470" s="103" t="str">
        <f t="shared" ca="1" si="28"/>
        <v/>
      </c>
      <c r="G470" s="7" t="str">
        <f>'PL2'!H477</f>
        <v/>
      </c>
      <c r="H470" s="161"/>
      <c r="I470" s="219"/>
    </row>
    <row r="471" spans="1:9" x14ac:dyDescent="0.25">
      <c r="A471" s="7">
        <v>469</v>
      </c>
      <c r="B471" s="103" t="str">
        <f t="shared" ca="1" si="27"/>
        <v/>
      </c>
      <c r="C471" s="7" t="str">
        <f>'PL1'!H478</f>
        <v/>
      </c>
      <c r="D471" s="161"/>
      <c r="E471" s="162"/>
      <c r="F471" s="103" t="str">
        <f t="shared" ca="1" si="28"/>
        <v/>
      </c>
      <c r="G471" s="7" t="str">
        <f>'PL2'!H478</f>
        <v/>
      </c>
      <c r="H471" s="161"/>
      <c r="I471" s="219"/>
    </row>
    <row r="472" spans="1:9" x14ac:dyDescent="0.25">
      <c r="A472" s="7">
        <v>470</v>
      </c>
      <c r="B472" s="103" t="str">
        <f t="shared" ca="1" si="27"/>
        <v/>
      </c>
      <c r="C472" s="7" t="str">
        <f>'PL1'!H479</f>
        <v/>
      </c>
      <c r="D472" s="161"/>
      <c r="E472" s="162"/>
      <c r="F472" s="103" t="str">
        <f t="shared" ca="1" si="28"/>
        <v/>
      </c>
      <c r="G472" s="7" t="str">
        <f>'PL2'!H479</f>
        <v/>
      </c>
      <c r="H472" s="161"/>
      <c r="I472" s="219"/>
    </row>
    <row r="473" spans="1:9" x14ac:dyDescent="0.25">
      <c r="A473" s="7">
        <v>471</v>
      </c>
      <c r="B473" s="103" t="str">
        <f t="shared" ca="1" si="27"/>
        <v/>
      </c>
      <c r="C473" s="7" t="str">
        <f>'PL1'!H480</f>
        <v/>
      </c>
      <c r="D473" s="161"/>
      <c r="E473" s="162"/>
      <c r="F473" s="103" t="str">
        <f t="shared" ca="1" si="28"/>
        <v/>
      </c>
      <c r="G473" s="7" t="str">
        <f>'PL2'!H480</f>
        <v/>
      </c>
      <c r="H473" s="161"/>
      <c r="I473" s="219"/>
    </row>
    <row r="474" spans="1:9" x14ac:dyDescent="0.25">
      <c r="A474" s="7">
        <v>472</v>
      </c>
      <c r="B474" s="103" t="str">
        <f t="shared" ca="1" si="27"/>
        <v/>
      </c>
      <c r="C474" s="7" t="str">
        <f>'PL1'!H481</f>
        <v/>
      </c>
      <c r="D474" s="161"/>
      <c r="E474" s="162"/>
      <c r="F474" s="103" t="str">
        <f t="shared" ca="1" si="28"/>
        <v/>
      </c>
      <c r="G474" s="7" t="str">
        <f>'PL2'!H481</f>
        <v/>
      </c>
      <c r="H474" s="161"/>
      <c r="I474" s="219"/>
    </row>
    <row r="475" spans="1:9" x14ac:dyDescent="0.25">
      <c r="A475" s="7">
        <v>473</v>
      </c>
      <c r="B475" s="103" t="str">
        <f t="shared" ca="1" si="27"/>
        <v/>
      </c>
      <c r="C475" s="7" t="str">
        <f>'PL1'!H482</f>
        <v/>
      </c>
      <c r="D475" s="161"/>
      <c r="E475" s="162"/>
      <c r="F475" s="103" t="str">
        <f t="shared" ca="1" si="28"/>
        <v/>
      </c>
      <c r="G475" s="7" t="str">
        <f>'PL2'!H482</f>
        <v/>
      </c>
      <c r="H475" s="161"/>
      <c r="I475" s="219"/>
    </row>
    <row r="476" spans="1:9" x14ac:dyDescent="0.25">
      <c r="A476" s="7">
        <v>474</v>
      </c>
      <c r="B476" s="103" t="str">
        <f t="shared" ca="1" si="27"/>
        <v/>
      </c>
      <c r="C476" s="7" t="str">
        <f>'PL1'!H483</f>
        <v/>
      </c>
      <c r="D476" s="161"/>
      <c r="E476" s="162"/>
      <c r="F476" s="103" t="str">
        <f t="shared" ca="1" si="28"/>
        <v/>
      </c>
      <c r="G476" s="7" t="str">
        <f>'PL2'!H483</f>
        <v/>
      </c>
      <c r="H476" s="161"/>
      <c r="I476" s="219"/>
    </row>
    <row r="477" spans="1:9" x14ac:dyDescent="0.25">
      <c r="A477" s="7">
        <v>475</v>
      </c>
      <c r="B477" s="103" t="str">
        <f t="shared" ca="1" si="27"/>
        <v/>
      </c>
      <c r="C477" s="7" t="str">
        <f>'PL1'!H484</f>
        <v/>
      </c>
      <c r="D477" s="161"/>
      <c r="E477" s="162"/>
      <c r="F477" s="103" t="str">
        <f t="shared" ca="1" si="28"/>
        <v/>
      </c>
      <c r="G477" s="7" t="str">
        <f>'PL2'!H484</f>
        <v/>
      </c>
      <c r="H477" s="161"/>
      <c r="I477" s="219"/>
    </row>
    <row r="478" spans="1:9" x14ac:dyDescent="0.25">
      <c r="A478" s="7">
        <v>476</v>
      </c>
      <c r="B478" s="103" t="str">
        <f t="shared" ca="1" si="27"/>
        <v/>
      </c>
      <c r="C478" s="7" t="str">
        <f>'PL1'!H485</f>
        <v/>
      </c>
      <c r="D478" s="161"/>
      <c r="E478" s="162"/>
      <c r="F478" s="103" t="str">
        <f t="shared" ca="1" si="28"/>
        <v/>
      </c>
      <c r="G478" s="7" t="str">
        <f>'PL2'!H485</f>
        <v/>
      </c>
      <c r="H478" s="161"/>
      <c r="I478" s="219"/>
    </row>
    <row r="479" spans="1:9" x14ac:dyDescent="0.25">
      <c r="A479" s="7">
        <v>477</v>
      </c>
      <c r="B479" s="103" t="str">
        <f t="shared" ca="1" si="27"/>
        <v/>
      </c>
      <c r="C479" s="7" t="str">
        <f>'PL1'!H486</f>
        <v/>
      </c>
      <c r="D479" s="161"/>
      <c r="E479" s="162"/>
      <c r="F479" s="103" t="str">
        <f t="shared" ca="1" si="28"/>
        <v/>
      </c>
      <c r="G479" s="7" t="str">
        <f>'PL2'!H486</f>
        <v/>
      </c>
      <c r="H479" s="161"/>
      <c r="I479" s="219"/>
    </row>
    <row r="480" spans="1:9" x14ac:dyDescent="0.25">
      <c r="A480" s="7">
        <v>478</v>
      </c>
      <c r="B480" s="103" t="str">
        <f t="shared" ca="1" si="27"/>
        <v/>
      </c>
      <c r="C480" s="7" t="str">
        <f>'PL1'!H487</f>
        <v/>
      </c>
      <c r="D480" s="161"/>
      <c r="E480" s="162"/>
      <c r="F480" s="103" t="str">
        <f t="shared" ca="1" si="28"/>
        <v/>
      </c>
      <c r="G480" s="7" t="str">
        <f>'PL2'!H487</f>
        <v/>
      </c>
      <c r="H480" s="161"/>
      <c r="I480" s="219"/>
    </row>
    <row r="481" spans="1:9" x14ac:dyDescent="0.25">
      <c r="A481" s="7">
        <v>479</v>
      </c>
      <c r="B481" s="103" t="str">
        <f t="shared" ca="1" si="27"/>
        <v/>
      </c>
      <c r="C481" s="7" t="str">
        <f>'PL1'!H488</f>
        <v/>
      </c>
      <c r="D481" s="161"/>
      <c r="E481" s="162"/>
      <c r="F481" s="103" t="str">
        <f t="shared" ca="1" si="28"/>
        <v/>
      </c>
      <c r="G481" s="7" t="str">
        <f>'PL2'!H488</f>
        <v/>
      </c>
      <c r="H481" s="161"/>
      <c r="I481" s="219"/>
    </row>
    <row r="482" spans="1:9" x14ac:dyDescent="0.25">
      <c r="A482" s="7">
        <v>480</v>
      </c>
      <c r="B482" s="103" t="str">
        <f t="shared" ca="1" si="27"/>
        <v/>
      </c>
      <c r="C482" s="7" t="str">
        <f>'PL1'!H489</f>
        <v/>
      </c>
      <c r="D482" s="161"/>
      <c r="E482" s="162"/>
      <c r="F482" s="103" t="str">
        <f t="shared" ca="1" si="28"/>
        <v/>
      </c>
      <c r="G482" s="7" t="str">
        <f>'PL2'!H489</f>
        <v/>
      </c>
      <c r="H482" s="161"/>
      <c r="I482" s="219"/>
    </row>
    <row r="483" spans="1:9" s="5" customFormat="1" x14ac:dyDescent="0.25">
      <c r="B483" s="104"/>
      <c r="D483" s="102"/>
      <c r="E483" s="70"/>
      <c r="F483" s="104"/>
      <c r="H483" s="102"/>
      <c r="I483" s="91"/>
    </row>
  </sheetData>
  <sortState ref="AJ18:AJ59">
    <sortCondition ref="AJ18"/>
  </sortState>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I107"/>
  <sheetViews>
    <sheetView topLeftCell="K31" workbookViewId="0"/>
  </sheetViews>
  <sheetFormatPr defaultRowHeight="15" x14ac:dyDescent="0.25"/>
  <cols>
    <col min="4" max="4" width="22.28515625" bestFit="1" customWidth="1"/>
    <col min="5" max="5" width="18.140625" customWidth="1"/>
    <col min="6" max="6" width="12.140625" bestFit="1" customWidth="1"/>
    <col min="7" max="7" width="10" customWidth="1"/>
    <col min="8" max="8" width="20.140625" customWidth="1"/>
    <col min="9" max="9" width="8.5703125" customWidth="1"/>
    <col min="12" max="12" width="12.85546875" bestFit="1" customWidth="1"/>
    <col min="15" max="15" width="11.28515625" bestFit="1" customWidth="1"/>
    <col min="16" max="16" width="14" bestFit="1" customWidth="1"/>
    <col min="17" max="17" width="18.85546875" bestFit="1" customWidth="1"/>
    <col min="19" max="19" width="12.42578125" bestFit="1" customWidth="1"/>
    <col min="20" max="20" width="12.7109375" bestFit="1" customWidth="1"/>
    <col min="21" max="21" width="15.85546875" customWidth="1"/>
    <col min="22" max="22" width="11.140625" customWidth="1"/>
    <col min="23" max="23" width="15.42578125" bestFit="1" customWidth="1"/>
    <col min="24" max="24" width="14" bestFit="1" customWidth="1"/>
    <col min="25" max="25" width="16" bestFit="1" customWidth="1"/>
    <col min="26" max="26" width="14.5703125" bestFit="1" customWidth="1"/>
    <col min="27" max="27" width="12.140625" bestFit="1" customWidth="1"/>
    <col min="28" max="28" width="26.28515625" bestFit="1" customWidth="1"/>
    <col min="29" max="29" width="14.140625" bestFit="1" customWidth="1"/>
  </cols>
  <sheetData>
    <row r="1" spans="1:35" x14ac:dyDescent="0.25">
      <c r="A1" s="117" t="s">
        <v>1066</v>
      </c>
      <c r="C1">
        <v>3</v>
      </c>
      <c r="D1">
        <v>4</v>
      </c>
      <c r="E1">
        <v>5</v>
      </c>
      <c r="F1">
        <v>6</v>
      </c>
      <c r="G1">
        <v>7</v>
      </c>
      <c r="H1">
        <v>8</v>
      </c>
      <c r="I1">
        <v>9</v>
      </c>
      <c r="J1">
        <v>10</v>
      </c>
      <c r="L1" s="144" t="s">
        <v>1246</v>
      </c>
      <c r="M1" s="144" t="s">
        <v>1224</v>
      </c>
      <c r="N1" s="144"/>
      <c r="Q1">
        <v>17</v>
      </c>
      <c r="R1">
        <v>18</v>
      </c>
    </row>
    <row r="2" spans="1:35" x14ac:dyDescent="0.25">
      <c r="D2" s="124" t="str">
        <f>Setup!Z38</f>
        <v>Attack Started</v>
      </c>
      <c r="E2" s="124" t="str">
        <f>IF(Setup!AC38=0,"NotStarted",Setup!AC38)</f>
        <v>NotStarted</v>
      </c>
      <c r="H2" s="144" t="s">
        <v>1195</v>
      </c>
      <c r="I2" s="124">
        <f>IF(Setup!AC5="",IF(COUNTBLANK(S9:S50)=0,"MapSetComplete",Setup!AC55),Setup!AC55)</f>
        <v>0</v>
      </c>
      <c r="K2" s="124" t="e">
        <f>VLOOKUP(M2,Setup!Z19:AE20,6,0)&amp;RIGHT(L2,3)</f>
        <v>#N/A</v>
      </c>
      <c r="L2" s="124" t="str">
        <f>IF(ISNA(VLOOKUP(Q2,$Q$9:$S$50,3,0)),"NoCountrySelected",VLOOKUP(Q2,$Q$9:$S$50,3,0))</f>
        <v>NoCountrySelected</v>
      </c>
      <c r="M2" s="124" t="str">
        <f>LEFT(L2,3)</f>
        <v>NoC</v>
      </c>
      <c r="N2" s="124" t="str">
        <f>IF(ISNA(IF(M2=M3,"SameTeam","OpposingTeam")),"NoCountrySelected",IF(M2=M3,"SameTeam","OpposingTeam"))</f>
        <v>SameTeam</v>
      </c>
      <c r="P2" s="144" t="s">
        <v>1071</v>
      </c>
      <c r="Q2" s="162"/>
      <c r="R2" s="124" t="str">
        <f>IF(ISNA(VLOOKUP(Q2,Reference!$X$5:$Y$46,2,0)),"NoCountrySelected",VLOOKUP(Q2,Reference!$X$5:$Y$46,2,0))</f>
        <v>NoCountrySelected</v>
      </c>
      <c r="S2" s="124" t="str">
        <f>IF(ISNA(VLOOKUP(Q2,Map!DL6:DN47,3,0)),"Undecided",VLOOKUP(Q2,Map!DL6:DN47,3,0))</f>
        <v>Undecided</v>
      </c>
      <c r="T2" s="124" t="str">
        <f>IF(ISNA(IF(VLOOKUP(Q2,$Q$9:$Z$50,10,0)="Dead","Dead","Alive")),"Undecided",IF(VLOOKUP(Q2,$Q$9:$Z$50,10,0)="Dead","Dead","Alive"))</f>
        <v>Undecided</v>
      </c>
    </row>
    <row r="3" spans="1:35" x14ac:dyDescent="0.25">
      <c r="D3" s="144" t="s">
        <v>1342</v>
      </c>
      <c r="E3" s="124" t="str">
        <f>IF(N3="OutOfRange","ClearNextCountry",IF(N2="SameTeam","ClearNextCountry",IF(COUNTIF(T2:T3,"Dead")=1,"ClearNextCountry","Leave")))</f>
        <v>ClearNextCountry</v>
      </c>
      <c r="H3" s="144" t="s">
        <v>1187</v>
      </c>
      <c r="I3" s="124" t="str">
        <f>IF(I2="MapSetup",VLOOKUP(0,Setup!$P$8:$Q$49,2,0),"MapSetupComplete")</f>
        <v>MapSetupComplete</v>
      </c>
      <c r="L3" s="124" t="str">
        <f>IF(ISNA(VLOOKUP(Q3,$Q$9:$S$50,3,0)),"NoCountrySelected",VLOOKUP(Q3,$Q$9:$S$50,3,0))</f>
        <v>NoCountrySelected</v>
      </c>
      <c r="M3" s="124" t="str">
        <f>LEFT(L3,3)</f>
        <v>NoC</v>
      </c>
      <c r="N3" s="124" t="str">
        <f>IF(COUNTIF(Q55:Q60,Q3)=1,"InRange","OutOfRange")</f>
        <v>OutOfRange</v>
      </c>
      <c r="P3" s="144" t="s">
        <v>1067</v>
      </c>
      <c r="Q3" s="162"/>
      <c r="R3" s="124" t="str">
        <f>IF(ISNA(VLOOKUP(Q3,Reference!$X$5:$Y$46,2,0)),"NoCountrySelected",VLOOKUP(Q3,Reference!$X$5:$Y$46,2,0))</f>
        <v>NoCountrySelected</v>
      </c>
      <c r="T3" s="124" t="str">
        <f>IF(ISNA(IF(VLOOKUP(Q3,$Q$9:$Z$50,10,0)="Dead","Dead","Alive")),"Undecided",IF(VLOOKUP(Q3,$Q$9:$Z$50,10,0)="Dead","Dead","Alive"))</f>
        <v>Undecided</v>
      </c>
      <c r="AC3" s="144" t="s">
        <v>1505</v>
      </c>
      <c r="AD3" s="124">
        <f>COUNTIF(AD9:AD50,"PL1")</f>
        <v>0</v>
      </c>
    </row>
    <row r="4" spans="1:35" x14ac:dyDescent="0.25">
      <c r="A4" s="144" t="s">
        <v>1068</v>
      </c>
      <c r="D4" s="144" t="s">
        <v>1345</v>
      </c>
      <c r="E4" s="124" t="str">
        <f>IF(N2="OpposingTeam","ClearNextCountry",IF(N3="OutOfRange","ClearNextCountry",IF(N5="SameTeam",IF(N6="TurnTeam","Leave","ClearNextCountry"),"Leave")))</f>
        <v>ClearNextCountry</v>
      </c>
      <c r="H4" s="144" t="s">
        <v>1221</v>
      </c>
      <c r="I4" s="124" t="str">
        <f>Setup!AA56</f>
        <v>Setup</v>
      </c>
      <c r="N4" s="124" t="str">
        <f>IF(Q2=Q3,"DuplicateSelection","DifferentSelection")</f>
        <v>DuplicateSelection</v>
      </c>
      <c r="P4" s="144" t="s">
        <v>1353</v>
      </c>
      <c r="Q4" s="162"/>
      <c r="R4" s="124" t="str">
        <f>IF(Q4="Confirm","Confirmed","NotConfirmed")</f>
        <v>NotConfirmed</v>
      </c>
      <c r="AC4" s="144" t="s">
        <v>1506</v>
      </c>
      <c r="AD4" s="124">
        <f>COUNTIF(AD9:AD50,"PL2")</f>
        <v>0</v>
      </c>
    </row>
    <row r="5" spans="1:35" x14ac:dyDescent="0.25">
      <c r="A5" s="124" t="str">
        <f>Setup!AA55</f>
        <v>InitialSetup</v>
      </c>
      <c r="D5" s="144" t="s">
        <v>1227</v>
      </c>
      <c r="E5" s="124" t="str">
        <f>IF(I4="Attack",IF(N2="OpposingTeam",IF(N3="InRange",IF(I5="PreviousAttackOk",IF(COUNTIF(T2:T3,"Dead")=1,"Dead","AttackOk"),"AlreadyAttacked"),"OutOfRange"),"SameTeam"),"NotAttack")</f>
        <v>NotAttack</v>
      </c>
      <c r="H5" s="144" t="s">
        <v>1336</v>
      </c>
      <c r="I5" s="124" t="str">
        <f>IF(COUNTIF(Setup!AJ18:AJ59,MapReference!Q3)+COUNTIF(Setup!AJ18:AJ59,MapReference!Q2)=0,"PreviousAttackOk","AlreadyAttacked")</f>
        <v>PreviousAttackOk</v>
      </c>
      <c r="N5" s="124" t="str">
        <f>IF(M2=M3,"SameTeam","DifferentTeams")</f>
        <v>SameTeam</v>
      </c>
      <c r="P5" s="144" t="s">
        <v>1517</v>
      </c>
      <c r="Q5" s="100"/>
      <c r="AC5" s="144" t="s">
        <v>1507</v>
      </c>
      <c r="AD5" s="124" t="str">
        <f>IF(COUNTIF(AD3:AD4,0)=2,"Undecided",IF(AD3=0,"PL2",IF(AD4=0,"PL1","Undecided")))</f>
        <v>Undecided</v>
      </c>
    </row>
    <row r="6" spans="1:35" x14ac:dyDescent="0.25">
      <c r="D6" s="144" t="s">
        <v>1343</v>
      </c>
      <c r="E6" s="124" t="str">
        <f>IF(X54="EnoughMove",IF(N3="InRange",IF(N2="SameTeam",IF(N6="OtherTurnTeam","NoMove","MoveOk"),IF(COUNTIF(T2:T3,"Dead")=1,IF(COUNTIF(M2:M3,Setup!AC49)=0,"MoveOk","NoMove"),"NoMove")),"NoMove"),"NoMove")</f>
        <v>NoMove</v>
      </c>
      <c r="H6" s="144" t="s">
        <v>1415</v>
      </c>
      <c r="I6" s="124" t="str">
        <f>IF(Setup!AD36="",Setup!Y36,IF(K53="Yes",IF(Setup!AD36="DropCancelConfirm",Setup!AD36,"MandatoryDrop"),Setup!AD36))</f>
        <v>NotDrop</v>
      </c>
      <c r="N6" s="124" t="str">
        <f>IF(M2=Setup!AC48,"TurnTeam","OtherTurnTeam")</f>
        <v>OtherTurnTeam</v>
      </c>
      <c r="P6" s="144" t="s">
        <v>1330</v>
      </c>
      <c r="Q6" s="124" t="str">
        <f>IF(ISNA(IF(Setup!AD35=0,Setup!AE35,Setup!AD35)),"NotDefending",IF(Setup!AD35=0,Setup!AE35,Setup!AD35))</f>
        <v>NoDefense</v>
      </c>
    </row>
    <row r="7" spans="1:35" x14ac:dyDescent="0.25">
      <c r="A7" s="124" t="str">
        <f>IF(COUNTBLANK(Reference!X60:Y65)=12,"RandomSetupOk","RandomReroll")</f>
        <v>RandomSetupOk</v>
      </c>
      <c r="H7" s="144" t="s">
        <v>1502</v>
      </c>
      <c r="I7" s="124" t="str">
        <f>IF(I2="Attack",IF(E5="AttackOK","NoSkip",IF(Setup!AD38="SkipAttackConfirm",Setup!AD38,"SkipAttack")),"NotAttack")</f>
        <v>NotAttack</v>
      </c>
      <c r="AC7" s="2"/>
    </row>
    <row r="8" spans="1:35" s="144" customFormat="1" x14ac:dyDescent="0.25">
      <c r="D8" s="144" t="s">
        <v>1074</v>
      </c>
      <c r="E8" s="144" t="s">
        <v>1073</v>
      </c>
      <c r="G8" s="144" t="s">
        <v>1327</v>
      </c>
      <c r="J8" s="144" t="s">
        <v>1218</v>
      </c>
      <c r="K8" s="144" t="s">
        <v>865</v>
      </c>
      <c r="M8" s="144" t="s">
        <v>1219</v>
      </c>
      <c r="N8" s="144" t="s">
        <v>1344</v>
      </c>
      <c r="O8" s="144" t="s">
        <v>1220</v>
      </c>
      <c r="P8" s="139"/>
      <c r="Q8" s="139" t="s">
        <v>1072</v>
      </c>
      <c r="S8" s="144" t="s">
        <v>1069</v>
      </c>
      <c r="T8" s="144" t="s">
        <v>1070</v>
      </c>
      <c r="U8" s="144" t="s">
        <v>1347</v>
      </c>
      <c r="V8" s="144" t="s">
        <v>1348</v>
      </c>
      <c r="W8" s="144" t="s">
        <v>1349</v>
      </c>
      <c r="X8" s="144" t="s">
        <v>1354</v>
      </c>
      <c r="Y8" s="144" t="s">
        <v>870</v>
      </c>
      <c r="Z8" s="144" t="s">
        <v>1386</v>
      </c>
      <c r="AA8" s="144" t="s">
        <v>1369</v>
      </c>
      <c r="AB8" s="144" t="s">
        <v>1370</v>
      </c>
      <c r="AC8" s="144" t="s">
        <v>1398</v>
      </c>
      <c r="AD8" s="144" t="s">
        <v>1458</v>
      </c>
      <c r="AH8" s="144" t="s">
        <v>1072</v>
      </c>
    </row>
    <row r="9" spans="1:35" x14ac:dyDescent="0.25">
      <c r="D9" t="str">
        <f>IF(S9="","Unlocked","Locked")</f>
        <v>Unlocked</v>
      </c>
      <c r="E9" t="str">
        <f>IF(Setup!$AC$44="Battle","Locked",IF($I$4="Drop",IF($K$54="Yes","Locked",IF(AC9="Yes",IF($K$53="Yes",IF(O9="Gold","Unlocked","Locked"),"Unlocked"),"Locked")),IF($I$4="Move","Unlocked",IF($A$5="Attack",IF(Z9="Dead","Locked","Unlocked"),IF($A$5="Mapsetup",D9,"Locked")))))</f>
        <v>Locked</v>
      </c>
      <c r="G9" t="str">
        <f>IF(COUNTIF(Reference!$M$5:$M$46,MapReference!Q9)=1,"No","Yes")</f>
        <v>Yes</v>
      </c>
      <c r="J9" t="str">
        <f>IF(COUNTIF($U$55:$U$60,Q9)=1,IF($E$6="MoveOk",IF($Q$3=Q9,"Gold",IF(X9="Moved","White",N9)),IF($M$2=Setup!$AC$49,IF(X9="Moved","White",N9),IF($X$54="EnoughMove",IF(T9="Dead","Grey","Green"),IF(X9="Moved","White",IF(COUNTIF($U$55:$U$60,Q9)=1,"Green",N9))))),IF($Q$2=Q9,"Yellow",IF($Q$3=Q9,"Gold",IF(X9="Moved","White",IF(COUNTIF($R$55:$R$60,Q9)=1,IF($M$2=Setup!$AC$49,N9,"Green"),N9)))))</f>
        <v>Grey</v>
      </c>
      <c r="K9" t="str">
        <f>IF($Q$2=Q9,IF(U9="Dead","White","Yellow"),IF(Q9=$K$52,"Gold",IF(COUNTIF($Q$55:$Q$60,Q9)=1,IF(U9="Dead",IF(AC9="No","Black","Grey"),"Green"),IF(AC9="No","Black",N9))))</f>
        <v>Grey</v>
      </c>
      <c r="L9" t="str">
        <f>IF(COUNTIF(Setup!$AJ$18:$AJ$59,MapReference!Q9)=0,"","Grey")</f>
        <v/>
      </c>
      <c r="M9" t="str">
        <f>IF(Z9="Dead","Grey",IF(L9="Grey",IF(Q9=$Q$2,"White","Grey"),IF($Q$2=Q9,"Yellow",IF($Q$3=Q9,IF($S$2="Grey",N9,IF(COUNTIF(Setup!$AJ$18:$AJ$59,$Q$2)=1,N9,"Gold")),IF($O$54=1,IF(COUNTIF($S$55:$S$60,Q9)=1,IF(COUNTIF(Setup!$AJ$18:$AJ$59,$Q$2)=1,N9,"Green"),N9),IF($Q$2=$Q$3,IF(COUNTIF($S$55:$S$60,Q9)=1,IF(COUNTIF(Setup!$AJ$18:$AJ$59,$Q$2)=1,N9,"Green"),N9),N9))))))</f>
        <v>Grey</v>
      </c>
      <c r="N9" t="str">
        <f>IF(LEFT(S9,3)="PL1","Red",IF(LEFT(S9,3)="PL2","Blue",IF($I$2="Move",IF(COUNTIF($Q$55:$Q$60,Y9)=1,IF($M$2=Setup!$AC$48,"Green","Grey"),"Grey"),"Grey")))</f>
        <v>Grey</v>
      </c>
      <c r="O9" t="str">
        <f t="shared" ref="O9:O34" si="0">IF($I$4="Move",J9,IF($I$4="MapSetup",N9,IF($I$4="Attack",IF(G9="No","White",M9),IF($I$4="Setup",N9,IF($I$4="Drop",K9,"FIXModetype")))))</f>
        <v>Grey</v>
      </c>
      <c r="P9" s="7"/>
      <c r="Q9" s="7" t="s">
        <v>824</v>
      </c>
      <c r="S9" s="162"/>
      <c r="T9">
        <f>IF($I$2="MapSetup",IF(S9="",IF($Q$2=Q9,$I$3,""),S9),S9)</f>
        <v>0</v>
      </c>
      <c r="U9">
        <f>IF($I$2="MapSetup",IF(COUNTIF(Setup!$R$8:$R$49,MapReference!S9)=1,"",S9),S9)</f>
        <v>0</v>
      </c>
      <c r="V9" s="162"/>
      <c r="W9">
        <f>IF(Q9=$Q$2,IF($L$3="NoCountrySelected",S9,$L$3),IF(Q9=$Q$3,$L$2,S9))</f>
        <v>0</v>
      </c>
      <c r="X9" t="str">
        <f>IF(S9=V9,"NotMoved","Moved")</f>
        <v>NotMoved</v>
      </c>
      <c r="Y9" s="7" t="str">
        <f>IF(S9="Dead",Q9,IF(S9="",Q9,VLOOKUP(S9,Reference!$E$3:$F$44,2,0)))</f>
        <v>Congo</v>
      </c>
      <c r="Z9">
        <f>IF(COUNTIF(GameLog!R:R,S9&amp;"Death")=0,S9,"Dead")</f>
        <v>0</v>
      </c>
      <c r="AA9" s="161"/>
      <c r="AB9" s="162"/>
      <c r="AC9" t="str">
        <f>IF(COUNTIF(Drop!$M$1:$M$300,MapReference!Q9)=0,"Yes","No")</f>
        <v>Yes</v>
      </c>
      <c r="AD9" t="str">
        <f>IF(S9="Dead","",LEFT(S9,3))</f>
        <v/>
      </c>
      <c r="AH9" s="2" t="s">
        <v>824</v>
      </c>
      <c r="AI9" s="2"/>
    </row>
    <row r="10" spans="1:35" x14ac:dyDescent="0.25">
      <c r="D10" t="str">
        <f>IF(S10="","Unlocked","Locked")</f>
        <v>Unlocked</v>
      </c>
      <c r="E10" t="str">
        <f>IF(Setup!$AC$44="Battle","Locked",IF($I$4="Drop",IF($K$54="Yes","Locked",IF(AC10="Yes",IF($K$53="Yes",IF(O10="Gold","Unlocked","Locked"),"Unlocked"),"Locked")),IF($I$4="Move","Unlocked",IF($A$5="Attack",IF(Z10="Dead","Locked","Unlocked"),IF($A$5="Mapsetup",D10,"Locked")))))</f>
        <v>Locked</v>
      </c>
      <c r="G10" t="str">
        <f>IF(COUNTIF(Reference!$M$5:$M$46,MapReference!Q10)=1,"No","Yes")</f>
        <v>Yes</v>
      </c>
      <c r="J10" t="str">
        <f>IF(COUNTIF($U$55:$U$60,Q10)=1,IF($E$6="MoveOk",IF($Q$3=Q10,"Gold",IF(X10="Moved","White",N10)),IF($M$2=Setup!$AC$49,IF(X10="Moved","White",N10),IF($X$54="EnoughMove",IF(T10="Dead","Grey","Green"),IF(X10="Moved","White",IF(COUNTIF($U$55:$U$60,Q10)=1,"Green",N10))))),IF($Q$2=Q10,"Yellow",IF($Q$3=Q10,"Gold",IF(X10="Moved","White",IF(COUNTIF($R$55:$R$60,Q10)=1,IF($M$2=Setup!$AC$49,N10,"Green"),N10)))))</f>
        <v>Grey</v>
      </c>
      <c r="K10" t="str">
        <f t="shared" ref="K10:K50" si="1">IF($Q$2=Q10,IF(U10="Dead","White","Yellow"),IF(Q10=$K$52,"Gold",IF(COUNTIF($Q$55:$Q$60,Q10)=1,IF(U10="Dead",IF(AC10="No","Black","Grey"),"Green"),IF(AC10="No","Black",N10))))</f>
        <v>Grey</v>
      </c>
      <c r="L10" t="str">
        <f>IF(COUNTIF(Setup!$AJ$18:$AJ$59,MapReference!Q10)=0,"","Grey")</f>
        <v/>
      </c>
      <c r="M10" t="str">
        <f>IF(Z10="Dead","Grey",IF(L10="Grey",IF(Q10=$Q$2,"White","Grey"),IF($Q$2=Q10,"Yellow",IF($Q$3=Q10,IF($S$2="Grey",N10,IF(COUNTIF(Setup!$AJ$18:$AJ$59,$Q$2)=1,N10,"Gold")),IF($O$54=1,IF(COUNTIF($S$55:$S$60,Q10)=1,IF(COUNTIF(Setup!$AJ$18:$AJ$59,$Q$2)=1,N10,"Green"),N10),IF($Q$2=$Q$3,IF(COUNTIF($S$55:$S$60,Q10)=1,IF(COUNTIF(Setup!$AJ$18:$AJ$59,$Q$2)=1,N10,"Green"),N10),N10))))))</f>
        <v>Grey</v>
      </c>
      <c r="N10" t="str">
        <f>IF(LEFT(S10,3)="PL1","Red",IF(LEFT(S10,3)="PL2","Blue",IF($I$2="Move",IF(COUNTIF($Q$55:$Q$60,Y10)=1,IF($M$2=Setup!$AC$48,"Green","Grey"),"Grey"),"Grey")))</f>
        <v>Grey</v>
      </c>
      <c r="O10" t="str">
        <f t="shared" si="0"/>
        <v>Grey</v>
      </c>
      <c r="P10" s="7"/>
      <c r="Q10" s="7" t="s">
        <v>823</v>
      </c>
      <c r="S10" s="162"/>
      <c r="T10">
        <f t="shared" ref="T10:T50" si="2">IF($I$2="MapSetup",IF(S10="",IF($Q$2=Q10,$I$3,""),S10),S10)</f>
        <v>0</v>
      </c>
      <c r="U10">
        <f>IF($I$2="MapSetup",IF(COUNTIF(Setup!$R$8:$R$49,MapReference!S10)=1,"",S10),S10)</f>
        <v>0</v>
      </c>
      <c r="V10" s="162"/>
      <c r="W10">
        <f t="shared" ref="W10:W50" si="3">IF(Q10=$Q$2,IF($L$3="NoCountrySelected",S10,$L$3),IF(Q10=$Q$3,$L$2,S10))</f>
        <v>0</v>
      </c>
      <c r="X10" t="str">
        <f t="shared" ref="X10:X50" si="4">IF(S10=V10,"NotMoved","Moved")</f>
        <v>NotMoved</v>
      </c>
      <c r="Y10" s="7" t="str">
        <f>IF(S10="Dead",Q10,IF(S10="",Q10,VLOOKUP(S10,Reference!$E$3:$F$44,2,0)))</f>
        <v>East Africa</v>
      </c>
      <c r="Z10">
        <f>IF(COUNTIF(GameLog!R:R,S10&amp;"Death")=0,S10,"Dead")</f>
        <v>0</v>
      </c>
      <c r="AA10" s="161"/>
      <c r="AB10" s="162"/>
      <c r="AC10" t="str">
        <f>IF(COUNTIF(Drop!$M$1:$M$300,MapReference!Q10)=0,"Yes","No")</f>
        <v>Yes</v>
      </c>
      <c r="AD10" t="str">
        <f t="shared" ref="AD10:AD50" si="5">IF(S10="Dead","",LEFT(S10,3))</f>
        <v/>
      </c>
      <c r="AH10" s="2" t="s">
        <v>823</v>
      </c>
      <c r="AI10" s="2"/>
    </row>
    <row r="11" spans="1:35" x14ac:dyDescent="0.25">
      <c r="D11" t="str">
        <f t="shared" ref="D11:D50" si="6">IF(S11="","Unlocked","Locked")</f>
        <v>Unlocked</v>
      </c>
      <c r="E11" t="str">
        <f>IF(Setup!$AC$44="Battle","Locked",IF($I$4="Drop",IF($K$54="Yes","Locked",IF(AC11="Yes",IF($K$53="Yes",IF(O11="Gold","Unlocked","Locked"),"Unlocked"),"Locked")),IF($I$4="Move","Unlocked",IF($A$5="Attack",IF(Z11="Dead","Locked","Unlocked"),IF($A$5="Mapsetup",D11,"Locked")))))</f>
        <v>Locked</v>
      </c>
      <c r="G11" t="str">
        <f>IF(COUNTIF(Reference!$M$5:$M$46,MapReference!Q11)=1,"No","Yes")</f>
        <v>Yes</v>
      </c>
      <c r="J11" t="str">
        <f>IF(COUNTIF($U$55:$U$60,Q11)=1,IF($E$6="MoveOk",IF($Q$3=Q11,"Gold",IF(X11="Moved","White",N11)),IF($M$2=Setup!$AC$49,IF(X11="Moved","White",N11),IF($X$54="EnoughMove",IF(T11="Dead","Grey","Green"),IF(X11="Moved","White",IF(COUNTIF($U$55:$U$60,Q11)=1,"Green",N11))))),IF($Q$2=Q11,"Yellow",IF($Q$3=Q11,"Gold",IF(X11="Moved","White",IF(COUNTIF($R$55:$R$60,Q11)=1,IF($M$2=Setup!$AC$49,N11,"Green"),N11)))))</f>
        <v>Grey</v>
      </c>
      <c r="K11" t="str">
        <f t="shared" si="1"/>
        <v>Grey</v>
      </c>
      <c r="L11" t="str">
        <f>IF(COUNTIF(Setup!$AJ$18:$AJ$59,MapReference!Q11)=0,"","Grey")</f>
        <v/>
      </c>
      <c r="M11" t="str">
        <f>IF(Z11="Dead","Grey",IF(L11="Grey",IF(Q11=$Q$2,"White","Grey"),IF($Q$2=Q11,"Yellow",IF($Q$3=Q11,IF($S$2="Grey",N11,IF(COUNTIF(Setup!$AJ$18:$AJ$59,$Q$2)=1,N11,"Gold")),IF($O$54=1,IF(COUNTIF($S$55:$S$60,Q11)=1,IF(COUNTIF(Setup!$AJ$18:$AJ$59,$Q$2)=1,N11,"Green"),N11),IF($Q$2=$Q$3,IF(COUNTIF($S$55:$S$60,Q11)=1,IF(COUNTIF(Setup!$AJ$18:$AJ$59,$Q$2)=1,N11,"Green"),N11),N11))))))</f>
        <v>Grey</v>
      </c>
      <c r="N11" t="str">
        <f>IF(LEFT(S11,3)="PL1","Red",IF(LEFT(S11,3)="PL2","Blue",IF($I$2="Move",IF(COUNTIF($Q$55:$Q$60,Y11)=1,IF($M$2=Setup!$AC$48,"Green","Grey"),"Grey"),"Grey")))</f>
        <v>Grey</v>
      </c>
      <c r="O11" t="str">
        <f t="shared" si="0"/>
        <v>Grey</v>
      </c>
      <c r="P11" s="7"/>
      <c r="Q11" s="7" t="s">
        <v>822</v>
      </c>
      <c r="S11" s="162"/>
      <c r="T11">
        <f t="shared" si="2"/>
        <v>0</v>
      </c>
      <c r="U11">
        <f>IF($I$2="MapSetup",IF(COUNTIF(Setup!$R$8:$R$49,MapReference!S11)=1,"",S11),S11)</f>
        <v>0</v>
      </c>
      <c r="V11" s="162"/>
      <c r="W11">
        <f>IF(Q11=$Q$2,IF($L$3="NoCountrySelected",S11,$L$3),IF(Q11=$Q$3,$L$2,S11))</f>
        <v>0</v>
      </c>
      <c r="X11" t="str">
        <f t="shared" si="4"/>
        <v>NotMoved</v>
      </c>
      <c r="Y11" s="7" t="str">
        <f>IF(S11="Dead",Q11,IF(S11="",Q11,VLOOKUP(S11,Reference!$E$3:$F$44,2,0)))</f>
        <v>Egypt</v>
      </c>
      <c r="Z11">
        <f>IF(COUNTIF(GameLog!R:R,S11&amp;"Death")=0,S11,"Dead")</f>
        <v>0</v>
      </c>
      <c r="AA11" s="161"/>
      <c r="AB11" s="162"/>
      <c r="AC11" t="str">
        <f>IF(COUNTIF(Drop!$M$1:$M$300,MapReference!Q11)=0,"Yes","No")</f>
        <v>Yes</v>
      </c>
      <c r="AD11" t="str">
        <f t="shared" si="5"/>
        <v/>
      </c>
      <c r="AH11" s="2" t="s">
        <v>822</v>
      </c>
      <c r="AI11" s="2"/>
    </row>
    <row r="12" spans="1:35" x14ac:dyDescent="0.25">
      <c r="D12" t="str">
        <f t="shared" si="6"/>
        <v>Unlocked</v>
      </c>
      <c r="E12" t="str">
        <f>IF(Setup!$AC$44="Battle","Locked",IF($I$4="Drop",IF($K$54="Yes","Locked",IF(AC12="Yes",IF($K$53="Yes",IF(O12="Gold","Unlocked","Locked"),"Unlocked"),"Locked")),IF($I$4="Move","Unlocked",IF($A$5="Attack",IF(Z12="Dead","Locked","Unlocked"),IF($A$5="Mapsetup",D12,"Locked")))))</f>
        <v>Locked</v>
      </c>
      <c r="G12" t="str">
        <f>IF(COUNTIF(Reference!$M$5:$M$46,MapReference!Q12)=1,"No","Yes")</f>
        <v>Yes</v>
      </c>
      <c r="J12" t="str">
        <f>IF(COUNTIF($U$55:$U$60,Q12)=1,IF($E$6="MoveOk",IF($Q$3=Q12,"Gold",IF(X12="Moved","White",N12)),IF($M$2=Setup!$AC$49,IF(X12="Moved","White",N12),IF($X$54="EnoughMove",IF(T12="Dead","Grey","Green"),IF(X12="Moved","White",IF(COUNTIF($U$55:$U$60,Q12)=1,"Green",N12))))),IF($Q$2=Q12,"Yellow",IF($Q$3=Q12,"Gold",IF(X12="Moved","White",IF(COUNTIF($R$55:$R$60,Q12)=1,IF($M$2=Setup!$AC$49,N12,"Green"),N12)))))</f>
        <v>Grey</v>
      </c>
      <c r="K12" t="str">
        <f t="shared" si="1"/>
        <v>Grey</v>
      </c>
      <c r="L12" t="str">
        <f>IF(COUNTIF(Setup!$AJ$18:$AJ$59,MapReference!Q12)=0,"","Grey")</f>
        <v/>
      </c>
      <c r="M12" t="str">
        <f>IF(Z12="Dead","Grey",IF(L12="Grey",IF(Q12=$Q$2,"White","Grey"),IF($Q$2=Q12,"Yellow",IF($Q$3=Q12,IF($S$2="Grey",N12,IF(COUNTIF(Setup!$AJ$18:$AJ$59,$Q$2)=1,N12,"Gold")),IF($O$54=1,IF(COUNTIF($S$55:$S$60,Q12)=1,IF(COUNTIF(Setup!$AJ$18:$AJ$59,$Q$2)=1,N12,"Green"),N12),IF($Q$2=$Q$3,IF(COUNTIF($S$55:$S$60,Q12)=1,IF(COUNTIF(Setup!$AJ$18:$AJ$59,$Q$2)=1,N12,"Green"),N12),N12))))))</f>
        <v>Grey</v>
      </c>
      <c r="N12" t="str">
        <f>IF(LEFT(S12,3)="PL1","Red",IF(LEFT(S12,3)="PL2","Blue",IF($I$2="Move",IF(COUNTIF($Q$55:$Q$60,Y12)=1,IF($M$2=Setup!$AC$48,"Green","Grey"),"Grey"),"Grey")))</f>
        <v>Grey</v>
      </c>
      <c r="O12" t="str">
        <f t="shared" si="0"/>
        <v>Grey</v>
      </c>
      <c r="P12" s="7"/>
      <c r="Q12" s="7" t="s">
        <v>826</v>
      </c>
      <c r="S12" s="162"/>
      <c r="T12">
        <f t="shared" si="2"/>
        <v>0</v>
      </c>
      <c r="U12">
        <f>IF($I$2="MapSetup",IF(COUNTIF(Setup!$R$8:$R$49,MapReference!S12)=1,"",S12),S12)</f>
        <v>0</v>
      </c>
      <c r="V12" s="162"/>
      <c r="W12">
        <f t="shared" si="3"/>
        <v>0</v>
      </c>
      <c r="X12" t="str">
        <f t="shared" si="4"/>
        <v>NotMoved</v>
      </c>
      <c r="Y12" s="7" t="str">
        <f>IF(S12="Dead",Q12,IF(S12="",Q12,VLOOKUP(S12,Reference!$E$3:$F$44,2,0)))</f>
        <v>Madagascar</v>
      </c>
      <c r="Z12">
        <f>IF(COUNTIF(GameLog!R:R,S12&amp;"Death")=0,S12,"Dead")</f>
        <v>0</v>
      </c>
      <c r="AA12" s="161"/>
      <c r="AB12" s="162"/>
      <c r="AC12" t="str">
        <f>IF(COUNTIF(Drop!$M$1:$M$300,MapReference!Q12)=0,"Yes","No")</f>
        <v>Yes</v>
      </c>
      <c r="AD12" t="str">
        <f t="shared" si="5"/>
        <v/>
      </c>
      <c r="AH12" s="2" t="s">
        <v>826</v>
      </c>
      <c r="AI12" s="2"/>
    </row>
    <row r="13" spans="1:35" x14ac:dyDescent="0.25">
      <c r="D13" t="str">
        <f t="shared" si="6"/>
        <v>Unlocked</v>
      </c>
      <c r="E13" t="str">
        <f>IF(Setup!$AC$44="Battle","Locked",IF($I$4="Drop",IF($K$54="Yes","Locked",IF(AC13="Yes",IF($K$53="Yes",IF(O13="Gold","Unlocked","Locked"),"Unlocked"),"Locked")),IF($I$4="Move","Unlocked",IF($A$5="Attack",IF(Z13="Dead","Locked","Unlocked"),IF($A$5="Mapsetup",D13,"Locked")))))</f>
        <v>Locked</v>
      </c>
      <c r="G13" t="str">
        <f>IF(COUNTIF(Reference!$M$5:$M$46,MapReference!Q13)=1,"No","Yes")</f>
        <v>Yes</v>
      </c>
      <c r="J13" t="str">
        <f>IF(COUNTIF($U$55:$U$60,Q13)=1,IF($E$6="MoveOk",IF($Q$3=Q13,"Gold",IF(X13="Moved","White",N13)),IF($M$2=Setup!$AC$49,IF(X13="Moved","White",N13),IF($X$54="EnoughMove",IF(T13="Dead","Grey","Green"),IF(X13="Moved","White",IF(COUNTIF($U$55:$U$60,Q13)=1,"Green",N13))))),IF($Q$2=Q13,"Yellow",IF($Q$3=Q13,"Gold",IF(X13="Moved","White",IF(COUNTIF($R$55:$R$60,Q13)=1,IF($M$2=Setup!$AC$49,N13,"Green"),N13)))))</f>
        <v>Grey</v>
      </c>
      <c r="K13" t="str">
        <f t="shared" si="1"/>
        <v>Grey</v>
      </c>
      <c r="L13" t="str">
        <f>IF(COUNTIF(Setup!$AJ$18:$AJ$59,MapReference!Q13)=0,"","Grey")</f>
        <v/>
      </c>
      <c r="M13" t="str">
        <f>IF(Z13="Dead","Grey",IF(L13="Grey",IF(Q13=$Q$2,"White","Grey"),IF($Q$2=Q13,"Yellow",IF($Q$3=Q13,IF($S$2="Grey",N13,IF(COUNTIF(Setup!$AJ$18:$AJ$59,$Q$2)=1,N13,"Gold")),IF($O$54=1,IF(COUNTIF($S$55:$S$60,Q13)=1,IF(COUNTIF(Setup!$AJ$18:$AJ$59,$Q$2)=1,N13,"Green"),N13),IF($Q$2=$Q$3,IF(COUNTIF($S$55:$S$60,Q13)=1,IF(COUNTIF(Setup!$AJ$18:$AJ$59,$Q$2)=1,N13,"Green"),N13),N13))))))</f>
        <v>Grey</v>
      </c>
      <c r="N13" t="str">
        <f>IF(LEFT(S13,3)="PL1","Red",IF(LEFT(S13,3)="PL2","Blue",IF($I$2="Move",IF(COUNTIF($Q$55:$Q$60,Y13)=1,IF($M$2=Setup!$AC$48,"Green","Grey"),"Grey"),"Grey")))</f>
        <v>Grey</v>
      </c>
      <c r="O13" t="str">
        <f t="shared" si="0"/>
        <v>Grey</v>
      </c>
      <c r="P13" s="7"/>
      <c r="Q13" s="7" t="s">
        <v>821</v>
      </c>
      <c r="S13" s="162"/>
      <c r="T13">
        <f t="shared" si="2"/>
        <v>0</v>
      </c>
      <c r="U13">
        <f>IF($I$2="MapSetup",IF(COUNTIF(Setup!$R$8:$R$49,MapReference!S13)=1,"",S13),S13)</f>
        <v>0</v>
      </c>
      <c r="V13" s="162"/>
      <c r="W13">
        <f t="shared" si="3"/>
        <v>0</v>
      </c>
      <c r="X13" t="str">
        <f t="shared" si="4"/>
        <v>NotMoved</v>
      </c>
      <c r="Y13" s="7" t="str">
        <f>IF(S13="Dead",Q13,IF(S13="",Q13,VLOOKUP(S13,Reference!$E$3:$F$44,2,0)))</f>
        <v>North Africa</v>
      </c>
      <c r="Z13">
        <f>IF(COUNTIF(GameLog!R:R,S13&amp;"Death")=0,S13,"Dead")</f>
        <v>0</v>
      </c>
      <c r="AA13" s="161"/>
      <c r="AB13" s="162"/>
      <c r="AC13" t="str">
        <f>IF(COUNTIF(Drop!$M$1:$M$300,MapReference!Q13)=0,"Yes","No")</f>
        <v>Yes</v>
      </c>
      <c r="AD13" t="str">
        <f t="shared" si="5"/>
        <v/>
      </c>
      <c r="AH13" s="2" t="s">
        <v>821</v>
      </c>
      <c r="AI13" s="2"/>
    </row>
    <row r="14" spans="1:35" x14ac:dyDescent="0.25">
      <c r="D14" t="str">
        <f t="shared" si="6"/>
        <v>Unlocked</v>
      </c>
      <c r="E14" t="str">
        <f>IF(Setup!$AC$44="Battle","Locked",IF($I$4="Drop",IF($K$54="Yes","Locked",IF(AC14="Yes",IF($K$53="Yes",IF(O14="Gold","Unlocked","Locked"),"Unlocked"),"Locked")),IF($I$4="Move","Unlocked",IF($A$5="Attack",IF(Z14="Dead","Locked","Unlocked"),IF($A$5="Mapsetup",D14,"Locked")))))</f>
        <v>Locked</v>
      </c>
      <c r="G14" t="str">
        <f>IF(COUNTIF(Reference!$M$5:$M$46,MapReference!Q14)=1,"No","Yes")</f>
        <v>Yes</v>
      </c>
      <c r="J14" t="str">
        <f>IF(COUNTIF($U$55:$U$60,Q14)=1,IF($E$6="MoveOk",IF($Q$3=Q14,"Gold",IF(X14="Moved","White",N14)),IF($M$2=Setup!$AC$49,IF(X14="Moved","White",N14),IF($X$54="EnoughMove",IF(T14="Dead","Grey","Green"),IF(X14="Moved","White",IF(COUNTIF($U$55:$U$60,Q14)=1,"Green",N14))))),IF($Q$2=Q14,"Yellow",IF($Q$3=Q14,"Gold",IF(X14="Moved","White",IF(COUNTIF($R$55:$R$60,Q14)=1,IF($M$2=Setup!$AC$49,N14,"Green"),N14)))))</f>
        <v>Grey</v>
      </c>
      <c r="K14" t="str">
        <f t="shared" si="1"/>
        <v>Grey</v>
      </c>
      <c r="L14" t="str">
        <f>IF(COUNTIF(Setup!$AJ$18:$AJ$59,MapReference!Q14)=0,"","Grey")</f>
        <v/>
      </c>
      <c r="M14" t="str">
        <f>IF(Z14="Dead","Grey",IF(L14="Grey",IF(Q14=$Q$2,"White","Grey"),IF($Q$2=Q14,"Yellow",IF($Q$3=Q14,IF($S$2="Grey",N14,IF(COUNTIF(Setup!$AJ$18:$AJ$59,$Q$2)=1,N14,"Gold")),IF($O$54=1,IF(COUNTIF($S$55:$S$60,Q14)=1,IF(COUNTIF(Setup!$AJ$18:$AJ$59,$Q$2)=1,N14,"Green"),N14),IF($Q$2=$Q$3,IF(COUNTIF($S$55:$S$60,Q14)=1,IF(COUNTIF(Setup!$AJ$18:$AJ$59,$Q$2)=1,N14,"Green"),N14),N14))))))</f>
        <v>Grey</v>
      </c>
      <c r="N14" t="str">
        <f>IF(LEFT(S14,3)="PL1","Red",IF(LEFT(S14,3)="PL2","Blue",IF($I$2="Move",IF(COUNTIF($Q$55:$Q$60,Y14)=1,IF($M$2=Setup!$AC$48,"Green","Grey"),"Grey"),"Grey")))</f>
        <v>Grey</v>
      </c>
      <c r="O14" t="str">
        <f t="shared" si="0"/>
        <v>Grey</v>
      </c>
      <c r="P14" s="7"/>
      <c r="Q14" s="7" t="s">
        <v>825</v>
      </c>
      <c r="S14" s="162"/>
      <c r="T14">
        <f t="shared" si="2"/>
        <v>0</v>
      </c>
      <c r="U14">
        <f>IF($I$2="MapSetup",IF(COUNTIF(Setup!$R$8:$R$49,MapReference!S14)=1,"",S14),S14)</f>
        <v>0</v>
      </c>
      <c r="V14" s="162"/>
      <c r="W14">
        <f t="shared" si="3"/>
        <v>0</v>
      </c>
      <c r="X14" t="str">
        <f t="shared" si="4"/>
        <v>NotMoved</v>
      </c>
      <c r="Y14" s="7" t="str">
        <f>IF(S14="Dead",Q14,IF(S14="",Q14,VLOOKUP(S14,Reference!$E$3:$F$44,2,0)))</f>
        <v>South Africa</v>
      </c>
      <c r="Z14">
        <f>IF(COUNTIF(GameLog!R:R,S14&amp;"Death")=0,S14,"Dead")</f>
        <v>0</v>
      </c>
      <c r="AA14" s="161"/>
      <c r="AB14" s="162"/>
      <c r="AC14" t="str">
        <f>IF(COUNTIF(Drop!$M$1:$M$300,MapReference!Q14)=0,"Yes","No")</f>
        <v>Yes</v>
      </c>
      <c r="AD14" t="str">
        <f t="shared" si="5"/>
        <v/>
      </c>
      <c r="AH14" s="2" t="s">
        <v>825</v>
      </c>
      <c r="AI14" s="2"/>
    </row>
    <row r="15" spans="1:35" x14ac:dyDescent="0.25">
      <c r="D15" t="str">
        <f t="shared" si="6"/>
        <v>Unlocked</v>
      </c>
      <c r="E15" t="str">
        <f>IF(Setup!$AC$44="Battle","Locked",IF($I$4="Drop",IF($K$54="Yes","Locked",IF(AC15="Yes",IF($K$53="Yes",IF(O15="Gold","Unlocked","Locked"),"Unlocked"),"Locked")),IF($I$4="Move","Unlocked",IF($A$5="Attack",IF(Z15="Dead","Locked","Unlocked"),IF($A$5="Mapsetup",D15,"Locked")))))</f>
        <v>Locked</v>
      </c>
      <c r="G15" t="str">
        <f>IF(COUNTIF(Reference!$M$5:$M$46,MapReference!Q15)=1,"No","Yes")</f>
        <v>Yes</v>
      </c>
      <c r="J15" t="str">
        <f>IF(COUNTIF($U$55:$U$60,Q15)=1,IF($E$6="MoveOk",IF($Q$3=Q15,"Gold",IF(X15="Moved","White",N15)),IF($M$2=Setup!$AC$49,IF(X15="Moved","White",N15),IF($X$54="EnoughMove",IF(T15="Dead","Grey","Green"),IF(X15="Moved","White",IF(COUNTIF($U$55:$U$60,Q15)=1,"Green",N15))))),IF($Q$2=Q15,"Yellow",IF($Q$3=Q15,"Gold",IF(X15="Moved","White",IF(COUNTIF($R$55:$R$60,Q15)=1,IF($M$2=Setup!$AC$49,N15,"Green"),N15)))))</f>
        <v>Grey</v>
      </c>
      <c r="K15" t="str">
        <f t="shared" si="1"/>
        <v>Grey</v>
      </c>
      <c r="L15" t="str">
        <f>IF(COUNTIF(Setup!$AJ$18:$AJ$59,MapReference!Q15)=0,"","Grey")</f>
        <v/>
      </c>
      <c r="M15" t="str">
        <f>IF(Z15="Dead","Grey",IF(L15="Grey",IF(Q15=$Q$2,"White","Grey"),IF($Q$2=Q15,"Yellow",IF($Q$3=Q15,IF($S$2="Grey",N15,IF(COUNTIF(Setup!$AJ$18:$AJ$59,$Q$2)=1,N15,"Gold")),IF($O$54=1,IF(COUNTIF($S$55:$S$60,Q15)=1,IF(COUNTIF(Setup!$AJ$18:$AJ$59,$Q$2)=1,N15,"Green"),N15),IF($Q$2=$Q$3,IF(COUNTIF($S$55:$S$60,Q15)=1,IF(COUNTIF(Setup!$AJ$18:$AJ$59,$Q$2)=1,N15,"Green"),N15),N15))))))</f>
        <v>Grey</v>
      </c>
      <c r="N15" t="str">
        <f>IF(LEFT(S15,3)="PL1","Red",IF(LEFT(S15,3)="PL2","Blue",IF($I$2="Move",IF(COUNTIF($Q$55:$Q$60,Y15)=1,IF($M$2=Setup!$AC$48,"Green","Grey"),"Grey"),"Grey")))</f>
        <v>Grey</v>
      </c>
      <c r="O15" t="str">
        <f t="shared" si="0"/>
        <v>Grey</v>
      </c>
      <c r="P15" s="7"/>
      <c r="Q15" s="7" t="s">
        <v>832</v>
      </c>
      <c r="S15" s="162"/>
      <c r="T15">
        <f t="shared" si="2"/>
        <v>0</v>
      </c>
      <c r="U15">
        <f>IF($I$2="MapSetup",IF(COUNTIF(Setup!$R$8:$R$49,MapReference!S15)=1,"",S15),S15)</f>
        <v>0</v>
      </c>
      <c r="V15" s="162"/>
      <c r="W15">
        <f>IF(Q15=$Q$2,IF($L$3="NoCountrySelected",S15,$L$3),IF(Q15=$Q$3,$L$2,S15))</f>
        <v>0</v>
      </c>
      <c r="X15" t="str">
        <f t="shared" si="4"/>
        <v>NotMoved</v>
      </c>
      <c r="Y15" s="7" t="str">
        <f>IF(S15="Dead",Q15,IF(S15="",Q15,VLOOKUP(S15,Reference!$E$3:$F$44,2,0)))</f>
        <v>Afghanistan</v>
      </c>
      <c r="Z15">
        <f>IF(COUNTIF(GameLog!R:R,S15&amp;"Death")=0,S15,"Dead")</f>
        <v>0</v>
      </c>
      <c r="AA15" s="161"/>
      <c r="AB15" s="162"/>
      <c r="AC15" t="str">
        <f>IF(COUNTIF(Drop!$M$1:$M$300,MapReference!Q15)=0,"Yes","No")</f>
        <v>Yes</v>
      </c>
      <c r="AD15" t="str">
        <f t="shared" si="5"/>
        <v/>
      </c>
      <c r="AH15" s="2" t="s">
        <v>832</v>
      </c>
      <c r="AI15" s="2"/>
    </row>
    <row r="16" spans="1:35" x14ac:dyDescent="0.25">
      <c r="D16" t="str">
        <f t="shared" si="6"/>
        <v>Unlocked</v>
      </c>
      <c r="E16" t="str">
        <f>IF(Setup!$AC$44="Battle","Locked",IF($I$4="Drop",IF($K$54="Yes","Locked",IF(AC16="Yes",IF($K$53="Yes",IF(O16="Gold","Unlocked","Locked"),"Unlocked"),"Locked")),IF($I$4="Move","Unlocked",IF($A$5="Attack",IF(Z16="Dead","Locked","Unlocked"),IF($A$5="Mapsetup",D16,"Locked")))))</f>
        <v>Locked</v>
      </c>
      <c r="G16" t="str">
        <f>IF(COUNTIF(Reference!$M$5:$M$46,MapReference!Q16)=1,"No","Yes")</f>
        <v>Yes</v>
      </c>
      <c r="J16" t="str">
        <f>IF(COUNTIF($U$55:$U$60,Q16)=1,IF($E$6="MoveOk",IF($Q$3=Q16,"Gold",IF(X16="Moved","White",N16)),IF($M$2=Setup!$AC$49,IF(X16="Moved","White",N16),IF($X$54="EnoughMove",IF(T16="Dead","Grey","Green"),IF(X16="Moved","White",IF(COUNTIF($U$55:$U$60,Q16)=1,"Green",N16))))),IF($Q$2=Q16,"Yellow",IF($Q$3=Q16,"Gold",IF(X16="Moved","White",IF(COUNTIF($R$55:$R$60,Q16)=1,IF($M$2=Setup!$AC$49,N16,"Green"),N16)))))</f>
        <v>Grey</v>
      </c>
      <c r="K16" t="str">
        <f t="shared" si="1"/>
        <v>Grey</v>
      </c>
      <c r="L16" t="str">
        <f>IF(COUNTIF(Setup!$AJ$18:$AJ$59,MapReference!Q16)=0,"","Grey")</f>
        <v/>
      </c>
      <c r="M16" t="str">
        <f>IF(Z16="Dead","Grey",IF(L16="Grey",IF(Q16=$Q$2,"White","Grey"),IF($Q$2=Q16,"Yellow",IF($Q$3=Q16,IF($S$2="Grey",N16,IF(COUNTIF(Setup!$AJ$18:$AJ$59,$Q$2)=1,N16,"Gold")),IF($O$54=1,IF(COUNTIF($S$55:$S$60,Q16)=1,IF(COUNTIF(Setup!$AJ$18:$AJ$59,$Q$2)=1,N16,"Green"),N16),IF($Q$2=$Q$3,IF(COUNTIF($S$55:$S$60,Q16)=1,IF(COUNTIF(Setup!$AJ$18:$AJ$59,$Q$2)=1,N16,"Green"),N16),N16))))))</f>
        <v>Grey</v>
      </c>
      <c r="N16" t="str">
        <f>IF(LEFT(S16,3)="PL1","Red",IF(LEFT(S16,3)="PL2","Blue",IF($I$2="Move",IF(COUNTIF($Q$55:$Q$60,Y16)=1,IF($M$2=Setup!$AC$48,"Green","Grey"),"Grey"),"Grey")))</f>
        <v>Grey</v>
      </c>
      <c r="O16" t="str">
        <f t="shared" si="0"/>
        <v>Grey</v>
      </c>
      <c r="P16" s="7"/>
      <c r="Q16" s="7" t="s">
        <v>835</v>
      </c>
      <c r="S16" s="162"/>
      <c r="T16">
        <f t="shared" si="2"/>
        <v>0</v>
      </c>
      <c r="U16">
        <f>IF($I$2="MapSetup",IF(COUNTIF(Setup!$R$8:$R$49,MapReference!S16)=1,"",S16),S16)</f>
        <v>0</v>
      </c>
      <c r="V16" s="162"/>
      <c r="W16">
        <f t="shared" si="3"/>
        <v>0</v>
      </c>
      <c r="X16" t="str">
        <f t="shared" si="4"/>
        <v>NotMoved</v>
      </c>
      <c r="Y16" s="7" t="str">
        <f>IF(S16="Dead",Q16,IF(S16="",Q16,VLOOKUP(S16,Reference!$E$3:$F$44,2,0)))</f>
        <v>China</v>
      </c>
      <c r="Z16">
        <f>IF(COUNTIF(GameLog!R:R,S16&amp;"Death")=0,S16,"Dead")</f>
        <v>0</v>
      </c>
      <c r="AA16" s="161"/>
      <c r="AB16" s="162"/>
      <c r="AC16" t="str">
        <f>IF(COUNTIF(Drop!$M$1:$M$300,MapReference!Q16)=0,"Yes","No")</f>
        <v>Yes</v>
      </c>
      <c r="AD16" t="str">
        <f t="shared" si="5"/>
        <v/>
      </c>
      <c r="AH16" s="2" t="s">
        <v>835</v>
      </c>
      <c r="AI16" s="2"/>
    </row>
    <row r="17" spans="4:35" x14ac:dyDescent="0.25">
      <c r="D17" t="str">
        <f t="shared" si="6"/>
        <v>Unlocked</v>
      </c>
      <c r="E17" t="str">
        <f>IF(Setup!$AC$44="Battle","Locked",IF($I$4="Drop",IF($K$54="Yes","Locked",IF(AC17="Yes",IF($K$53="Yes",IF(O17="Gold","Unlocked","Locked"),"Unlocked"),"Locked")),IF($I$4="Move","Unlocked",IF($A$5="Attack",IF(Z17="Dead","Locked","Unlocked"),IF($A$5="Mapsetup",D17,"Locked")))))</f>
        <v>Locked</v>
      </c>
      <c r="G17" t="str">
        <f>IF(COUNTIF(Reference!$M$5:$M$46,MapReference!Q17)=1,"No","Yes")</f>
        <v>Yes</v>
      </c>
      <c r="J17" t="str">
        <f>IF(COUNTIF($U$55:$U$60,Q17)=1,IF($E$6="MoveOk",IF($Q$3=Q17,"Gold",IF(X17="Moved","White",N17)),IF($M$2=Setup!$AC$49,IF(X17="Moved","White",N17),IF($X$54="EnoughMove",IF(T17="Dead","Grey","Green"),IF(X17="Moved","White",IF(COUNTIF($U$55:$U$60,Q17)=1,"Green",N17))))),IF($Q$2=Q17,"Yellow",IF($Q$3=Q17,"Gold",IF(X17="Moved","White",IF(COUNTIF($R$55:$R$60,Q17)=1,IF($M$2=Setup!$AC$49,N17,"Green"),N17)))))</f>
        <v>Grey</v>
      </c>
      <c r="K17" t="str">
        <f t="shared" si="1"/>
        <v>Grey</v>
      </c>
      <c r="L17" t="str">
        <f>IF(COUNTIF(Setup!$AJ$18:$AJ$59,MapReference!Q17)=0,"","Grey")</f>
        <v/>
      </c>
      <c r="M17" t="str">
        <f>IF(Z17="Dead","Grey",IF(L17="Grey",IF(Q17=$Q$2,"White","Grey"),IF($Q$2=Q17,"Yellow",IF($Q$3=Q17,IF($S$2="Grey",N17,IF(COUNTIF(Setup!$AJ$18:$AJ$59,$Q$2)=1,N17,"Gold")),IF($O$54=1,IF(COUNTIF($S$55:$S$60,Q17)=1,IF(COUNTIF(Setup!$AJ$18:$AJ$59,$Q$2)=1,N17,"Green"),N17),IF($Q$2=$Q$3,IF(COUNTIF($S$55:$S$60,Q17)=1,IF(COUNTIF(Setup!$AJ$18:$AJ$59,$Q$2)=1,N17,"Green"),N17),N17))))))</f>
        <v>Grey</v>
      </c>
      <c r="N17" t="str">
        <f>IF(LEFT(S17,3)="PL1","Red",IF(LEFT(S17,3)="PL2","Blue",IF($I$2="Move",IF(COUNTIF($Q$55:$Q$60,Y17)=1,IF($M$2=Setup!$AC$48,"Green","Grey"),"Grey"),"Grey")))</f>
        <v>Grey</v>
      </c>
      <c r="O17" t="str">
        <f t="shared" si="0"/>
        <v>Grey</v>
      </c>
      <c r="P17" s="7"/>
      <c r="Q17" s="7" t="s">
        <v>837</v>
      </c>
      <c r="S17" s="162"/>
      <c r="T17">
        <f t="shared" si="2"/>
        <v>0</v>
      </c>
      <c r="U17">
        <f>IF($I$2="MapSetup",IF(COUNTIF(Setup!$R$8:$R$49,MapReference!S17)=1,"",S17),S17)</f>
        <v>0</v>
      </c>
      <c r="V17" s="162"/>
      <c r="W17">
        <f t="shared" si="3"/>
        <v>0</v>
      </c>
      <c r="X17" t="str">
        <f t="shared" si="4"/>
        <v>NotMoved</v>
      </c>
      <c r="Y17" s="7" t="str">
        <f>IF(S17="Dead",Q17,IF(S17="",Q17,VLOOKUP(S17,Reference!$E$3:$F$44,2,0)))</f>
        <v>India</v>
      </c>
      <c r="Z17">
        <f>IF(COUNTIF(GameLog!R:R,S17&amp;"Death")=0,S17,"Dead")</f>
        <v>0</v>
      </c>
      <c r="AA17" s="161"/>
      <c r="AB17" s="162"/>
      <c r="AC17" t="str">
        <f>IF(COUNTIF(Drop!$M$1:$M$300,MapReference!Q17)=0,"Yes","No")</f>
        <v>Yes</v>
      </c>
      <c r="AD17" t="str">
        <f t="shared" si="5"/>
        <v/>
      </c>
      <c r="AH17" s="2" t="s">
        <v>837</v>
      </c>
      <c r="AI17" s="2"/>
    </row>
    <row r="18" spans="4:35" x14ac:dyDescent="0.25">
      <c r="D18" t="str">
        <f t="shared" si="6"/>
        <v>Unlocked</v>
      </c>
      <c r="E18" t="str">
        <f>IF(Setup!$AC$44="Battle","Locked",IF($I$4="Drop",IF($K$54="Yes","Locked",IF(AC18="Yes",IF($K$53="Yes",IF(O18="Gold","Unlocked","Locked"),"Unlocked"),"Locked")),IF($I$4="Move","Unlocked",IF($A$5="Attack",IF(Z18="Dead","Locked","Unlocked"),IF($A$5="Mapsetup",D18,"Locked")))))</f>
        <v>Locked</v>
      </c>
      <c r="G18" t="str">
        <f>IF(COUNTIF(Reference!$M$5:$M$46,MapReference!Q18)=1,"No","Yes")</f>
        <v>Yes</v>
      </c>
      <c r="J18" t="str">
        <f>IF(COUNTIF($U$55:$U$60,Q18)=1,IF($E$6="MoveOk",IF($Q$3=Q18,"Gold",IF(X18="Moved","White",N18)),IF($M$2=Setup!$AC$49,IF(X18="Moved","White",N18),IF($X$54="EnoughMove",IF(T18="Dead","Grey","Green"),IF(X18="Moved","White",IF(COUNTIF($U$55:$U$60,Q18)=1,"Green",N18))))),IF($Q$2=Q18,"Yellow",IF($Q$3=Q18,"Gold",IF(X18="Moved","White",IF(COUNTIF($R$55:$R$60,Q18)=1,IF($M$2=Setup!$AC$49,N18,"Green"),N18)))))</f>
        <v>Grey</v>
      </c>
      <c r="K18" t="str">
        <f t="shared" si="1"/>
        <v>Grey</v>
      </c>
      <c r="L18" t="str">
        <f>IF(COUNTIF(Setup!$AJ$18:$AJ$59,MapReference!Q18)=0,"","Grey")</f>
        <v/>
      </c>
      <c r="M18" t="str">
        <f>IF(Z18="Dead","Grey",IF(L18="Grey",IF(Q18=$Q$2,"White","Grey"),IF($Q$2=Q18,"Yellow",IF($Q$3=Q18,IF($S$2="Grey",N18,IF(COUNTIF(Setup!$AJ$18:$AJ$59,$Q$2)=1,N18,"Gold")),IF($O$54=1,IF(COUNTIF($S$55:$S$60,Q18)=1,IF(COUNTIF(Setup!$AJ$18:$AJ$59,$Q$2)=1,N18,"Green"),N18),IF($Q$2=$Q$3,IF(COUNTIF($S$55:$S$60,Q18)=1,IF(COUNTIF(Setup!$AJ$18:$AJ$59,$Q$2)=1,N18,"Green"),N18),N18))))))</f>
        <v>Grey</v>
      </c>
      <c r="N18" t="str">
        <f>IF(LEFT(S18,3)="PL1","Red",IF(LEFT(S18,3)="PL2","Blue",IF($I$2="Move",IF(COUNTIF($Q$55:$Q$60,Y18)=1,IF($M$2=Setup!$AC$48,"Green","Grey"),"Grey"),"Grey")))</f>
        <v>Grey</v>
      </c>
      <c r="O18" t="str">
        <f t="shared" si="0"/>
        <v>Grey</v>
      </c>
      <c r="P18" s="7"/>
      <c r="Q18" s="7" t="s">
        <v>830</v>
      </c>
      <c r="S18" s="162"/>
      <c r="T18">
        <f>IF($I$2="MapSetup",IF(S18="",IF($Q$2=Q18,$I$3,""),S18),S18)</f>
        <v>0</v>
      </c>
      <c r="U18">
        <f>IF($I$2="MapSetup",IF(COUNTIF(Setup!$R$8:$R$49,MapReference!S18)=1,"",S18),S18)</f>
        <v>0</v>
      </c>
      <c r="V18" s="162"/>
      <c r="W18">
        <f t="shared" si="3"/>
        <v>0</v>
      </c>
      <c r="X18" t="str">
        <f t="shared" si="4"/>
        <v>NotMoved</v>
      </c>
      <c r="Y18" s="7" t="str">
        <f>IF(S18="Dead",Q18,IF(S18="",Q18,VLOOKUP(S18,Reference!$E$3:$F$44,2,0)))</f>
        <v>Irkutsk</v>
      </c>
      <c r="Z18">
        <f>IF(COUNTIF(GameLog!R:R,S18&amp;"Death")=0,S18,"Dead")</f>
        <v>0</v>
      </c>
      <c r="AA18" s="161"/>
      <c r="AB18" s="162"/>
      <c r="AC18" t="str">
        <f>IF(COUNTIF(Drop!$M$1:$M$300,MapReference!Q18)=0,"Yes","No")</f>
        <v>Yes</v>
      </c>
      <c r="AD18" t="str">
        <f t="shared" si="5"/>
        <v/>
      </c>
      <c r="AH18" s="2" t="s">
        <v>830</v>
      </c>
      <c r="AI18" s="2"/>
    </row>
    <row r="19" spans="4:35" x14ac:dyDescent="0.25">
      <c r="D19" t="str">
        <f t="shared" si="6"/>
        <v>Unlocked</v>
      </c>
      <c r="E19" t="str">
        <f>IF(Setup!$AC$44="Battle","Locked",IF($I$4="Drop",IF($K$54="Yes","Locked",IF(AC19="Yes",IF($K$53="Yes",IF(O19="Gold","Unlocked","Locked"),"Unlocked"),"Locked")),IF($I$4="Move","Unlocked",IF($A$5="Attack",IF(Z19="Dead","Locked","Unlocked"),IF($A$5="Mapsetup",D19,"Locked")))))</f>
        <v>Locked</v>
      </c>
      <c r="G19" t="str">
        <f>IF(COUNTIF(Reference!$M$5:$M$46,MapReference!Q19)=1,"No","Yes")</f>
        <v>Yes</v>
      </c>
      <c r="J19" t="str">
        <f>IF(COUNTIF($U$55:$U$60,Q19)=1,IF($E$6="MoveOk",IF($Q$3=Q19,"Gold",IF(X19="Moved","White",N19)),IF($M$2=Setup!$AC$49,IF(X19="Moved","White",N19),IF($X$54="EnoughMove",IF(T19="Dead","Grey","Green"),IF(X19="Moved","White",IF(COUNTIF($U$55:$U$60,Q19)=1,"Green",N19))))),IF($Q$2=Q19,"Yellow",IF($Q$3=Q19,"Gold",IF(X19="Moved","White",IF(COUNTIF($R$55:$R$60,Q19)=1,IF($M$2=Setup!$AC$49,N19,"Green"),N19)))))</f>
        <v>Grey</v>
      </c>
      <c r="K19" t="str">
        <f t="shared" si="1"/>
        <v>Grey</v>
      </c>
      <c r="L19" t="str">
        <f>IF(COUNTIF(Setup!$AJ$18:$AJ$59,MapReference!Q19)=0,"","Grey")</f>
        <v/>
      </c>
      <c r="M19" t="str">
        <f>IF(Z19="Dead","Grey",IF(L19="Grey",IF(Q19=$Q$2,"White","Grey"),IF($Q$2=Q19,"Yellow",IF($Q$3=Q19,IF($S$2="Grey",N19,IF(COUNTIF(Setup!$AJ$18:$AJ$59,$Q$2)=1,N19,"Gold")),IF($O$54=1,IF(COUNTIF($S$55:$S$60,Q19)=1,IF(COUNTIF(Setup!$AJ$18:$AJ$59,$Q$2)=1,N19,"Green"),N19),IF($Q$2=$Q$3,IF(COUNTIF($S$55:$S$60,Q19)=1,IF(COUNTIF(Setup!$AJ$18:$AJ$59,$Q$2)=1,N19,"Green"),N19),N19))))))</f>
        <v>Grey</v>
      </c>
      <c r="N19" t="str">
        <f>IF(LEFT(S19,3)="PL1","Red",IF(LEFT(S19,3)="PL2","Blue",IF($I$2="Move",IF(COUNTIF($Q$55:$Q$60,Y19)=1,IF($M$2=Setup!$AC$48,"Green","Grey"),"Grey"),"Grey")))</f>
        <v>Grey</v>
      </c>
      <c r="O19" t="str">
        <f t="shared" si="0"/>
        <v>Grey</v>
      </c>
      <c r="P19" s="7"/>
      <c r="Q19" s="7" t="s">
        <v>834</v>
      </c>
      <c r="S19" s="162"/>
      <c r="T19">
        <f t="shared" si="2"/>
        <v>0</v>
      </c>
      <c r="U19">
        <f>IF($I$2="MapSetup",IF(COUNTIF(Setup!$R$8:$R$49,MapReference!S19)=1,"",S19),S19)</f>
        <v>0</v>
      </c>
      <c r="V19" s="162"/>
      <c r="W19">
        <f t="shared" si="3"/>
        <v>0</v>
      </c>
      <c r="X19" t="str">
        <f t="shared" si="4"/>
        <v>NotMoved</v>
      </c>
      <c r="Y19" s="7" t="str">
        <f>IF(S19="Dead",Q19,IF(S19="",Q19,VLOOKUP(S19,Reference!$E$3:$F$44,2,0)))</f>
        <v>Japan</v>
      </c>
      <c r="Z19">
        <f>IF(COUNTIF(GameLog!R:R,S19&amp;"Death")=0,S19,"Dead")</f>
        <v>0</v>
      </c>
      <c r="AA19" s="161"/>
      <c r="AB19" s="162"/>
      <c r="AC19" t="str">
        <f>IF(COUNTIF(Drop!$M$1:$M$300,MapReference!Q19)=0,"Yes","No")</f>
        <v>Yes</v>
      </c>
      <c r="AD19" t="str">
        <f t="shared" si="5"/>
        <v/>
      </c>
      <c r="AH19" s="2" t="s">
        <v>834</v>
      </c>
      <c r="AI19" s="2"/>
    </row>
    <row r="20" spans="4:35" x14ac:dyDescent="0.25">
      <c r="D20" t="str">
        <f t="shared" si="6"/>
        <v>Unlocked</v>
      </c>
      <c r="E20" t="str">
        <f>IF(Setup!$AC$44="Battle","Locked",IF($I$4="Drop",IF($K$54="Yes","Locked",IF(AC20="Yes",IF($K$53="Yes",IF(O20="Gold","Unlocked","Locked"),"Unlocked"),"Locked")),IF($I$4="Move","Unlocked",IF($A$5="Attack",IF(Z20="Dead","Locked","Unlocked"),IF($A$5="Mapsetup",D20,"Locked")))))</f>
        <v>Locked</v>
      </c>
      <c r="G20" t="str">
        <f>IF(COUNTIF(Reference!$M$5:$M$46,MapReference!Q20)=1,"No","Yes")</f>
        <v>Yes</v>
      </c>
      <c r="J20" t="str">
        <f>IF(COUNTIF($U$55:$U$60,Q20)=1,IF($E$6="MoveOk",IF($Q$3=Q20,"Gold",IF(X20="Moved","White",N20)),IF($M$2=Setup!$AC$49,IF(X20="Moved","White",N20),IF($X$54="EnoughMove",IF(T20="Dead","Grey","Green"),IF(X20="Moved","White",IF(COUNTIF($U$55:$U$60,Q20)=1,"Green",N20))))),IF($Q$2=Q20,"Yellow",IF($Q$3=Q20,"Gold",IF(X20="Moved","White",IF(COUNTIF($R$55:$R$60,Q20)=1,IF($M$2=Setup!$AC$49,N20,"Green"),N20)))))</f>
        <v>Grey</v>
      </c>
      <c r="K20" t="str">
        <f t="shared" si="1"/>
        <v>Grey</v>
      </c>
      <c r="L20" t="str">
        <f>IF(COUNTIF(Setup!$AJ$18:$AJ$59,MapReference!Q20)=0,"","Grey")</f>
        <v/>
      </c>
      <c r="M20" t="str">
        <f>IF(Z20="Dead","Grey",IF(L20="Grey",IF(Q20=$Q$2,"White","Grey"),IF($Q$2=Q20,"Yellow",IF($Q$3=Q20,IF($S$2="Grey",N20,IF(COUNTIF(Setup!$AJ$18:$AJ$59,$Q$2)=1,N20,"Gold")),IF($O$54=1,IF(COUNTIF($S$55:$S$60,Q20)=1,IF(COUNTIF(Setup!$AJ$18:$AJ$59,$Q$2)=1,N20,"Green"),N20),IF($Q$2=$Q$3,IF(COUNTIF($S$55:$S$60,Q20)=1,IF(COUNTIF(Setup!$AJ$18:$AJ$59,$Q$2)=1,N20,"Green"),N20),N20))))))</f>
        <v>Grey</v>
      </c>
      <c r="N20" t="str">
        <f>IF(LEFT(S20,3)="PL1","Red",IF(LEFT(S20,3)="PL2","Blue",IF($I$2="Move",IF(COUNTIF($Q$55:$Q$60,Y20)=1,IF($M$2=Setup!$AC$48,"Green","Grey"),"Grey"),"Grey")))</f>
        <v>Grey</v>
      </c>
      <c r="O20" t="str">
        <f t="shared" si="0"/>
        <v>Grey</v>
      </c>
      <c r="P20" s="7"/>
      <c r="Q20" s="7" t="s">
        <v>831</v>
      </c>
      <c r="S20" s="162"/>
      <c r="T20">
        <f t="shared" si="2"/>
        <v>0</v>
      </c>
      <c r="U20">
        <f>IF($I$2="MapSetup",IF(COUNTIF(Setup!$R$8:$R$49,MapReference!S20)=1,"",S20),S20)</f>
        <v>0</v>
      </c>
      <c r="V20" s="162"/>
      <c r="W20">
        <f t="shared" si="3"/>
        <v>0</v>
      </c>
      <c r="X20" t="str">
        <f t="shared" si="4"/>
        <v>NotMoved</v>
      </c>
      <c r="Y20" s="7" t="str">
        <f>IF(S20="Dead",Q20,IF(S20="",Q20,VLOOKUP(S20,Reference!$E$3:$F$44,2,0)))</f>
        <v>Kamchatka</v>
      </c>
      <c r="Z20">
        <f>IF(COUNTIF(GameLog!R:R,S20&amp;"Death")=0,S20,"Dead")</f>
        <v>0</v>
      </c>
      <c r="AA20" s="161"/>
      <c r="AB20" s="162"/>
      <c r="AC20" t="str">
        <f>IF(COUNTIF(Drop!$M$1:$M$300,MapReference!Q20)=0,"Yes","No")</f>
        <v>Yes</v>
      </c>
      <c r="AD20" t="str">
        <f t="shared" si="5"/>
        <v/>
      </c>
      <c r="AH20" s="2" t="s">
        <v>831</v>
      </c>
      <c r="AI20" s="2"/>
    </row>
    <row r="21" spans="4:35" x14ac:dyDescent="0.25">
      <c r="D21" t="str">
        <f t="shared" si="6"/>
        <v>Unlocked</v>
      </c>
      <c r="E21" t="str">
        <f>IF(Setup!$AC$44="Battle","Locked",IF($I$4="Drop",IF($K$54="Yes","Locked",IF(AC21="Yes",IF($K$53="Yes",IF(O21="Gold","Unlocked","Locked"),"Unlocked"),"Locked")),IF($I$4="Move","Unlocked",IF($A$5="Attack",IF(Z21="Dead","Locked","Unlocked"),IF($A$5="Mapsetup",D21,"Locked")))))</f>
        <v>Locked</v>
      </c>
      <c r="G21" t="str">
        <f>IF(COUNTIF(Reference!$M$5:$M$46,MapReference!Q21)=1,"No","Yes")</f>
        <v>Yes</v>
      </c>
      <c r="J21" t="str">
        <f>IF(COUNTIF($U$55:$U$60,Q21)=1,IF($E$6="MoveOk",IF($Q$3=Q21,"Gold",IF(X21="Moved","White",N21)),IF($M$2=Setup!$AC$49,IF(X21="Moved","White",N21),IF($X$54="EnoughMove",IF(T21="Dead","Grey","Green"),IF(X21="Moved","White",IF(COUNTIF($U$55:$U$60,Q21)=1,"Green",N21))))),IF($Q$2=Q21,"Yellow",IF($Q$3=Q21,"Gold",IF(X21="Moved","White",IF(COUNTIF($R$55:$R$60,Q21)=1,IF($M$2=Setup!$AC$49,N21,"Green"),N21)))))</f>
        <v>Grey</v>
      </c>
      <c r="K21" t="str">
        <f t="shared" si="1"/>
        <v>Grey</v>
      </c>
      <c r="L21" t="str">
        <f>IF(COUNTIF(Setup!$AJ$18:$AJ$59,MapReference!Q21)=0,"","Grey")</f>
        <v/>
      </c>
      <c r="M21" t="str">
        <f>IF(Z21="Dead","Grey",IF(L21="Grey",IF(Q21=$Q$2,"White","Grey"),IF($Q$2=Q21,"Yellow",IF($Q$3=Q21,IF($S$2="Grey",N21,IF(COUNTIF(Setup!$AJ$18:$AJ$59,$Q$2)=1,N21,"Gold")),IF($O$54=1,IF(COUNTIF($S$55:$S$60,Q21)=1,IF(COUNTIF(Setup!$AJ$18:$AJ$59,$Q$2)=1,N21,"Green"),N21),IF($Q$2=$Q$3,IF(COUNTIF($S$55:$S$60,Q21)=1,IF(COUNTIF(Setup!$AJ$18:$AJ$59,$Q$2)=1,N21,"Green"),N21),N21))))))</f>
        <v>Grey</v>
      </c>
      <c r="N21" t="str">
        <f>IF(LEFT(S21,3)="PL1","Red",IF(LEFT(S21,3)="PL2","Blue",IF($I$2="Move",IF(COUNTIF($Q$55:$Q$60,Y21)=1,IF($M$2=Setup!$AC$48,"Green","Grey"),"Grey"),"Grey")))</f>
        <v>Grey</v>
      </c>
      <c r="O21" t="str">
        <f t="shared" si="0"/>
        <v>Grey</v>
      </c>
      <c r="P21" s="7"/>
      <c r="Q21" s="7" t="s">
        <v>836</v>
      </c>
      <c r="S21" s="162"/>
      <c r="T21">
        <f t="shared" si="2"/>
        <v>0</v>
      </c>
      <c r="U21">
        <f>IF($I$2="MapSetup",IF(COUNTIF(Setup!$R$8:$R$49,MapReference!S21)=1,"",S21),S21)</f>
        <v>0</v>
      </c>
      <c r="V21" s="162"/>
      <c r="W21">
        <f t="shared" si="3"/>
        <v>0</v>
      </c>
      <c r="X21" t="str">
        <f t="shared" si="4"/>
        <v>NotMoved</v>
      </c>
      <c r="Y21" s="7" t="str">
        <f>IF(S21="Dead",Q21,IF(S21="",Q21,VLOOKUP(S21,Reference!$E$3:$F$44,2,0)))</f>
        <v>Middle East</v>
      </c>
      <c r="Z21">
        <f>IF(COUNTIF(GameLog!R:R,S21&amp;"Death")=0,S21,"Dead")</f>
        <v>0</v>
      </c>
      <c r="AA21" s="161"/>
      <c r="AB21" s="162"/>
      <c r="AC21" t="str">
        <f>IF(COUNTIF(Drop!$M$1:$M$300,MapReference!Q21)=0,"Yes","No")</f>
        <v>Yes</v>
      </c>
      <c r="AD21" t="str">
        <f t="shared" si="5"/>
        <v/>
      </c>
      <c r="AH21" s="2" t="s">
        <v>836</v>
      </c>
      <c r="AI21" s="2"/>
    </row>
    <row r="22" spans="4:35" x14ac:dyDescent="0.25">
      <c r="D22" t="str">
        <f t="shared" si="6"/>
        <v>Unlocked</v>
      </c>
      <c r="E22" t="str">
        <f>IF(Setup!$AC$44="Battle","Locked",IF($I$4="Drop",IF($K$54="Yes","Locked",IF(AC22="Yes",IF($K$53="Yes",IF(O22="Gold","Unlocked","Locked"),"Unlocked"),"Locked")),IF($I$4="Move","Unlocked",IF($A$5="Attack",IF(Z22="Dead","Locked","Unlocked"),IF($A$5="Mapsetup",D22,"Locked")))))</f>
        <v>Locked</v>
      </c>
      <c r="G22" t="str">
        <f>IF(COUNTIF(Reference!$M$5:$M$46,MapReference!Q22)=1,"No","Yes")</f>
        <v>Yes</v>
      </c>
      <c r="J22" t="str">
        <f>IF(COUNTIF($U$55:$U$60,Q22)=1,IF($E$6="MoveOk",IF($Q$3=Q22,"Gold",IF(X22="Moved","White",N22)),IF($M$2=Setup!$AC$49,IF(X22="Moved","White",N22),IF($X$54="EnoughMove",IF(T22="Dead","Grey","Green"),IF(X22="Moved","White",IF(COUNTIF($U$55:$U$60,Q22)=1,"Green",N22))))),IF($Q$2=Q22,"Yellow",IF($Q$3=Q22,"Gold",IF(X22="Moved","White",IF(COUNTIF($R$55:$R$60,Q22)=1,IF($M$2=Setup!$AC$49,N22,"Green"),N22)))))</f>
        <v>Grey</v>
      </c>
      <c r="K22" t="str">
        <f t="shared" si="1"/>
        <v>Grey</v>
      </c>
      <c r="L22" t="str">
        <f>IF(COUNTIF(Setup!$AJ$18:$AJ$59,MapReference!Q22)=0,"","Grey")</f>
        <v/>
      </c>
      <c r="M22" t="str">
        <f>IF(Z22="Dead","Grey",IF(L22="Grey",IF(Q22=$Q$2,"White","Grey"),IF($Q$2=Q22,"Yellow",IF($Q$3=Q22,IF($S$2="Grey",N22,IF(COUNTIF(Setup!$AJ$18:$AJ$59,$Q$2)=1,N22,"Gold")),IF($O$54=1,IF(COUNTIF($S$55:$S$60,Q22)=1,IF(COUNTIF(Setup!$AJ$18:$AJ$59,$Q$2)=1,N22,"Green"),N22),IF($Q$2=$Q$3,IF(COUNTIF($S$55:$S$60,Q22)=1,IF(COUNTIF(Setup!$AJ$18:$AJ$59,$Q$2)=1,N22,"Green"),N22),N22))))))</f>
        <v>Grey</v>
      </c>
      <c r="N22" t="str">
        <f>IF(LEFT(S22,3)="PL1","Red",IF(LEFT(S22,3)="PL2","Blue",IF($I$2="Move",IF(COUNTIF($Q$55:$Q$60,Y22)=1,IF($M$2=Setup!$AC$48,"Green","Grey"),"Grey"),"Grey")))</f>
        <v>Grey</v>
      </c>
      <c r="O22" t="str">
        <f t="shared" si="0"/>
        <v>Grey</v>
      </c>
      <c r="P22" s="7"/>
      <c r="Q22" s="7" t="s">
        <v>833</v>
      </c>
      <c r="S22" s="162"/>
      <c r="T22">
        <f t="shared" si="2"/>
        <v>0</v>
      </c>
      <c r="U22">
        <f>IF($I$2="MapSetup",IF(COUNTIF(Setup!$R$8:$R$49,MapReference!S22)=1,"",S22),S22)</f>
        <v>0</v>
      </c>
      <c r="V22" s="162"/>
      <c r="W22">
        <f t="shared" si="3"/>
        <v>0</v>
      </c>
      <c r="X22" t="str">
        <f t="shared" si="4"/>
        <v>NotMoved</v>
      </c>
      <c r="Y22" s="7" t="str">
        <f>IF(S22="Dead",Q22,IF(S22="",Q22,VLOOKUP(S22,Reference!$E$3:$F$44,2,0)))</f>
        <v>Mongolia</v>
      </c>
      <c r="Z22">
        <f>IF(COUNTIF(GameLog!R:R,S22&amp;"Death")=0,S22,"Dead")</f>
        <v>0</v>
      </c>
      <c r="AA22" s="161"/>
      <c r="AB22" s="162"/>
      <c r="AC22" t="str">
        <f>IF(COUNTIF(Drop!$M$1:$M$300,MapReference!Q22)=0,"Yes","No")</f>
        <v>Yes</v>
      </c>
      <c r="AD22" t="str">
        <f t="shared" si="5"/>
        <v/>
      </c>
      <c r="AH22" s="2" t="s">
        <v>833</v>
      </c>
      <c r="AI22" s="2"/>
    </row>
    <row r="23" spans="4:35" x14ac:dyDescent="0.25">
      <c r="D23" t="str">
        <f t="shared" si="6"/>
        <v>Unlocked</v>
      </c>
      <c r="E23" t="str">
        <f>IF(Setup!$AC$44="Battle","Locked",IF($I$4="Drop",IF($K$54="Yes","Locked",IF(AC23="Yes",IF($K$53="Yes",IF(O23="Gold","Unlocked","Locked"),"Unlocked"),"Locked")),IF($I$4="Move","Unlocked",IF($A$5="Attack",IF(Z23="Dead","Locked","Unlocked"),IF($A$5="Mapsetup",D23,"Locked")))))</f>
        <v>Locked</v>
      </c>
      <c r="G23" t="str">
        <f>IF(COUNTIF(Reference!$M$5:$M$46,MapReference!Q23)=1,"No","Yes")</f>
        <v>Yes</v>
      </c>
      <c r="J23" t="str">
        <f>IF(COUNTIF($U$55:$U$60,Q23)=1,IF($E$6="MoveOk",IF($Q$3=Q23,"Gold",IF(X23="Moved","White",N23)),IF($M$2=Setup!$AC$49,IF(X23="Moved","White",N23),IF($X$54="EnoughMove",IF(T23="Dead","Grey","Green"),IF(X23="Moved","White",IF(COUNTIF($U$55:$U$60,Q23)=1,"Green",N23))))),IF($Q$2=Q23,"Yellow",IF($Q$3=Q23,"Gold",IF(X23="Moved","White",IF(COUNTIF($R$55:$R$60,Q23)=1,IF($M$2=Setup!$AC$49,N23,"Green"),N23)))))</f>
        <v>Grey</v>
      </c>
      <c r="K23" t="str">
        <f t="shared" si="1"/>
        <v>Grey</v>
      </c>
      <c r="L23" t="str">
        <f>IF(COUNTIF(Setup!$AJ$18:$AJ$59,MapReference!Q23)=0,"","Grey")</f>
        <v/>
      </c>
      <c r="M23" t="str">
        <f>IF(Z23="Dead","Grey",IF(L23="Grey",IF(Q23=$Q$2,"White","Grey"),IF($Q$2=Q23,"Yellow",IF($Q$3=Q23,IF($S$2="Grey",N23,IF(COUNTIF(Setup!$AJ$18:$AJ$59,$Q$2)=1,N23,"Gold")),IF($O$54=1,IF(COUNTIF($S$55:$S$60,Q23)=1,IF(COUNTIF(Setup!$AJ$18:$AJ$59,$Q$2)=1,N23,"Green"),N23),IF($Q$2=$Q$3,IF(COUNTIF($S$55:$S$60,Q23)=1,IF(COUNTIF(Setup!$AJ$18:$AJ$59,$Q$2)=1,N23,"Green"),N23),N23))))))</f>
        <v>Grey</v>
      </c>
      <c r="N23" t="str">
        <f>IF(LEFT(S23,3)="PL1","Red",IF(LEFT(S23,3)="PL2","Blue",IF($I$2="Move",IF(COUNTIF($Q$55:$Q$60,Y23)=1,IF($M$2=Setup!$AC$48,"Green","Grey"),"Grey"),"Grey")))</f>
        <v>Grey</v>
      </c>
      <c r="O23" t="str">
        <f t="shared" si="0"/>
        <v>Grey</v>
      </c>
      <c r="P23" s="7"/>
      <c r="Q23" s="7" t="s">
        <v>838</v>
      </c>
      <c r="S23" s="162"/>
      <c r="T23">
        <f t="shared" si="2"/>
        <v>0</v>
      </c>
      <c r="U23">
        <f>IF($I$2="MapSetup",IF(COUNTIF(Setup!$R$8:$R$49,MapReference!S23)=1,"",S23),S23)</f>
        <v>0</v>
      </c>
      <c r="V23" s="162"/>
      <c r="W23">
        <f t="shared" si="3"/>
        <v>0</v>
      </c>
      <c r="X23" t="str">
        <f t="shared" si="4"/>
        <v>NotMoved</v>
      </c>
      <c r="Y23" s="7" t="str">
        <f>IF(S23="Dead",Q23,IF(S23="",Q23,VLOOKUP(S23,Reference!$E$3:$F$44,2,0)))</f>
        <v>Siam</v>
      </c>
      <c r="Z23">
        <f>IF(COUNTIF(GameLog!R:R,S23&amp;"Death")=0,S23,"Dead")</f>
        <v>0</v>
      </c>
      <c r="AA23" s="161"/>
      <c r="AB23" s="162"/>
      <c r="AC23" t="str">
        <f>IF(COUNTIF(Drop!$M$1:$M$300,MapReference!Q23)=0,"Yes","No")</f>
        <v>Yes</v>
      </c>
      <c r="AD23" t="str">
        <f t="shared" si="5"/>
        <v/>
      </c>
      <c r="AH23" s="2" t="s">
        <v>838</v>
      </c>
      <c r="AI23" s="2"/>
    </row>
    <row r="24" spans="4:35" x14ac:dyDescent="0.25">
      <c r="D24" t="str">
        <f t="shared" si="6"/>
        <v>Unlocked</v>
      </c>
      <c r="E24" t="str">
        <f>IF(Setup!$AC$44="Battle","Locked",IF($I$4="Drop",IF($K$54="Yes","Locked",IF(AC24="Yes",IF($K$53="Yes",IF(O24="Gold","Unlocked","Locked"),"Unlocked"),"Locked")),IF($I$4="Move","Unlocked",IF($A$5="Attack",IF(Z24="Dead","Locked","Unlocked"),IF($A$5="Mapsetup",D24,"Locked")))))</f>
        <v>Locked</v>
      </c>
      <c r="G24" t="str">
        <f>IF(COUNTIF(Reference!$M$5:$M$46,MapReference!Q24)=1,"No","Yes")</f>
        <v>Yes</v>
      </c>
      <c r="J24" t="str">
        <f>IF(COUNTIF($U$55:$U$60,Q24)=1,IF($E$6="MoveOk",IF($Q$3=Q24,"Gold",IF(X24="Moved","White",N24)),IF($M$2=Setup!$AC$49,IF(X24="Moved","White",N24),IF($X$54="EnoughMove",IF(T24="Dead","Grey","Green"),IF(X24="Moved","White",IF(COUNTIF($U$55:$U$60,Q24)=1,"Green",N24))))),IF($Q$2=Q24,"Yellow",IF($Q$3=Q24,"Gold",IF(X24="Moved","White",IF(COUNTIF($R$55:$R$60,Q24)=1,IF($M$2=Setup!$AC$49,N24,"Green"),N24)))))</f>
        <v>Grey</v>
      </c>
      <c r="K24" t="str">
        <f t="shared" si="1"/>
        <v>Grey</v>
      </c>
      <c r="L24" t="str">
        <f>IF(COUNTIF(Setup!$AJ$18:$AJ$59,MapReference!Q24)=0,"","Grey")</f>
        <v/>
      </c>
      <c r="M24" t="str">
        <f>IF(Z24="Dead","Grey",IF(L24="Grey",IF(Q24=$Q$2,"White","Grey"),IF($Q$2=Q24,"Yellow",IF($Q$3=Q24,IF($S$2="Grey",N24,IF(COUNTIF(Setup!$AJ$18:$AJ$59,$Q$2)=1,N24,"Gold")),IF($O$54=1,IF(COUNTIF($S$55:$S$60,Q24)=1,IF(COUNTIF(Setup!$AJ$18:$AJ$59,$Q$2)=1,N24,"Green"),N24),IF($Q$2=$Q$3,IF(COUNTIF($S$55:$S$60,Q24)=1,IF(COUNTIF(Setup!$AJ$18:$AJ$59,$Q$2)=1,N24,"Green"),N24),N24))))))</f>
        <v>Grey</v>
      </c>
      <c r="N24" t="str">
        <f>IF(LEFT(S24,3)="PL1","Red",IF(LEFT(S24,3)="PL2","Blue",IF($I$2="Move",IF(COUNTIF($Q$55:$Q$60,Y24)=1,IF($M$2=Setup!$AC$48,"Green","Grey"),"Grey"),"Grey")))</f>
        <v>Grey</v>
      </c>
      <c r="O24" t="str">
        <f t="shared" si="0"/>
        <v>Grey</v>
      </c>
      <c r="P24" s="7"/>
      <c r="Q24" s="7" t="s">
        <v>827</v>
      </c>
      <c r="S24" s="162"/>
      <c r="T24">
        <f t="shared" si="2"/>
        <v>0</v>
      </c>
      <c r="U24">
        <f>IF($I$2="MapSetup",IF(COUNTIF(Setup!$R$8:$R$49,MapReference!S24)=1,"",S24),S24)</f>
        <v>0</v>
      </c>
      <c r="V24" s="162"/>
      <c r="W24">
        <f t="shared" si="3"/>
        <v>0</v>
      </c>
      <c r="X24" t="str">
        <f t="shared" si="4"/>
        <v>NotMoved</v>
      </c>
      <c r="Y24" s="7" t="str">
        <f>IF(S24="Dead",Q24,IF(S24="",Q24,VLOOKUP(S24,Reference!$E$3:$F$44,2,0)))</f>
        <v>Siberia</v>
      </c>
      <c r="Z24">
        <f>IF(COUNTIF(GameLog!R:R,S24&amp;"Death")=0,S24,"Dead")</f>
        <v>0</v>
      </c>
      <c r="AA24" s="161"/>
      <c r="AB24" s="162"/>
      <c r="AC24" t="str">
        <f>IF(COUNTIF(Drop!$M$1:$M$300,MapReference!Q24)=0,"Yes","No")</f>
        <v>Yes</v>
      </c>
      <c r="AD24" t="str">
        <f t="shared" si="5"/>
        <v/>
      </c>
      <c r="AH24" s="2" t="s">
        <v>827</v>
      </c>
      <c r="AI24" s="2"/>
    </row>
    <row r="25" spans="4:35" x14ac:dyDescent="0.25">
      <c r="D25" t="str">
        <f t="shared" si="6"/>
        <v>Unlocked</v>
      </c>
      <c r="E25" t="str">
        <f>IF(Setup!$AC$44="Battle","Locked",IF($I$4="Drop",IF($K$54="Yes","Locked",IF(AC25="Yes",IF($K$53="Yes",IF(O25="Gold","Unlocked","Locked"),"Unlocked"),"Locked")),IF($I$4="Move","Unlocked",IF($A$5="Attack",IF(Z25="Dead","Locked","Unlocked"),IF($A$5="Mapsetup",D25,"Locked")))))</f>
        <v>Locked</v>
      </c>
      <c r="G25" t="str">
        <f>IF(COUNTIF(Reference!$M$5:$M$46,MapReference!Q25)=1,"No","Yes")</f>
        <v>Yes</v>
      </c>
      <c r="J25" t="str">
        <f>IF(COUNTIF($U$55:$U$60,Q25)=1,IF($E$6="MoveOk",IF($Q$3=Q25,"Gold",IF(X25="Moved","White",N25)),IF($M$2=Setup!$AC$49,IF(X25="Moved","White",N25),IF($X$54="EnoughMove",IF(T25="Dead","Grey","Green"),IF(X25="Moved","White",IF(COUNTIF($U$55:$U$60,Q25)=1,"Green",N25))))),IF($Q$2=Q25,"Yellow",IF($Q$3=Q25,"Gold",IF(X25="Moved","White",IF(COUNTIF($R$55:$R$60,Q25)=1,IF($M$2=Setup!$AC$49,N25,"Green"),N25)))))</f>
        <v>Grey</v>
      </c>
      <c r="K25" t="str">
        <f t="shared" si="1"/>
        <v>Grey</v>
      </c>
      <c r="L25" t="str">
        <f>IF(COUNTIF(Setup!$AJ$18:$AJ$59,MapReference!Q25)=0,"","Grey")</f>
        <v/>
      </c>
      <c r="M25" t="str">
        <f>IF(Z25="Dead","Grey",IF(L25="Grey",IF(Q25=$Q$2,"White","Grey"),IF($Q$2=Q25,"Yellow",IF($Q$3=Q25,IF($S$2="Grey",N25,IF(COUNTIF(Setup!$AJ$18:$AJ$59,$Q$2)=1,N25,"Gold")),IF($O$54=1,IF(COUNTIF($S$55:$S$60,Q25)=1,IF(COUNTIF(Setup!$AJ$18:$AJ$59,$Q$2)=1,N25,"Green"),N25),IF($Q$2=$Q$3,IF(COUNTIF($S$55:$S$60,Q25)=1,IF(COUNTIF(Setup!$AJ$18:$AJ$59,$Q$2)=1,N25,"Green"),N25),N25))))))</f>
        <v>Grey</v>
      </c>
      <c r="N25" t="str">
        <f>IF(LEFT(S25,3)="PL1","Red",IF(LEFT(S25,3)="PL2","Blue",IF($I$2="Move",IF(COUNTIF($Q$55:$Q$60,Y25)=1,IF($M$2=Setup!$AC$48,"Green","Grey"),"Grey"),"Grey")))</f>
        <v>Grey</v>
      </c>
      <c r="O25" t="str">
        <f t="shared" si="0"/>
        <v>Grey</v>
      </c>
      <c r="P25" s="7"/>
      <c r="Q25" s="7" t="s">
        <v>829</v>
      </c>
      <c r="S25" s="162"/>
      <c r="T25">
        <f t="shared" si="2"/>
        <v>0</v>
      </c>
      <c r="U25">
        <f>IF($I$2="MapSetup",IF(COUNTIF(Setup!$R$8:$R$49,MapReference!S25)=1,"",S25),S25)</f>
        <v>0</v>
      </c>
      <c r="V25" s="162"/>
      <c r="W25">
        <f t="shared" si="3"/>
        <v>0</v>
      </c>
      <c r="X25" t="str">
        <f t="shared" si="4"/>
        <v>NotMoved</v>
      </c>
      <c r="Y25" s="7" t="str">
        <f>IF(S25="Dead",Q25,IF(S25="",Q25,VLOOKUP(S25,Reference!$E$3:$F$44,2,0)))</f>
        <v>Ural</v>
      </c>
      <c r="Z25">
        <f>IF(COUNTIF(GameLog!R:R,S25&amp;"Death")=0,S25,"Dead")</f>
        <v>0</v>
      </c>
      <c r="AA25" s="161"/>
      <c r="AB25" s="162"/>
      <c r="AC25" t="str">
        <f>IF(COUNTIF(Drop!$M$1:$M$300,MapReference!Q25)=0,"Yes","No")</f>
        <v>Yes</v>
      </c>
      <c r="AD25" t="str">
        <f t="shared" si="5"/>
        <v/>
      </c>
      <c r="AH25" s="2" t="s">
        <v>829</v>
      </c>
      <c r="AI25" s="2"/>
    </row>
    <row r="26" spans="4:35" x14ac:dyDescent="0.25">
      <c r="D26" t="str">
        <f t="shared" si="6"/>
        <v>Unlocked</v>
      </c>
      <c r="E26" t="str">
        <f>IF(Setup!$AC$44="Battle","Locked",IF($I$4="Drop",IF($K$54="Yes","Locked",IF(AC26="Yes",IF($K$53="Yes",IF(O26="Gold","Unlocked","Locked"),"Unlocked"),"Locked")),IF($I$4="Move","Unlocked",IF($A$5="Attack",IF(Z26="Dead","Locked","Unlocked"),IF($A$5="Mapsetup",D26,"Locked")))))</f>
        <v>Locked</v>
      </c>
      <c r="G26" t="str">
        <f>IF(COUNTIF(Reference!$M$5:$M$46,MapReference!Q26)=1,"No","Yes")</f>
        <v>Yes</v>
      </c>
      <c r="J26" t="str">
        <f>IF(COUNTIF($U$55:$U$60,Q26)=1,IF($E$6="MoveOk",IF($Q$3=Q26,"Gold",IF(X26="Moved","White",N26)),IF($M$2=Setup!$AC$49,IF(X26="Moved","White",N26),IF($X$54="EnoughMove",IF(T26="Dead","Grey","Green"),IF(X26="Moved","White",IF(COUNTIF($U$55:$U$60,Q26)=1,"Green",N26))))),IF($Q$2=Q26,"Yellow",IF($Q$3=Q26,"Gold",IF(X26="Moved","White",IF(COUNTIF($R$55:$R$60,Q26)=1,IF($M$2=Setup!$AC$49,N26,"Green"),N26)))))</f>
        <v>Grey</v>
      </c>
      <c r="K26" t="str">
        <f t="shared" si="1"/>
        <v>Grey</v>
      </c>
      <c r="L26" t="str">
        <f>IF(COUNTIF(Setup!$AJ$18:$AJ$59,MapReference!Q26)=0,"","Grey")</f>
        <v/>
      </c>
      <c r="M26" t="str">
        <f>IF(Z26="Dead","Grey",IF(L26="Grey",IF(Q26=$Q$2,"White","Grey"),IF($Q$2=Q26,"Yellow",IF($Q$3=Q26,IF($S$2="Grey",N26,IF(COUNTIF(Setup!$AJ$18:$AJ$59,$Q$2)=1,N26,"Gold")),IF($O$54=1,IF(COUNTIF($S$55:$S$60,Q26)=1,IF(COUNTIF(Setup!$AJ$18:$AJ$59,$Q$2)=1,N26,"Green"),N26),IF($Q$2=$Q$3,IF(COUNTIF($S$55:$S$60,Q26)=1,IF(COUNTIF(Setup!$AJ$18:$AJ$59,$Q$2)=1,N26,"Green"),N26),N26))))))</f>
        <v>Grey</v>
      </c>
      <c r="N26" t="str">
        <f>IF(LEFT(S26,3)="PL1","Red",IF(LEFT(S26,3)="PL2","Blue",IF($I$2="Move",IF(COUNTIF($Q$55:$Q$60,Y26)=1,IF($M$2=Setup!$AC$48,"Green","Grey"),"Grey"),"Grey")))</f>
        <v>Grey</v>
      </c>
      <c r="O26" t="str">
        <f t="shared" si="0"/>
        <v>Grey</v>
      </c>
      <c r="P26" s="7"/>
      <c r="Q26" s="7" t="s">
        <v>828</v>
      </c>
      <c r="S26" s="162"/>
      <c r="T26">
        <f t="shared" si="2"/>
        <v>0</v>
      </c>
      <c r="U26">
        <f>IF($I$2="MapSetup",IF(COUNTIF(Setup!$R$8:$R$49,MapReference!S26)=1,"",S26),S26)</f>
        <v>0</v>
      </c>
      <c r="V26" s="162"/>
      <c r="W26">
        <f t="shared" si="3"/>
        <v>0</v>
      </c>
      <c r="X26" t="str">
        <f t="shared" si="4"/>
        <v>NotMoved</v>
      </c>
      <c r="Y26" s="7" t="str">
        <f>IF(S26="Dead",Q26,IF(S26="",Q26,VLOOKUP(S26,Reference!$E$3:$F$44,2,0)))</f>
        <v>Yakutsk</v>
      </c>
      <c r="Z26">
        <f>IF(COUNTIF(GameLog!R:R,S26&amp;"Death")=0,S26,"Dead")</f>
        <v>0</v>
      </c>
      <c r="AA26" s="161"/>
      <c r="AB26" s="162"/>
      <c r="AC26" t="str">
        <f>IF(COUNTIF(Drop!$M$1:$M$300,MapReference!Q26)=0,"Yes","No")</f>
        <v>Yes</v>
      </c>
      <c r="AD26" t="str">
        <f t="shared" si="5"/>
        <v/>
      </c>
      <c r="AH26" s="2" t="s">
        <v>828</v>
      </c>
      <c r="AI26" s="2"/>
    </row>
    <row r="27" spans="4:35" x14ac:dyDescent="0.25">
      <c r="D27" t="str">
        <f t="shared" si="6"/>
        <v>Unlocked</v>
      </c>
      <c r="E27" t="str">
        <f>IF(Setup!$AC$44="Battle","Locked",IF($I$4="Drop",IF($K$54="Yes","Locked",IF(AC27="Yes",IF($K$53="Yes",IF(O27="Gold","Unlocked","Locked"),"Unlocked"),"Locked")),IF($I$4="Move","Unlocked",IF($A$5="Attack",IF(Z27="Dead","Locked","Unlocked"),IF($A$5="Mapsetup",D27,"Locked")))))</f>
        <v>Locked</v>
      </c>
      <c r="G27" t="str">
        <f>IF(COUNTIF(Reference!$M$5:$M$46,MapReference!Q27)=1,"No","Yes")</f>
        <v>Yes</v>
      </c>
      <c r="J27" t="str">
        <f>IF(COUNTIF($U$55:$U$60,Q27)=1,IF($E$6="MoveOk",IF($Q$3=Q27,"Gold",IF(X27="Moved","White",N27)),IF($M$2=Setup!$AC$49,IF(X27="Moved","White",N27),IF($X$54="EnoughMove",IF(T27="Dead","Grey","Green"),IF(X27="Moved","White",IF(COUNTIF($U$55:$U$60,Q27)=1,"Green",N27))))),IF($Q$2=Q27,"Yellow",IF($Q$3=Q27,"Gold",IF(X27="Moved","White",IF(COUNTIF($R$55:$R$60,Q27)=1,IF($M$2=Setup!$AC$49,N27,"Green"),N27)))))</f>
        <v>Grey</v>
      </c>
      <c r="K27" t="str">
        <f t="shared" si="1"/>
        <v>Grey</v>
      </c>
      <c r="L27" t="str">
        <f>IF(COUNTIF(Setup!$AJ$18:$AJ$59,MapReference!Q27)=0,"","Grey")</f>
        <v/>
      </c>
      <c r="M27" t="str">
        <f>IF(Z27="Dead","Grey",IF(L27="Grey",IF(Q27=$Q$2,"White","Grey"),IF($Q$2=Q27,"Yellow",IF($Q$3=Q27,IF($S$2="Grey",N27,IF(COUNTIF(Setup!$AJ$18:$AJ$59,$Q$2)=1,N27,"Gold")),IF($O$54=1,IF(COUNTIF($S$55:$S$60,Q27)=1,IF(COUNTIF(Setup!$AJ$18:$AJ$59,$Q$2)=1,N27,"Green"),N27),IF($Q$2=$Q$3,IF(COUNTIF($S$55:$S$60,Q27)=1,IF(COUNTIF(Setup!$AJ$18:$AJ$59,$Q$2)=1,N27,"Green"),N27),N27))))))</f>
        <v>Grey</v>
      </c>
      <c r="N27" t="str">
        <f>IF(LEFT(S27,3)="PL1","Red",IF(LEFT(S27,3)="PL2","Blue",IF($I$2="Move",IF(COUNTIF($Q$55:$Q$60,Y27)=1,IF($M$2=Setup!$AC$48,"Green","Grey"),"Grey"),"Grey")))</f>
        <v>Grey</v>
      </c>
      <c r="O27" t="str">
        <f t="shared" si="0"/>
        <v>Grey</v>
      </c>
      <c r="P27" s="7"/>
      <c r="Q27" s="7" t="s">
        <v>841</v>
      </c>
      <c r="S27" s="162"/>
      <c r="T27">
        <f t="shared" si="2"/>
        <v>0</v>
      </c>
      <c r="U27">
        <f>IF($I$2="MapSetup",IF(COUNTIF(Setup!$R$8:$R$49,MapReference!S27)=1,"",S27),S27)</f>
        <v>0</v>
      </c>
      <c r="V27" s="162"/>
      <c r="W27">
        <f t="shared" si="3"/>
        <v>0</v>
      </c>
      <c r="X27" t="str">
        <f t="shared" si="4"/>
        <v>NotMoved</v>
      </c>
      <c r="Y27" s="7" t="str">
        <f>IF(S27="Dead",Q27,IF(S27="",Q27,VLOOKUP(S27,Reference!$E$3:$F$44,2,0)))</f>
        <v>Eastern Australia</v>
      </c>
      <c r="Z27">
        <f>IF(COUNTIF(GameLog!R:R,S27&amp;"Death")=0,S27,"Dead")</f>
        <v>0</v>
      </c>
      <c r="AA27" s="161"/>
      <c r="AB27" s="162"/>
      <c r="AC27" t="str">
        <f>IF(COUNTIF(Drop!$M$1:$M$300,MapReference!Q27)=0,"Yes","No")</f>
        <v>Yes</v>
      </c>
      <c r="AD27" t="str">
        <f t="shared" si="5"/>
        <v/>
      </c>
      <c r="AH27" s="2" t="s">
        <v>841</v>
      </c>
      <c r="AI27" s="2"/>
    </row>
    <row r="28" spans="4:35" x14ac:dyDescent="0.25">
      <c r="D28" t="str">
        <f t="shared" si="6"/>
        <v>Unlocked</v>
      </c>
      <c r="E28" t="str">
        <f>IF(Setup!$AC$44="Battle","Locked",IF($I$4="Drop",IF($K$54="Yes","Locked",IF(AC28="Yes",IF($K$53="Yes",IF(O28="Gold","Unlocked","Locked"),"Unlocked"),"Locked")),IF($I$4="Move","Unlocked",IF($A$5="Attack",IF(Z28="Dead","Locked","Unlocked"),IF($A$5="Mapsetup",D28,"Locked")))))</f>
        <v>Locked</v>
      </c>
      <c r="G28" t="str">
        <f>IF(COUNTIF(Reference!$M$5:$M$46,MapReference!Q28)=1,"No","Yes")</f>
        <v>Yes</v>
      </c>
      <c r="J28" t="str">
        <f>IF(COUNTIF($U$55:$U$60,Q28)=1,IF($E$6="MoveOk",IF($Q$3=Q28,"Gold",IF(X28="Moved","White",N28)),IF($M$2=Setup!$AC$49,IF(X28="Moved","White",N28),IF($X$54="EnoughMove",IF(T28="Dead","Grey","Green"),IF(X28="Moved","White",IF(COUNTIF($U$55:$U$60,Q28)=1,"Green",N28))))),IF($Q$2=Q28,"Yellow",IF($Q$3=Q28,"Gold",IF(X28="Moved","White",IF(COUNTIF($R$55:$R$60,Q28)=1,IF($M$2=Setup!$AC$49,N28,"Green"),N28)))))</f>
        <v>Grey</v>
      </c>
      <c r="K28" t="str">
        <f t="shared" si="1"/>
        <v>Grey</v>
      </c>
      <c r="L28" t="str">
        <f>IF(COUNTIF(Setup!$AJ$18:$AJ$59,MapReference!Q28)=0,"","Grey")</f>
        <v/>
      </c>
      <c r="M28" t="str">
        <f>IF(Z28="Dead","Grey",IF(L28="Grey",IF(Q28=$Q$2,"White","Grey"),IF($Q$2=Q28,"Yellow",IF($Q$3=Q28,IF($S$2="Grey",N28,IF(COUNTIF(Setup!$AJ$18:$AJ$59,$Q$2)=1,N28,"Gold")),IF($O$54=1,IF(COUNTIF($S$55:$S$60,Q28)=1,IF(COUNTIF(Setup!$AJ$18:$AJ$59,$Q$2)=1,N28,"Green"),N28),IF($Q$2=$Q$3,IF(COUNTIF($S$55:$S$60,Q28)=1,IF(COUNTIF(Setup!$AJ$18:$AJ$59,$Q$2)=1,N28,"Green"),N28),N28))))))</f>
        <v>Grey</v>
      </c>
      <c r="N28" t="str">
        <f>IF(LEFT(S28,3)="PL1","Red",IF(LEFT(S28,3)="PL2","Blue",IF($I$2="Move",IF(COUNTIF($Q$55:$Q$60,Y28)=1,IF($M$2=Setup!$AC$48,"Green","Grey"),"Grey"),"Grey")))</f>
        <v>Grey</v>
      </c>
      <c r="O28" t="str">
        <f t="shared" si="0"/>
        <v>Grey</v>
      </c>
      <c r="P28" s="7"/>
      <c r="Q28" s="7" t="s">
        <v>839</v>
      </c>
      <c r="S28" s="162"/>
      <c r="T28">
        <f t="shared" si="2"/>
        <v>0</v>
      </c>
      <c r="U28">
        <f>IF($I$2="MapSetup",IF(COUNTIF(Setup!$R$8:$R$49,MapReference!S28)=1,"",S28),S28)</f>
        <v>0</v>
      </c>
      <c r="V28" s="162"/>
      <c r="W28">
        <f t="shared" si="3"/>
        <v>0</v>
      </c>
      <c r="X28" t="str">
        <f t="shared" si="4"/>
        <v>NotMoved</v>
      </c>
      <c r="Y28" s="7" t="str">
        <f>IF(S28="Dead",Q28,IF(S28="",Q28,VLOOKUP(S28,Reference!$E$3:$F$44,2,0)))</f>
        <v>Indonesia</v>
      </c>
      <c r="Z28">
        <f>IF(COUNTIF(GameLog!R:R,S28&amp;"Death")=0,S28,"Dead")</f>
        <v>0</v>
      </c>
      <c r="AA28" s="161"/>
      <c r="AB28" s="162"/>
      <c r="AC28" t="str">
        <f>IF(COUNTIF(Drop!$M$1:$M$300,MapReference!Q28)=0,"Yes","No")</f>
        <v>Yes</v>
      </c>
      <c r="AD28" t="str">
        <f t="shared" si="5"/>
        <v/>
      </c>
      <c r="AH28" s="2" t="s">
        <v>839</v>
      </c>
      <c r="AI28" s="2"/>
    </row>
    <row r="29" spans="4:35" x14ac:dyDescent="0.25">
      <c r="D29" t="str">
        <f t="shared" si="6"/>
        <v>Unlocked</v>
      </c>
      <c r="E29" t="str">
        <f>IF(Setup!$AC$44="Battle","Locked",IF($I$4="Drop",IF($K$54="Yes","Locked",IF(AC29="Yes",IF($K$53="Yes",IF(O29="Gold","Unlocked","Locked"),"Unlocked"),"Locked")),IF($I$4="Move","Unlocked",IF($A$5="Attack",IF(Z29="Dead","Locked","Unlocked"),IF($A$5="Mapsetup",D29,"Locked")))))</f>
        <v>Locked</v>
      </c>
      <c r="G29" t="str">
        <f>IF(COUNTIF(Reference!$M$5:$M$46,MapReference!Q29)=1,"No","Yes")</f>
        <v>Yes</v>
      </c>
      <c r="J29" t="str">
        <f>IF(COUNTIF($U$55:$U$60,Q29)=1,IF($E$6="MoveOk",IF($Q$3=Q29,"Gold",IF(X29="Moved","White",N29)),IF($M$2=Setup!$AC$49,IF(X29="Moved","White",N29),IF($X$54="EnoughMove",IF(T29="Dead","Grey","Green"),IF(X29="Moved","White",IF(COUNTIF($U$55:$U$60,Q29)=1,"Green",N29))))),IF($Q$2=Q29,"Yellow",IF($Q$3=Q29,"Gold",IF(X29="Moved","White",IF(COUNTIF($R$55:$R$60,Q29)=1,IF($M$2=Setup!$AC$49,N29,"Green"),N29)))))</f>
        <v>Grey</v>
      </c>
      <c r="K29" t="str">
        <f t="shared" si="1"/>
        <v>Grey</v>
      </c>
      <c r="L29" t="str">
        <f>IF(COUNTIF(Setup!$AJ$18:$AJ$59,MapReference!Q29)=0,"","Grey")</f>
        <v/>
      </c>
      <c r="M29" t="str">
        <f>IF(Z29="Dead","Grey",IF(L29="Grey",IF(Q29=$Q$2,"White","Grey"),IF($Q$2=Q29,"Yellow",IF($Q$3=Q29,IF($S$2="Grey",N29,IF(COUNTIF(Setup!$AJ$18:$AJ$59,$Q$2)=1,N29,"Gold")),IF($O$54=1,IF(COUNTIF($S$55:$S$60,Q29)=1,IF(COUNTIF(Setup!$AJ$18:$AJ$59,$Q$2)=1,N29,"Green"),N29),IF($Q$2=$Q$3,IF(COUNTIF($S$55:$S$60,Q29)=1,IF(COUNTIF(Setup!$AJ$18:$AJ$59,$Q$2)=1,N29,"Green"),N29),N29))))))</f>
        <v>Grey</v>
      </c>
      <c r="N29" t="str">
        <f>IF(LEFT(S29,3)="PL1","Red",IF(LEFT(S29,3)="PL2","Blue",IF($I$2="Move",IF(COUNTIF($Q$55:$Q$60,Y29)=1,IF($M$2=Setup!$AC$48,"Green","Grey"),"Grey"),"Grey")))</f>
        <v>Grey</v>
      </c>
      <c r="O29" t="str">
        <f t="shared" si="0"/>
        <v>Grey</v>
      </c>
      <c r="P29" s="7"/>
      <c r="Q29" s="7" t="s">
        <v>840</v>
      </c>
      <c r="S29" s="162"/>
      <c r="T29">
        <f t="shared" si="2"/>
        <v>0</v>
      </c>
      <c r="U29">
        <f>IF($I$2="MapSetup",IF(COUNTIF(Setup!$R$8:$R$49,MapReference!S29)=1,"",S29),S29)</f>
        <v>0</v>
      </c>
      <c r="V29" s="162"/>
      <c r="W29">
        <f t="shared" si="3"/>
        <v>0</v>
      </c>
      <c r="X29" t="str">
        <f t="shared" si="4"/>
        <v>NotMoved</v>
      </c>
      <c r="Y29" s="7" t="str">
        <f>IF(S29="Dead",Q29,IF(S29="",Q29,VLOOKUP(S29,Reference!$E$3:$F$44,2,0)))</f>
        <v>New Guinea</v>
      </c>
      <c r="Z29">
        <f>IF(COUNTIF(GameLog!R:R,S29&amp;"Death")=0,S29,"Dead")</f>
        <v>0</v>
      </c>
      <c r="AA29" s="161"/>
      <c r="AB29" s="162"/>
      <c r="AC29" t="str">
        <f>IF(COUNTIF(Drop!$M$1:$M$300,MapReference!Q29)=0,"Yes","No")</f>
        <v>Yes</v>
      </c>
      <c r="AD29" t="str">
        <f t="shared" si="5"/>
        <v/>
      </c>
      <c r="AH29" s="2" t="s">
        <v>840</v>
      </c>
      <c r="AI29" s="2"/>
    </row>
    <row r="30" spans="4:35" x14ac:dyDescent="0.25">
      <c r="D30" t="str">
        <f t="shared" si="6"/>
        <v>Unlocked</v>
      </c>
      <c r="E30" t="str">
        <f>IF(Setup!$AC$44="Battle","Locked",IF($I$4="Drop",IF($K$54="Yes","Locked",IF(AC30="Yes",IF($K$53="Yes",IF(O30="Gold","Unlocked","Locked"),"Unlocked"),"Locked")),IF($I$4="Move","Unlocked",IF($A$5="Attack",IF(Z30="Dead","Locked","Unlocked"),IF($A$5="Mapsetup",D30,"Locked")))))</f>
        <v>Locked</v>
      </c>
      <c r="G30" t="str">
        <f>IF(COUNTIF(Reference!$M$5:$M$46,MapReference!Q30)=1,"No","Yes")</f>
        <v>Yes</v>
      </c>
      <c r="J30" t="str">
        <f>IF(COUNTIF($U$55:$U$60,Q30)=1,IF($E$6="MoveOk",IF($Q$3=Q30,"Gold",IF(X30="Moved","White",N30)),IF($M$2=Setup!$AC$49,IF(X30="Moved","White",N30),IF($X$54="EnoughMove",IF(T30="Dead","Grey","Green"),IF(X30="Moved","White",IF(COUNTIF($U$55:$U$60,Q30)=1,"Green",N30))))),IF($Q$2=Q30,"Yellow",IF($Q$3=Q30,"Gold",IF(X30="Moved","White",IF(COUNTIF($R$55:$R$60,Q30)=1,IF($M$2=Setup!$AC$49,N30,"Green"),N30)))))</f>
        <v>Grey</v>
      </c>
      <c r="K30" t="str">
        <f t="shared" si="1"/>
        <v>Grey</v>
      </c>
      <c r="L30" t="str">
        <f>IF(COUNTIF(Setup!$AJ$18:$AJ$59,MapReference!Q30)=0,"","Grey")</f>
        <v/>
      </c>
      <c r="M30" t="str">
        <f>IF(Z30="Dead","Grey",IF(L30="Grey",IF(Q30=$Q$2,"White","Grey"),IF($Q$2=Q30,"Yellow",IF($Q$3=Q30,IF($S$2="Grey",N30,IF(COUNTIF(Setup!$AJ$18:$AJ$59,$Q$2)=1,N30,"Gold")),IF($O$54=1,IF(COUNTIF($S$55:$S$60,Q30)=1,IF(COUNTIF(Setup!$AJ$18:$AJ$59,$Q$2)=1,N30,"Green"),N30),IF($Q$2=$Q$3,IF(COUNTIF($S$55:$S$60,Q30)=1,IF(COUNTIF(Setup!$AJ$18:$AJ$59,$Q$2)=1,N30,"Green"),N30),N30))))))</f>
        <v>Grey</v>
      </c>
      <c r="N30" t="str">
        <f>IF(LEFT(S30,3)="PL1","Red",IF(LEFT(S30,3)="PL2","Blue",IF($I$2="Move",IF(COUNTIF($Q$55:$Q$60,Y30)=1,IF($M$2=Setup!$AC$48,"Green","Grey"),"Grey"),"Grey")))</f>
        <v>Grey</v>
      </c>
      <c r="O30" t="str">
        <f t="shared" si="0"/>
        <v>Grey</v>
      </c>
      <c r="P30" s="7"/>
      <c r="Q30" s="7" t="s">
        <v>842</v>
      </c>
      <c r="S30" s="162"/>
      <c r="T30">
        <f t="shared" si="2"/>
        <v>0</v>
      </c>
      <c r="U30">
        <f>IF($I$2="MapSetup",IF(COUNTIF(Setup!$R$8:$R$49,MapReference!S30)=1,"",S30),S30)</f>
        <v>0</v>
      </c>
      <c r="V30" s="162"/>
      <c r="W30">
        <f t="shared" si="3"/>
        <v>0</v>
      </c>
      <c r="X30" t="str">
        <f t="shared" si="4"/>
        <v>NotMoved</v>
      </c>
      <c r="Y30" s="7" t="str">
        <f>IF(S30="Dead",Q30,IF(S30="",Q30,VLOOKUP(S30,Reference!$E$3:$F$44,2,0)))</f>
        <v>Western Australia</v>
      </c>
      <c r="Z30">
        <f>IF(COUNTIF(GameLog!R:R,S30&amp;"Death")=0,S30,"Dead")</f>
        <v>0</v>
      </c>
      <c r="AA30" s="161"/>
      <c r="AB30" s="162"/>
      <c r="AC30" t="str">
        <f>IF(COUNTIF(Drop!$M$1:$M$300,MapReference!Q30)=0,"Yes","No")</f>
        <v>Yes</v>
      </c>
      <c r="AD30" t="str">
        <f t="shared" si="5"/>
        <v/>
      </c>
      <c r="AH30" s="2" t="s">
        <v>842</v>
      </c>
      <c r="AI30" s="2"/>
    </row>
    <row r="31" spans="4:35" x14ac:dyDescent="0.25">
      <c r="D31" t="str">
        <f t="shared" si="6"/>
        <v>Unlocked</v>
      </c>
      <c r="E31" t="str">
        <f>IF(Setup!$AC$44="Battle","Locked",IF($I$4="Drop",IF($K$54="Yes","Locked",IF(AC31="Yes",IF($K$53="Yes",IF(O31="Gold","Unlocked","Locked"),"Unlocked"),"Locked")),IF($I$4="Move","Unlocked",IF($A$5="Attack",IF(Z31="Dead","Locked","Unlocked"),IF($A$5="Mapsetup",D31,"Locked")))))</f>
        <v>Locked</v>
      </c>
      <c r="G31" t="str">
        <f>IF(COUNTIF(Reference!$M$5:$M$46,MapReference!Q31)=1,"No","Yes")</f>
        <v>Yes</v>
      </c>
      <c r="J31" t="str">
        <f>IF(COUNTIF($U$55:$U$60,Q31)=1,IF($E$6="MoveOk",IF($Q$3=Q31,"Gold",IF(X31="Moved","White",N31)),IF($M$2=Setup!$AC$49,IF(X31="Moved","White",N31),IF($X$54="EnoughMove",IF(T31="Dead","Grey","Green"),IF(X31="Moved","White",IF(COUNTIF($U$55:$U$60,Q31)=1,"Green",N31))))),IF($Q$2=Q31,"Yellow",IF($Q$3=Q31,"Gold",IF(X31="Moved","White",IF(COUNTIF($R$55:$R$60,Q31)=1,IF($M$2=Setup!$AC$49,N31,"Green"),N31)))))</f>
        <v>Grey</v>
      </c>
      <c r="K31" t="str">
        <f t="shared" si="1"/>
        <v>Grey</v>
      </c>
      <c r="L31" t="str">
        <f>IF(COUNTIF(Setup!$AJ$18:$AJ$59,MapReference!Q31)=0,"","Grey")</f>
        <v/>
      </c>
      <c r="M31" t="str">
        <f>IF(Z31="Dead","Grey",IF(L31="Grey",IF(Q31=$Q$2,"White","Grey"),IF($Q$2=Q31,"Yellow",IF($Q$3=Q31,IF($S$2="Grey",N31,IF(COUNTIF(Setup!$AJ$18:$AJ$59,$Q$2)=1,N31,"Gold")),IF($O$54=1,IF(COUNTIF($S$55:$S$60,Q31)=1,IF(COUNTIF(Setup!$AJ$18:$AJ$59,$Q$2)=1,N31,"Green"),N31),IF($Q$2=$Q$3,IF(COUNTIF($S$55:$S$60,Q31)=1,IF(COUNTIF(Setup!$AJ$18:$AJ$59,$Q$2)=1,N31,"Green"),N31),N31))))))</f>
        <v>Grey</v>
      </c>
      <c r="N31" t="str">
        <f>IF(LEFT(S31,3)="PL1","Red",IF(LEFT(S31,3)="PL2","Blue",IF($I$2="Move",IF(COUNTIF($Q$55:$Q$60,Y31)=1,IF($M$2=Setup!$AC$48,"Green","Grey"),"Grey"),"Grey")))</f>
        <v>Grey</v>
      </c>
      <c r="O31" t="str">
        <f t="shared" si="0"/>
        <v>Grey</v>
      </c>
      <c r="P31" s="7"/>
      <c r="Q31" s="7" t="s">
        <v>849</v>
      </c>
      <c r="S31" s="162"/>
      <c r="T31">
        <f t="shared" si="2"/>
        <v>0</v>
      </c>
      <c r="U31">
        <f>IF($I$2="MapSetup",IF(COUNTIF(Setup!$R$8:$R$49,MapReference!S31)=1,"",S31),S31)</f>
        <v>0</v>
      </c>
      <c r="V31" s="162"/>
      <c r="W31">
        <f t="shared" si="3"/>
        <v>0</v>
      </c>
      <c r="X31" t="str">
        <f t="shared" si="4"/>
        <v>NotMoved</v>
      </c>
      <c r="Y31" s="7" t="str">
        <f>IF(S31="Dead",Q31,IF(S31="",Q31,VLOOKUP(S31,Reference!$E$3:$F$44,2,0)))</f>
        <v>Great Britan</v>
      </c>
      <c r="Z31">
        <f>IF(COUNTIF(GameLog!R:R,S31&amp;"Death")=0,S31,"Dead")</f>
        <v>0</v>
      </c>
      <c r="AA31" s="161"/>
      <c r="AB31" s="162"/>
      <c r="AC31" t="str">
        <f>IF(COUNTIF(Drop!$M$1:$M$300,MapReference!Q31)=0,"Yes","No")</f>
        <v>Yes</v>
      </c>
      <c r="AD31" t="str">
        <f t="shared" si="5"/>
        <v/>
      </c>
      <c r="AH31" s="2" t="s">
        <v>849</v>
      </c>
      <c r="AI31" s="2"/>
    </row>
    <row r="32" spans="4:35" x14ac:dyDescent="0.25">
      <c r="D32" t="str">
        <f t="shared" si="6"/>
        <v>Unlocked</v>
      </c>
      <c r="E32" t="str">
        <f>IF(Setup!$AC$44="Battle","Locked",IF($I$4="Drop",IF($K$54="Yes","Locked",IF(AC32="Yes",IF($K$53="Yes",IF(O32="Gold","Unlocked","Locked"),"Unlocked"),"Locked")),IF($I$4="Move","Unlocked",IF($A$5="Attack",IF(Z32="Dead","Locked","Unlocked"),IF($A$5="Mapsetup",D32,"Locked")))))</f>
        <v>Locked</v>
      </c>
      <c r="G32" t="str">
        <f>IF(COUNTIF(Reference!$M$5:$M$46,MapReference!Q32)=1,"No","Yes")</f>
        <v>Yes</v>
      </c>
      <c r="J32" t="str">
        <f>IF(COUNTIF($U$55:$U$60,Q32)=1,IF($E$6="MoveOk",IF($Q$3=Q32,"Gold",IF(X32="Moved","White",N32)),IF($M$2=Setup!$AC$49,IF(X32="Moved","White",N32),IF($X$54="EnoughMove",IF(T32="Dead","Grey","Green"),IF(X32="Moved","White",IF(COUNTIF($U$55:$U$60,Q32)=1,"Green",N32))))),IF($Q$2=Q32,"Yellow",IF($Q$3=Q32,"Gold",IF(X32="Moved","White",IF(COUNTIF($R$55:$R$60,Q32)=1,IF($M$2=Setup!$AC$49,N32,"Green"),N32)))))</f>
        <v>Grey</v>
      </c>
      <c r="K32" t="str">
        <f t="shared" si="1"/>
        <v>Grey</v>
      </c>
      <c r="L32" t="str">
        <f>IF(COUNTIF(Setup!$AJ$18:$AJ$59,MapReference!Q32)=0,"","Grey")</f>
        <v/>
      </c>
      <c r="M32" t="str">
        <f>IF(Z32="Dead","Grey",IF(L32="Grey",IF(Q32=$Q$2,"White","Grey"),IF($Q$2=Q32,"Yellow",IF($Q$3=Q32,IF($S$2="Grey",N32,IF(COUNTIF(Setup!$AJ$18:$AJ$59,$Q$2)=1,N32,"Gold")),IF($O$54=1,IF(COUNTIF($S$55:$S$60,Q32)=1,IF(COUNTIF(Setup!$AJ$18:$AJ$59,$Q$2)=1,N32,"Green"),N32),IF($Q$2=$Q$3,IF(COUNTIF($S$55:$S$60,Q32)=1,IF(COUNTIF(Setup!$AJ$18:$AJ$59,$Q$2)=1,N32,"Green"),N32),N32))))))</f>
        <v>Grey</v>
      </c>
      <c r="N32" t="str">
        <f>IF(LEFT(S32,3)="PL1","Red",IF(LEFT(S32,3)="PL2","Blue",IF($I$2="Move",IF(COUNTIF($Q$55:$Q$60,Y32)=1,IF($M$2=Setup!$AC$48,"Green","Grey"),"Grey"),"Grey")))</f>
        <v>Grey</v>
      </c>
      <c r="O32" t="str">
        <f t="shared" si="0"/>
        <v>Grey</v>
      </c>
      <c r="P32" s="7"/>
      <c r="Q32" s="7" t="s">
        <v>847</v>
      </c>
      <c r="S32" s="162"/>
      <c r="T32">
        <f t="shared" si="2"/>
        <v>0</v>
      </c>
      <c r="U32">
        <f>IF($I$2="MapSetup",IF(COUNTIF(Setup!$R$8:$R$49,MapReference!S32)=1,"",S32),S32)</f>
        <v>0</v>
      </c>
      <c r="V32" s="162"/>
      <c r="W32">
        <f t="shared" si="3"/>
        <v>0</v>
      </c>
      <c r="X32" t="str">
        <f t="shared" si="4"/>
        <v>NotMoved</v>
      </c>
      <c r="Y32" s="7" t="str">
        <f>IF(S32="Dead",Q32,IF(S32="",Q32,VLOOKUP(S32,Reference!$E$3:$F$44,2,0)))</f>
        <v>Iceland</v>
      </c>
      <c r="Z32">
        <f>IF(COUNTIF(GameLog!R:R,S32&amp;"Death")=0,S32,"Dead")</f>
        <v>0</v>
      </c>
      <c r="AA32" s="161"/>
      <c r="AB32" s="162"/>
      <c r="AC32" t="str">
        <f>IF(COUNTIF(Drop!$M$1:$M$300,MapReference!Q32)=0,"Yes","No")</f>
        <v>Yes</v>
      </c>
      <c r="AD32" t="str">
        <f t="shared" si="5"/>
        <v/>
      </c>
      <c r="AH32" s="2" t="s">
        <v>847</v>
      </c>
      <c r="AI32" s="2"/>
    </row>
    <row r="33" spans="4:35" x14ac:dyDescent="0.25">
      <c r="D33" t="str">
        <f t="shared" si="6"/>
        <v>Unlocked</v>
      </c>
      <c r="E33" t="str">
        <f>IF(Setup!$AC$44="Battle","Locked",IF($I$4="Drop",IF($K$54="Yes","Locked",IF(AC33="Yes",IF($K$53="Yes",IF(O33="Gold","Unlocked","Locked"),"Unlocked"),"Locked")),IF($I$4="Move","Unlocked",IF($A$5="Attack",IF(Z33="Dead","Locked","Unlocked"),IF($A$5="Mapsetup",D33,"Locked")))))</f>
        <v>Locked</v>
      </c>
      <c r="G33" t="str">
        <f>IF(COUNTIF(Reference!$M$5:$M$46,MapReference!Q33)=1,"No","Yes")</f>
        <v>Yes</v>
      </c>
      <c r="J33" t="str">
        <f>IF(COUNTIF($U$55:$U$60,Q33)=1,IF($E$6="MoveOk",IF($Q$3=Q33,"Gold",IF(X33="Moved","White",N33)),IF($M$2=Setup!$AC$49,IF(X33="Moved","White",N33),IF($X$54="EnoughMove",IF(T33="Dead","Grey","Green"),IF(X33="Moved","White",IF(COUNTIF($U$55:$U$60,Q33)=1,"Green",N33))))),IF($Q$2=Q33,"Yellow",IF($Q$3=Q33,"Gold",IF(X33="Moved","White",IF(COUNTIF($R$55:$R$60,Q33)=1,IF($M$2=Setup!$AC$49,N33,"Green"),N33)))))</f>
        <v>Grey</v>
      </c>
      <c r="K33" t="str">
        <f t="shared" si="1"/>
        <v>Grey</v>
      </c>
      <c r="L33" t="str">
        <f>IF(COUNTIF(Setup!$AJ$18:$AJ$59,MapReference!Q33)=0,"","Grey")</f>
        <v/>
      </c>
      <c r="M33" t="str">
        <f>IF(Z33="Dead","Grey",IF(L33="Grey",IF(Q33=$Q$2,"White","Grey"),IF($Q$2=Q33,"Yellow",IF($Q$3=Q33,IF($S$2="Grey",N33,IF(COUNTIF(Setup!$AJ$18:$AJ$59,$Q$2)=1,N33,"Gold")),IF($O$54=1,IF(COUNTIF($S$55:$S$60,Q33)=1,IF(COUNTIF(Setup!$AJ$18:$AJ$59,$Q$2)=1,N33,"Green"),N33),IF($Q$2=$Q$3,IF(COUNTIF($S$55:$S$60,Q33)=1,IF(COUNTIF(Setup!$AJ$18:$AJ$59,$Q$2)=1,N33,"Green"),N33),N33))))))</f>
        <v>Grey</v>
      </c>
      <c r="N33" t="str">
        <f>IF(LEFT(S33,3)="PL1","Red",IF(LEFT(S33,3)="PL2","Blue",IF($I$2="Move",IF(COUNTIF($Q$55:$Q$60,Y33)=1,IF($M$2=Setup!$AC$48,"Green","Grey"),"Grey"),"Grey")))</f>
        <v>Grey</v>
      </c>
      <c r="O33" t="str">
        <f t="shared" si="0"/>
        <v>Grey</v>
      </c>
      <c r="P33" s="7"/>
      <c r="Q33" s="7" t="s">
        <v>850</v>
      </c>
      <c r="S33" s="162"/>
      <c r="T33">
        <f t="shared" si="2"/>
        <v>0</v>
      </c>
      <c r="U33">
        <f>IF($I$2="MapSetup",IF(COUNTIF(Setup!$R$8:$R$49,MapReference!S33)=1,"",S33),S33)</f>
        <v>0</v>
      </c>
      <c r="V33" s="162"/>
      <c r="W33">
        <f t="shared" si="3"/>
        <v>0</v>
      </c>
      <c r="X33" t="str">
        <f t="shared" si="4"/>
        <v>NotMoved</v>
      </c>
      <c r="Y33" s="7" t="str">
        <f>IF(S33="Dead",Q33,IF(S33="",Q33,VLOOKUP(S33,Reference!$E$3:$F$44,2,0)))</f>
        <v>Northern Europe</v>
      </c>
      <c r="Z33">
        <f>IF(COUNTIF(GameLog!R:R,S33&amp;"Death")=0,S33,"Dead")</f>
        <v>0</v>
      </c>
      <c r="AA33" s="161"/>
      <c r="AB33" s="162"/>
      <c r="AC33" t="str">
        <f>IF(COUNTIF(Drop!$M$1:$M$300,MapReference!Q33)=0,"Yes","No")</f>
        <v>Yes</v>
      </c>
      <c r="AD33" t="str">
        <f t="shared" si="5"/>
        <v/>
      </c>
      <c r="AH33" s="2" t="s">
        <v>850</v>
      </c>
      <c r="AI33" s="2"/>
    </row>
    <row r="34" spans="4:35" x14ac:dyDescent="0.25">
      <c r="D34" t="str">
        <f t="shared" si="6"/>
        <v>Unlocked</v>
      </c>
      <c r="E34" t="str">
        <f>IF(Setup!$AC$44="Battle","Locked",IF($I$4="Drop",IF($K$54="Yes","Locked",IF(AC34="Yes",IF($K$53="Yes",IF(O34="Gold","Unlocked","Locked"),"Unlocked"),"Locked")),IF($I$4="Move","Unlocked",IF($A$5="Attack",IF(Z34="Dead","Locked","Unlocked"),IF($A$5="Mapsetup",D34,"Locked")))))</f>
        <v>Locked</v>
      </c>
      <c r="G34" t="str">
        <f>IF(COUNTIF(Reference!$M$5:$M$46,MapReference!Q34)=1,"No","Yes")</f>
        <v>Yes</v>
      </c>
      <c r="J34" t="str">
        <f>IF(COUNTIF($U$55:$U$60,Q34)=1,IF($E$6="MoveOk",IF($Q$3=Q34,"Gold",IF(X34="Moved","White",N34)),IF($M$2=Setup!$AC$49,IF(X34="Moved","White",N34),IF($X$54="EnoughMove",IF(T34="Dead","Grey","Green"),IF(X34="Moved","White",IF(COUNTIF($U$55:$U$60,Q34)=1,"Green",N34))))),IF($Q$2=Q34,"Yellow",IF($Q$3=Q34,"Gold",IF(X34="Moved","White",IF(COUNTIF($R$55:$R$60,Q34)=1,IF($M$2=Setup!$AC$49,N34,"Green"),N34)))))</f>
        <v>Grey</v>
      </c>
      <c r="K34" t="str">
        <f t="shared" si="1"/>
        <v>Grey</v>
      </c>
      <c r="L34" t="str">
        <f>IF(COUNTIF(Setup!$AJ$18:$AJ$59,MapReference!Q34)=0,"","Grey")</f>
        <v/>
      </c>
      <c r="M34" t="str">
        <f>IF(Z34="Dead","Grey",IF(L34="Grey",IF(Q34=$Q$2,"White","Grey"),IF($Q$2=Q34,"Yellow",IF($Q$3=Q34,IF($S$2="Grey",N34,IF(COUNTIF(Setup!$AJ$18:$AJ$59,$Q$2)=1,N34,"Gold")),IF($O$54=1,IF(COUNTIF($S$55:$S$60,Q34)=1,IF(COUNTIF(Setup!$AJ$18:$AJ$59,$Q$2)=1,N34,"Green"),N34),IF($Q$2=$Q$3,IF(COUNTIF($S$55:$S$60,Q34)=1,IF(COUNTIF(Setup!$AJ$18:$AJ$59,$Q$2)=1,N34,"Green"),N34),N34))))))</f>
        <v>Grey</v>
      </c>
      <c r="N34" t="str">
        <f>IF(LEFT(S34,3)="PL1","Red",IF(LEFT(S34,3)="PL2","Blue",IF($I$2="Move",IF(COUNTIF($Q$55:$Q$60,Y34)=1,IF($M$2=Setup!$AC$48,"Green","Grey"),"Grey"),"Grey")))</f>
        <v>Grey</v>
      </c>
      <c r="O34" t="str">
        <f t="shared" si="0"/>
        <v>Grey</v>
      </c>
      <c r="P34" s="7"/>
      <c r="Q34" s="7" t="s">
        <v>848</v>
      </c>
      <c r="S34" s="162"/>
      <c r="T34">
        <f t="shared" si="2"/>
        <v>0</v>
      </c>
      <c r="U34">
        <f>IF($I$2="MapSetup",IF(COUNTIF(Setup!$R$8:$R$49,MapReference!S34)=1,"",S34),S34)</f>
        <v>0</v>
      </c>
      <c r="V34" s="162"/>
      <c r="W34">
        <f t="shared" si="3"/>
        <v>0</v>
      </c>
      <c r="X34" t="str">
        <f t="shared" si="4"/>
        <v>NotMoved</v>
      </c>
      <c r="Y34" s="7" t="str">
        <f>IF(S34="Dead",Q34,IF(S34="",Q34,VLOOKUP(S34,Reference!$E$3:$F$44,2,0)))</f>
        <v>Scandanavia</v>
      </c>
      <c r="Z34">
        <f>IF(COUNTIF(GameLog!R:R,S34&amp;"Death")=0,S34,"Dead")</f>
        <v>0</v>
      </c>
      <c r="AA34" s="161"/>
      <c r="AB34" s="162"/>
      <c r="AC34" t="str">
        <f>IF(COUNTIF(Drop!$M$1:$M$300,MapReference!Q34)=0,"Yes","No")</f>
        <v>Yes</v>
      </c>
      <c r="AD34" t="str">
        <f t="shared" si="5"/>
        <v/>
      </c>
      <c r="AH34" s="2" t="s">
        <v>848</v>
      </c>
      <c r="AI34" s="2"/>
    </row>
    <row r="35" spans="4:35" x14ac:dyDescent="0.25">
      <c r="D35" t="str">
        <f t="shared" si="6"/>
        <v>Unlocked</v>
      </c>
      <c r="E35" t="str">
        <f>IF(Setup!$AC$44="Battle","Locked",IF($I$4="Drop",IF($K$54="Yes","Locked",IF(AC35="Yes",IF($K$53="Yes",IF(O35="Gold","Unlocked","Locked"),"Unlocked"),"Locked")),IF($I$4="Move","Unlocked",IF($A$5="Attack",IF(Z35="Dead","Locked","Unlocked"),IF($A$5="Mapsetup",D35,"Locked")))))</f>
        <v>Locked</v>
      </c>
      <c r="G35" t="str">
        <f>IF(COUNTIF(Reference!$M$5:$M$46,MapReference!Q35)=1,"No","Yes")</f>
        <v>Yes</v>
      </c>
      <c r="J35" t="str">
        <f>IF(COUNTIF($U$55:$U$60,Q35)=1,IF($E$6="MoveOk",IF($Q$3=Q35,"Gold",IF(X35="Moved","White",N35)),IF($M$2=Setup!$AC$49,IF(X35="Moved","White",N35),IF($X$54="EnoughMove",IF(T35="Dead","Grey","Green"),IF(X35="Moved","White",IF(COUNTIF($U$55:$U$60,Q35)=1,"Green",N35))))),IF($Q$2=Q35,"Yellow",IF($Q$3=Q35,"Gold",IF(X35="Moved","White",IF(COUNTIF($R$55:$R$60,Q35)=1,IF($M$2=Setup!$AC$49,N35,"Green"),N35)))))</f>
        <v>Grey</v>
      </c>
      <c r="K35" t="str">
        <f t="shared" si="1"/>
        <v>Grey</v>
      </c>
      <c r="L35" t="str">
        <f>IF(COUNTIF(Setup!$AJ$18:$AJ$59,MapReference!Q35)=0,"","Grey")</f>
        <v/>
      </c>
      <c r="M35" t="str">
        <f>IF(Z35="Dead","Grey",IF(L35="Grey",IF(Q35=$Q$2,"White","Grey"),IF($Q$2=Q35,"Yellow",IF($Q$3=Q35,IF($S$2="Grey",N35,IF(COUNTIF(Setup!$AJ$18:$AJ$59,$Q$2)=1,N35,"Gold")),IF($O$54=1,IF(COUNTIF($S$55:$S$60,Q35)=1,IF(COUNTIF(Setup!$AJ$18:$AJ$59,$Q$2)=1,N35,"Green"),N35),IF($Q$2=$Q$3,IF(COUNTIF($S$55:$S$60,Q35)=1,IF(COUNTIF(Setup!$AJ$18:$AJ$59,$Q$2)=1,N35,"Green"),N35),N35))))))</f>
        <v>Grey</v>
      </c>
      <c r="N35" t="str">
        <f>IF(LEFT(S35,3)="PL1","Red",IF(LEFT(S35,3)="PL2","Blue",IF($I$2="Move",IF(COUNTIF($Q$55:$Q$60,Y35)=1,IF($M$2=Setup!$AC$48,"Green","Grey"),"Grey"),"Grey")))</f>
        <v>Grey</v>
      </c>
      <c r="O35" t="str">
        <f t="shared" ref="O35:O50" si="7">IF($I$4="Move",J35,IF($I$4="MapSetup",N35,IF($I$4="Attack",IF(G35="No","White",M35),IF($I$4="Setup",N35,IF($I$4="Drop",K35,"FIXModetype")))))</f>
        <v>Grey</v>
      </c>
      <c r="P35" s="7"/>
      <c r="Q35" s="7" t="s">
        <v>853</v>
      </c>
      <c r="S35" s="162"/>
      <c r="T35">
        <f t="shared" si="2"/>
        <v>0</v>
      </c>
      <c r="U35">
        <f>IF($I$2="MapSetup",IF(COUNTIF(Setup!$R$8:$R$49,MapReference!S35)=1,"",S35),S35)</f>
        <v>0</v>
      </c>
      <c r="V35" s="162"/>
      <c r="W35">
        <f t="shared" si="3"/>
        <v>0</v>
      </c>
      <c r="X35" t="str">
        <f t="shared" si="4"/>
        <v>NotMoved</v>
      </c>
      <c r="Y35" s="7" t="str">
        <f>IF(S35="Dead",Q35,IF(S35="",Q35,VLOOKUP(S35,Reference!$E$3:$F$44,2,0)))</f>
        <v>Southern Europe</v>
      </c>
      <c r="Z35">
        <f>IF(COUNTIF(GameLog!R:R,S35&amp;"Death")=0,S35,"Dead")</f>
        <v>0</v>
      </c>
      <c r="AA35" s="161"/>
      <c r="AB35" s="162"/>
      <c r="AC35" t="str">
        <f>IF(COUNTIF(Drop!$M$1:$M$300,MapReference!Q35)=0,"Yes","No")</f>
        <v>Yes</v>
      </c>
      <c r="AD35" t="str">
        <f t="shared" si="5"/>
        <v/>
      </c>
      <c r="AH35" s="2" t="s">
        <v>853</v>
      </c>
      <c r="AI35" s="2"/>
    </row>
    <row r="36" spans="4:35" x14ac:dyDescent="0.25">
      <c r="D36" t="str">
        <f t="shared" si="6"/>
        <v>Unlocked</v>
      </c>
      <c r="E36" t="str">
        <f>IF(Setup!$AC$44="Battle","Locked",IF($I$4="Drop",IF($K$54="Yes","Locked",IF(AC36="Yes",IF($K$53="Yes",IF(O36="Gold","Unlocked","Locked"),"Unlocked"),"Locked")),IF($I$4="Move","Unlocked",IF($A$5="Attack",IF(Z36="Dead","Locked","Unlocked"),IF($A$5="Mapsetup",D36,"Locked")))))</f>
        <v>Locked</v>
      </c>
      <c r="G36" t="str">
        <f>IF(COUNTIF(Reference!$M$5:$M$46,MapReference!Q36)=1,"No","Yes")</f>
        <v>Yes</v>
      </c>
      <c r="J36" t="str">
        <f>IF(COUNTIF($U$55:$U$60,Q36)=1,IF($E$6="MoveOk",IF($Q$3=Q36,"Gold",IF(X36="Moved","White",N36)),IF($M$2=Setup!$AC$49,IF(X36="Moved","White",N36),IF($X$54="EnoughMove",IF(T36="Dead","Grey","Green"),IF(X36="Moved","White",IF(COUNTIF($U$55:$U$60,Q36)=1,"Green",N36))))),IF($Q$2=Q36,"Yellow",IF($Q$3=Q36,"Gold",IF(X36="Moved","White",IF(COUNTIF($R$55:$R$60,Q36)=1,IF($M$2=Setup!$AC$49,N36,"Green"),N36)))))</f>
        <v>Grey</v>
      </c>
      <c r="K36" t="str">
        <f t="shared" si="1"/>
        <v>Grey</v>
      </c>
      <c r="L36" t="str">
        <f>IF(COUNTIF(Setup!$AJ$18:$AJ$59,MapReference!Q36)=0,"","Grey")</f>
        <v/>
      </c>
      <c r="M36" t="str">
        <f>IF(Z36="Dead","Grey",IF(L36="Grey",IF(Q36=$Q$2,"White","Grey"),IF($Q$2=Q36,"Yellow",IF($Q$3=Q36,IF($S$2="Grey",N36,IF(COUNTIF(Setup!$AJ$18:$AJ$59,$Q$2)=1,N36,"Gold")),IF($O$54=1,IF(COUNTIF($S$55:$S$60,Q36)=1,IF(COUNTIF(Setup!$AJ$18:$AJ$59,$Q$2)=1,N36,"Green"),N36),IF($Q$2=$Q$3,IF(COUNTIF($S$55:$S$60,Q36)=1,IF(COUNTIF(Setup!$AJ$18:$AJ$59,$Q$2)=1,N36,"Green"),N36),N36))))))</f>
        <v>Grey</v>
      </c>
      <c r="N36" t="str">
        <f>IF(LEFT(S36,3)="PL1","Red",IF(LEFT(S36,3)="PL2","Blue",IF($I$2="Move",IF(COUNTIF($Q$55:$Q$60,Y36)=1,IF($M$2=Setup!$AC$48,"Green","Grey"),"Grey"),"Grey")))</f>
        <v>Grey</v>
      </c>
      <c r="O36" t="str">
        <f t="shared" si="7"/>
        <v>Grey</v>
      </c>
      <c r="P36" s="7"/>
      <c r="Q36" s="7" t="s">
        <v>851</v>
      </c>
      <c r="S36" s="162"/>
      <c r="T36">
        <f t="shared" si="2"/>
        <v>0</v>
      </c>
      <c r="U36">
        <f>IF($I$2="MapSetup",IF(COUNTIF(Setup!$R$8:$R$49,MapReference!S36)=1,"",S36),S36)</f>
        <v>0</v>
      </c>
      <c r="V36" s="162"/>
      <c r="W36">
        <f t="shared" si="3"/>
        <v>0</v>
      </c>
      <c r="X36" t="str">
        <f t="shared" si="4"/>
        <v>NotMoved</v>
      </c>
      <c r="Y36" s="7" t="str">
        <f>IF(S36="Dead",Q36,IF(S36="",Q36,VLOOKUP(S36,Reference!$E$3:$F$44,2,0)))</f>
        <v>Ukraine</v>
      </c>
      <c r="Z36">
        <f>IF(COUNTIF(GameLog!R:R,S36&amp;"Death")=0,S36,"Dead")</f>
        <v>0</v>
      </c>
      <c r="AA36" s="161"/>
      <c r="AB36" s="162"/>
      <c r="AC36" t="str">
        <f>IF(COUNTIF(Drop!$M$1:$M$300,MapReference!Q36)=0,"Yes","No")</f>
        <v>Yes</v>
      </c>
      <c r="AD36" t="str">
        <f t="shared" si="5"/>
        <v/>
      </c>
      <c r="AH36" s="2" t="s">
        <v>851</v>
      </c>
      <c r="AI36" s="2"/>
    </row>
    <row r="37" spans="4:35" x14ac:dyDescent="0.25">
      <c r="D37" t="str">
        <f t="shared" si="6"/>
        <v>Unlocked</v>
      </c>
      <c r="E37" t="str">
        <f>IF(Setup!$AC$44="Battle","Locked",IF($I$4="Drop",IF($K$54="Yes","Locked",IF(AC37="Yes",IF($K$53="Yes",IF(O37="Gold","Unlocked","Locked"),"Unlocked"),"Locked")),IF($I$4="Move","Unlocked",IF($A$5="Attack",IF(Z37="Dead","Locked","Unlocked"),IF($A$5="Mapsetup",D37,"Locked")))))</f>
        <v>Locked</v>
      </c>
      <c r="G37" t="str">
        <f>IF(COUNTIF(Reference!$M$5:$M$46,MapReference!Q37)=1,"No","Yes")</f>
        <v>Yes</v>
      </c>
      <c r="J37" t="str">
        <f>IF(COUNTIF($U$55:$U$60,Q37)=1,IF($E$6="MoveOk",IF($Q$3=Q37,"Gold",IF(X37="Moved","White",N37)),IF($M$2=Setup!$AC$49,IF(X37="Moved","White",N37),IF($X$54="EnoughMove",IF(T37="Dead","Grey","Green"),IF(X37="Moved","White",IF(COUNTIF($U$55:$U$60,Q37)=1,"Green",N37))))),IF($Q$2=Q37,"Yellow",IF($Q$3=Q37,"Gold",IF(X37="Moved","White",IF(COUNTIF($R$55:$R$60,Q37)=1,IF($M$2=Setup!$AC$49,N37,"Green"),N37)))))</f>
        <v>Grey</v>
      </c>
      <c r="K37" t="str">
        <f t="shared" si="1"/>
        <v>Grey</v>
      </c>
      <c r="L37" t="str">
        <f>IF(COUNTIF(Setup!$AJ$18:$AJ$59,MapReference!Q37)=0,"","Grey")</f>
        <v/>
      </c>
      <c r="M37" t="str">
        <f>IF(Z37="Dead","Grey",IF(L37="Grey",IF(Q37=$Q$2,"White","Grey"),IF($Q$2=Q37,"Yellow",IF($Q$3=Q37,IF($S$2="Grey",N37,IF(COUNTIF(Setup!$AJ$18:$AJ$59,$Q$2)=1,N37,"Gold")),IF($O$54=1,IF(COUNTIF($S$55:$S$60,Q37)=1,IF(COUNTIF(Setup!$AJ$18:$AJ$59,$Q$2)=1,N37,"Green"),N37),IF($Q$2=$Q$3,IF(COUNTIF($S$55:$S$60,Q37)=1,IF(COUNTIF(Setup!$AJ$18:$AJ$59,$Q$2)=1,N37,"Green"),N37),N37))))))</f>
        <v>Grey</v>
      </c>
      <c r="N37" t="str">
        <f>IF(LEFT(S37,3)="PL1","Red",IF(LEFT(S37,3)="PL2","Blue",IF($I$2="Move",IF(COUNTIF($Q$55:$Q$60,Y37)=1,IF($M$2=Setup!$AC$48,"Green","Grey"),"Grey"),"Grey")))</f>
        <v>Grey</v>
      </c>
      <c r="O37" t="str">
        <f t="shared" si="7"/>
        <v>Grey</v>
      </c>
      <c r="P37" s="7"/>
      <c r="Q37" s="7" t="s">
        <v>852</v>
      </c>
      <c r="S37" s="162"/>
      <c r="T37">
        <f t="shared" si="2"/>
        <v>0</v>
      </c>
      <c r="U37">
        <f>IF($I$2="MapSetup",IF(COUNTIF(Setup!$R$8:$R$49,MapReference!S37)=1,"",S37),S37)</f>
        <v>0</v>
      </c>
      <c r="V37" s="162"/>
      <c r="W37">
        <f t="shared" si="3"/>
        <v>0</v>
      </c>
      <c r="X37" t="str">
        <f t="shared" si="4"/>
        <v>NotMoved</v>
      </c>
      <c r="Y37" s="7" t="str">
        <f>IF(S37="Dead",Q37,IF(S37="",Q37,VLOOKUP(S37,Reference!$E$3:$F$44,2,0)))</f>
        <v>Western Europe</v>
      </c>
      <c r="Z37">
        <f>IF(COUNTIF(GameLog!R:R,S37&amp;"Death")=0,S37,"Dead")</f>
        <v>0</v>
      </c>
      <c r="AA37" s="161"/>
      <c r="AB37" s="162"/>
      <c r="AC37" t="str">
        <f>IF(COUNTIF(Drop!$M$1:$M$300,MapReference!Q37)=0,"Yes","No")</f>
        <v>Yes</v>
      </c>
      <c r="AD37" t="str">
        <f t="shared" si="5"/>
        <v/>
      </c>
      <c r="AH37" s="2" t="s">
        <v>852</v>
      </c>
      <c r="AI37" s="2"/>
    </row>
    <row r="38" spans="4:35" x14ac:dyDescent="0.25">
      <c r="D38" t="str">
        <f t="shared" si="6"/>
        <v>Unlocked</v>
      </c>
      <c r="E38" t="str">
        <f>IF(Setup!$AC$44="Battle","Locked",IF($I$4="Drop",IF($K$54="Yes","Locked",IF(AC38="Yes",IF($K$53="Yes",IF(O38="Gold","Unlocked","Locked"),"Unlocked"),"Locked")),IF($I$4="Move","Unlocked",IF($A$5="Attack",IF(Z38="Dead","Locked","Unlocked"),IF($A$5="Mapsetup",D38,"Locked")))))</f>
        <v>Locked</v>
      </c>
      <c r="G38" t="str">
        <f>IF(COUNTIF(Reference!$M$5:$M$46,MapReference!Q38)=1,"No","Yes")</f>
        <v>Yes</v>
      </c>
      <c r="J38" t="str">
        <f>IF(COUNTIF($U$55:$U$60,Q38)=1,IF($E$6="MoveOk",IF($Q$3=Q38,"Gold",IF(X38="Moved","White",N38)),IF($M$2=Setup!$AC$49,IF(X38="Moved","White",N38),IF($X$54="EnoughMove",IF(T38="Dead","Grey","Green"),IF(X38="Moved","White",IF(COUNTIF($U$55:$U$60,Q38)=1,"Green",N38))))),IF($Q$2=Q38,"Yellow",IF($Q$3=Q38,"Gold",IF(X38="Moved","White",IF(COUNTIF($R$55:$R$60,Q38)=1,IF($M$2=Setup!$AC$49,N38,"Green"),N38)))))</f>
        <v>Grey</v>
      </c>
      <c r="K38" t="str">
        <f t="shared" si="1"/>
        <v>Grey</v>
      </c>
      <c r="L38" t="str">
        <f>IF(COUNTIF(Setup!$AJ$18:$AJ$59,MapReference!Q38)=0,"","Grey")</f>
        <v/>
      </c>
      <c r="M38" t="str">
        <f>IF(Z38="Dead","Grey",IF(L38="Grey",IF(Q38=$Q$2,"White","Grey"),IF($Q$2=Q38,"Yellow",IF($Q$3=Q38,IF($S$2="Grey",N38,IF(COUNTIF(Setup!$AJ$18:$AJ$59,$Q$2)=1,N38,"Gold")),IF($O$54=1,IF(COUNTIF($S$55:$S$60,Q38)=1,IF(COUNTIF(Setup!$AJ$18:$AJ$59,$Q$2)=1,N38,"Green"),N38),IF($Q$2=$Q$3,IF(COUNTIF($S$55:$S$60,Q38)=1,IF(COUNTIF(Setup!$AJ$18:$AJ$59,$Q$2)=1,N38,"Green"),N38),N38))))))</f>
        <v>Grey</v>
      </c>
      <c r="N38" t="str">
        <f>IF(LEFT(S38,3)="PL1","Red",IF(LEFT(S38,3)="PL2","Blue",IF($I$2="Move",IF(COUNTIF($Q$55:$Q$60,Y38)=1,IF($M$2=Setup!$AC$48,"Green","Grey"),"Grey"),"Grey")))</f>
        <v>Grey</v>
      </c>
      <c r="O38" t="str">
        <f t="shared" si="7"/>
        <v>Grey</v>
      </c>
      <c r="P38" s="7"/>
      <c r="Q38" s="7" t="s">
        <v>854</v>
      </c>
      <c r="S38" s="162"/>
      <c r="T38">
        <f t="shared" si="2"/>
        <v>0</v>
      </c>
      <c r="U38">
        <f>IF($I$2="MapSetup",IF(COUNTIF(Setup!$R$8:$R$49,MapReference!S38)=1,"",S38),S38)</f>
        <v>0</v>
      </c>
      <c r="V38" s="162"/>
      <c r="W38">
        <f t="shared" si="3"/>
        <v>0</v>
      </c>
      <c r="X38" t="str">
        <f t="shared" si="4"/>
        <v>NotMoved</v>
      </c>
      <c r="Y38" s="7" t="str">
        <f>IF(S38="Dead",Q38,IF(S38="",Q38,VLOOKUP(S38,Reference!$E$3:$F$44,2,0)))</f>
        <v>Alaska</v>
      </c>
      <c r="Z38">
        <f>IF(COUNTIF(GameLog!R:R,S38&amp;"Death")=0,S38,"Dead")</f>
        <v>0</v>
      </c>
      <c r="AA38" s="161"/>
      <c r="AB38" s="162"/>
      <c r="AC38" t="str">
        <f>IF(COUNTIF(Drop!$M$1:$M$300,MapReference!Q38)=0,"Yes","No")</f>
        <v>Yes</v>
      </c>
      <c r="AD38" t="str">
        <f t="shared" si="5"/>
        <v/>
      </c>
      <c r="AH38" s="2" t="s">
        <v>854</v>
      </c>
      <c r="AI38" s="2"/>
    </row>
    <row r="39" spans="4:35" x14ac:dyDescent="0.25">
      <c r="D39" t="str">
        <f t="shared" si="6"/>
        <v>Unlocked</v>
      </c>
      <c r="E39" t="str">
        <f>IF(Setup!$AC$44="Battle","Locked",IF($I$4="Drop",IF($K$54="Yes","Locked",IF(AC39="Yes",IF($K$53="Yes",IF(O39="Gold","Unlocked","Locked"),"Unlocked"),"Locked")),IF($I$4="Move","Unlocked",IF($A$5="Attack",IF(Z39="Dead","Locked","Unlocked"),IF($A$5="Mapsetup",D39,"Locked")))))</f>
        <v>Locked</v>
      </c>
      <c r="G39" t="str">
        <f>IF(COUNTIF(Reference!$M$5:$M$46,MapReference!Q39)=1,"No","Yes")</f>
        <v>Yes</v>
      </c>
      <c r="J39" t="str">
        <f>IF(COUNTIF($U$55:$U$60,Q39)=1,IF($E$6="MoveOk",IF($Q$3=Q39,"Gold",IF(X39="Moved","White",N39)),IF($M$2=Setup!$AC$49,IF(X39="Moved","White",N39),IF($X$54="EnoughMove",IF(T39="Dead","Grey","Green"),IF(X39="Moved","White",IF(COUNTIF($U$55:$U$60,Q39)=1,"Green",N39))))),IF($Q$2=Q39,"Yellow",IF($Q$3=Q39,"Gold",IF(X39="Moved","White",IF(COUNTIF($R$55:$R$60,Q39)=1,IF($M$2=Setup!$AC$49,N39,"Green"),N39)))))</f>
        <v>Grey</v>
      </c>
      <c r="K39" t="str">
        <f t="shared" si="1"/>
        <v>Grey</v>
      </c>
      <c r="L39" t="str">
        <f>IF(COUNTIF(Setup!$AJ$18:$AJ$59,MapReference!Q39)=0,"","Grey")</f>
        <v/>
      </c>
      <c r="M39" t="str">
        <f>IF(Z39="Dead","Grey",IF(L39="Grey",IF(Q39=$Q$2,"White","Grey"),IF($Q$2=Q39,"Yellow",IF($Q$3=Q39,IF($S$2="Grey",N39,IF(COUNTIF(Setup!$AJ$18:$AJ$59,$Q$2)=1,N39,"Gold")),IF($O$54=1,IF(COUNTIF($S$55:$S$60,Q39)=1,IF(COUNTIF(Setup!$AJ$18:$AJ$59,$Q$2)=1,N39,"Green"),N39),IF($Q$2=$Q$3,IF(COUNTIF($S$55:$S$60,Q39)=1,IF(COUNTIF(Setup!$AJ$18:$AJ$59,$Q$2)=1,N39,"Green"),N39),N39))))))</f>
        <v>Grey</v>
      </c>
      <c r="N39" t="str">
        <f>IF(LEFT(S39,3)="PL1","Red",IF(LEFT(S39,3)="PL2","Blue",IF($I$2="Move",IF(COUNTIF($Q$55:$Q$60,Y39)=1,IF($M$2=Setup!$AC$48,"Green","Grey"),"Grey"),"Grey")))</f>
        <v>Grey</v>
      </c>
      <c r="O39" t="str">
        <f t="shared" si="7"/>
        <v>Grey</v>
      </c>
      <c r="P39" s="7"/>
      <c r="Q39" s="7" t="s">
        <v>857</v>
      </c>
      <c r="S39" s="162"/>
      <c r="T39">
        <f t="shared" si="2"/>
        <v>0</v>
      </c>
      <c r="U39">
        <f>IF($I$2="MapSetup",IF(COUNTIF(Setup!$R$8:$R$49,MapReference!S39)=1,"",S39),S39)</f>
        <v>0</v>
      </c>
      <c r="V39" s="162"/>
      <c r="W39">
        <f t="shared" si="3"/>
        <v>0</v>
      </c>
      <c r="X39" t="str">
        <f t="shared" si="4"/>
        <v>NotMoved</v>
      </c>
      <c r="Y39" s="7" t="str">
        <f>IF(S39="Dead",Q39,IF(S39="",Q39,VLOOKUP(S39,Reference!$E$3:$F$44,2,0)))</f>
        <v>Alberta</v>
      </c>
      <c r="Z39">
        <f>IF(COUNTIF(GameLog!R:R,S39&amp;"Death")=0,S39,"Dead")</f>
        <v>0</v>
      </c>
      <c r="AA39" s="161"/>
      <c r="AB39" s="162"/>
      <c r="AC39" t="str">
        <f>IF(COUNTIF(Drop!$M$1:$M$300,MapReference!Q39)=0,"Yes","No")</f>
        <v>Yes</v>
      </c>
      <c r="AD39" t="str">
        <f t="shared" si="5"/>
        <v/>
      </c>
      <c r="AH39" s="2" t="s">
        <v>857</v>
      </c>
      <c r="AI39" s="2"/>
    </row>
    <row r="40" spans="4:35" x14ac:dyDescent="0.25">
      <c r="D40" t="str">
        <f t="shared" si="6"/>
        <v>Unlocked</v>
      </c>
      <c r="E40" t="str">
        <f>IF(Setup!$AC$44="Battle","Locked",IF($I$4="Drop",IF($K$54="Yes","Locked",IF(AC40="Yes",IF($K$53="Yes",IF(O40="Gold","Unlocked","Locked"),"Unlocked"),"Locked")),IF($I$4="Move","Unlocked",IF($A$5="Attack",IF(Z40="Dead","Locked","Unlocked"),IF($A$5="Mapsetup",D40,"Locked")))))</f>
        <v>Locked</v>
      </c>
      <c r="G40" t="str">
        <f>IF(COUNTIF(Reference!$M$5:$M$46,MapReference!Q40)=1,"No","Yes")</f>
        <v>Yes</v>
      </c>
      <c r="J40" t="str">
        <f>IF(COUNTIF($U$55:$U$60,Q40)=1,IF($E$6="MoveOk",IF($Q$3=Q40,"Gold",IF(X40="Moved","White",N40)),IF($M$2=Setup!$AC$49,IF(X40="Moved","White",N40),IF($X$54="EnoughMove",IF(T40="Dead","Grey","Green"),IF(X40="Moved","White",IF(COUNTIF($U$55:$U$60,Q40)=1,"Green",N40))))),IF($Q$2=Q40,"Yellow",IF($Q$3=Q40,"Gold",IF(X40="Moved","White",IF(COUNTIF($R$55:$R$60,Q40)=1,IF($M$2=Setup!$AC$49,N40,"Green"),N40)))))</f>
        <v>Grey</v>
      </c>
      <c r="K40" t="str">
        <f t="shared" si="1"/>
        <v>Grey</v>
      </c>
      <c r="L40" t="str">
        <f>IF(COUNTIF(Setup!$AJ$18:$AJ$59,MapReference!Q40)=0,"","Grey")</f>
        <v/>
      </c>
      <c r="M40" t="str">
        <f>IF(Z40="Dead","Grey",IF(L40="Grey",IF(Q40=$Q$2,"White","Grey"),IF($Q$2=Q40,"Yellow",IF($Q$3=Q40,IF($S$2="Grey",N40,IF(COUNTIF(Setup!$AJ$18:$AJ$59,$Q$2)=1,N40,"Gold")),IF($O$54=1,IF(COUNTIF($S$55:$S$60,Q40)=1,IF(COUNTIF(Setup!$AJ$18:$AJ$59,$Q$2)=1,N40,"Green"),N40),IF($Q$2=$Q$3,IF(COUNTIF($S$55:$S$60,Q40)=1,IF(COUNTIF(Setup!$AJ$18:$AJ$59,$Q$2)=1,N40,"Green"),N40),N40))))))</f>
        <v>Grey</v>
      </c>
      <c r="N40" t="str">
        <f>IF(LEFT(S40,3)="PL1","Red",IF(LEFT(S40,3)="PL2","Blue",IF($I$2="Move",IF(COUNTIF($Q$55:$Q$60,Y40)=1,IF($M$2=Setup!$AC$48,"Green","Grey"),"Grey"),"Grey")))</f>
        <v>Grey</v>
      </c>
      <c r="O40" t="str">
        <f t="shared" si="7"/>
        <v>Grey</v>
      </c>
      <c r="P40" s="7"/>
      <c r="Q40" s="7" t="s">
        <v>862</v>
      </c>
      <c r="S40" s="162"/>
      <c r="T40">
        <f t="shared" si="2"/>
        <v>0</v>
      </c>
      <c r="U40">
        <f>IF($I$2="MapSetup",IF(COUNTIF(Setup!$R$8:$R$49,MapReference!S40)=1,"",S40),S40)</f>
        <v>0</v>
      </c>
      <c r="V40" s="162"/>
      <c r="W40">
        <f t="shared" si="3"/>
        <v>0</v>
      </c>
      <c r="X40" t="str">
        <f t="shared" si="4"/>
        <v>NotMoved</v>
      </c>
      <c r="Y40" s="7" t="str">
        <f>IF(S40="Dead",Q40,IF(S40="",Q40,VLOOKUP(S40,Reference!$E$3:$F$44,2,0)))</f>
        <v>Central America</v>
      </c>
      <c r="Z40">
        <f>IF(COUNTIF(GameLog!R:R,S40&amp;"Death")=0,S40,"Dead")</f>
        <v>0</v>
      </c>
      <c r="AA40" s="161"/>
      <c r="AB40" s="162"/>
      <c r="AC40" t="str">
        <f>IF(COUNTIF(Drop!$M$1:$M$300,MapReference!Q40)=0,"Yes","No")</f>
        <v>Yes</v>
      </c>
      <c r="AD40" t="str">
        <f t="shared" si="5"/>
        <v/>
      </c>
      <c r="AH40" s="2" t="s">
        <v>862</v>
      </c>
      <c r="AI40" s="2"/>
    </row>
    <row r="41" spans="4:35" x14ac:dyDescent="0.25">
      <c r="D41" t="str">
        <f t="shared" si="6"/>
        <v>Unlocked</v>
      </c>
      <c r="E41" t="str">
        <f>IF(Setup!$AC$44="Battle","Locked",IF($I$4="Drop",IF($K$54="Yes","Locked",IF(AC41="Yes",IF($K$53="Yes",IF(O41="Gold","Unlocked","Locked"),"Unlocked"),"Locked")),IF($I$4="Move","Unlocked",IF($A$5="Attack",IF(Z41="Dead","Locked","Unlocked"),IF($A$5="Mapsetup",D41,"Locked")))))</f>
        <v>Locked</v>
      </c>
      <c r="G41" t="str">
        <f>IF(COUNTIF(Reference!$M$5:$M$46,MapReference!Q41)=1,"No","Yes")</f>
        <v>Yes</v>
      </c>
      <c r="J41" t="str">
        <f>IF(COUNTIF($U$55:$U$60,Q41)=1,IF($E$6="MoveOk",IF($Q$3=Q41,"Gold",IF(X41="Moved","White",N41)),IF($M$2=Setup!$AC$49,IF(X41="Moved","White",N41),IF($X$54="EnoughMove",IF(T41="Dead","Grey","Green"),IF(X41="Moved","White",IF(COUNTIF($U$55:$U$60,Q41)=1,"Green",N41))))),IF($Q$2=Q41,"Yellow",IF($Q$3=Q41,"Gold",IF(X41="Moved","White",IF(COUNTIF($R$55:$R$60,Q41)=1,IF($M$2=Setup!$AC$49,N41,"Green"),N41)))))</f>
        <v>Grey</v>
      </c>
      <c r="K41" t="str">
        <f t="shared" si="1"/>
        <v>Grey</v>
      </c>
      <c r="L41" t="str">
        <f>IF(COUNTIF(Setup!$AJ$18:$AJ$59,MapReference!Q41)=0,"","Grey")</f>
        <v/>
      </c>
      <c r="M41" t="str">
        <f>IF(Z41="Dead","Grey",IF(L41="Grey",IF(Q41=$Q$2,"White","Grey"),IF($Q$2=Q41,"Yellow",IF($Q$3=Q41,IF($S$2="Grey",N41,IF(COUNTIF(Setup!$AJ$18:$AJ$59,$Q$2)=1,N41,"Gold")),IF($O$54=1,IF(COUNTIF($S$55:$S$60,Q41)=1,IF(COUNTIF(Setup!$AJ$18:$AJ$59,$Q$2)=1,N41,"Green"),N41),IF($Q$2=$Q$3,IF(COUNTIF($S$55:$S$60,Q41)=1,IF(COUNTIF(Setup!$AJ$18:$AJ$59,$Q$2)=1,N41,"Green"),N41),N41))))))</f>
        <v>Grey</v>
      </c>
      <c r="N41" t="str">
        <f>IF(LEFT(S41,3)="PL1","Red",IF(LEFT(S41,3)="PL2","Blue",IF($I$2="Move",IF(COUNTIF($Q$55:$Q$60,Y41)=1,IF($M$2=Setup!$AC$48,"Green","Grey"),"Grey"),"Grey")))</f>
        <v>Grey</v>
      </c>
      <c r="O41" t="str">
        <f t="shared" si="7"/>
        <v>Grey</v>
      </c>
      <c r="P41" s="7"/>
      <c r="Q41" s="7" t="s">
        <v>861</v>
      </c>
      <c r="S41" s="162"/>
      <c r="T41">
        <f t="shared" si="2"/>
        <v>0</v>
      </c>
      <c r="U41">
        <f>IF($I$2="MapSetup",IF(COUNTIF(Setup!$R$8:$R$49,MapReference!S41)=1,"",S41),S41)</f>
        <v>0</v>
      </c>
      <c r="V41" s="162"/>
      <c r="W41">
        <f t="shared" si="3"/>
        <v>0</v>
      </c>
      <c r="X41" t="str">
        <f t="shared" si="4"/>
        <v>NotMoved</v>
      </c>
      <c r="Y41" s="7" t="str">
        <f>IF(S41="Dead",Q41,IF(S41="",Q41,VLOOKUP(S41,Reference!$E$3:$F$44,2,0)))</f>
        <v>Eastern USA</v>
      </c>
      <c r="Z41">
        <f>IF(COUNTIF(GameLog!R:R,S41&amp;"Death")=0,S41,"Dead")</f>
        <v>0</v>
      </c>
      <c r="AA41" s="161"/>
      <c r="AB41" s="162"/>
      <c r="AC41" t="str">
        <f>IF(COUNTIF(Drop!$M$1:$M$300,MapReference!Q41)=0,"Yes","No")</f>
        <v>Yes</v>
      </c>
      <c r="AD41" t="str">
        <f t="shared" si="5"/>
        <v/>
      </c>
      <c r="AH41" s="2" t="s">
        <v>861</v>
      </c>
      <c r="AI41" s="2"/>
    </row>
    <row r="42" spans="4:35" x14ac:dyDescent="0.25">
      <c r="D42" t="str">
        <f t="shared" si="6"/>
        <v>Unlocked</v>
      </c>
      <c r="E42" t="str">
        <f>IF(Setup!$AC$44="Battle","Locked",IF($I$4="Drop",IF($K$54="Yes","Locked",IF(AC42="Yes",IF($K$53="Yes",IF(O42="Gold","Unlocked","Locked"),"Unlocked"),"Locked")),IF($I$4="Move","Unlocked",IF($A$5="Attack",IF(Z42="Dead","Locked","Unlocked"),IF($A$5="Mapsetup",D42,"Locked")))))</f>
        <v>Locked</v>
      </c>
      <c r="G42" t="str">
        <f>IF(COUNTIF(Reference!$M$5:$M$46,MapReference!Q42)=1,"No","Yes")</f>
        <v>Yes</v>
      </c>
      <c r="J42" t="str">
        <f>IF(COUNTIF($U$55:$U$60,Q42)=1,IF($E$6="MoveOk",IF($Q$3=Q42,"Gold",IF(X42="Moved","White",N42)),IF($M$2=Setup!$AC$49,IF(X42="Moved","White",N42),IF($X$54="EnoughMove",IF(T42="Dead","Grey","Green"),IF(X42="Moved","White",IF(COUNTIF($U$55:$U$60,Q42)=1,"Green",N42))))),IF($Q$2=Q42,"Yellow",IF($Q$3=Q42,"Gold",IF(X42="Moved","White",IF(COUNTIF($R$55:$R$60,Q42)=1,IF($M$2=Setup!$AC$49,N42,"Green"),N42)))))</f>
        <v>Grey</v>
      </c>
      <c r="K42" t="str">
        <f t="shared" si="1"/>
        <v>Grey</v>
      </c>
      <c r="L42" t="str">
        <f>IF(COUNTIF(Setup!$AJ$18:$AJ$59,MapReference!Q42)=0,"","Grey")</f>
        <v/>
      </c>
      <c r="M42" t="str">
        <f>IF(Z42="Dead","Grey",IF(L42="Grey",IF(Q42=$Q$2,"White","Grey"),IF($Q$2=Q42,"Yellow",IF($Q$3=Q42,IF($S$2="Grey",N42,IF(COUNTIF(Setup!$AJ$18:$AJ$59,$Q$2)=1,N42,"Gold")),IF($O$54=1,IF(COUNTIF($S$55:$S$60,Q42)=1,IF(COUNTIF(Setup!$AJ$18:$AJ$59,$Q$2)=1,N42,"Green"),N42),IF($Q$2=$Q$3,IF(COUNTIF($S$55:$S$60,Q42)=1,IF(COUNTIF(Setup!$AJ$18:$AJ$59,$Q$2)=1,N42,"Green"),N42),N42))))))</f>
        <v>Grey</v>
      </c>
      <c r="N42" t="str">
        <f>IF(LEFT(S42,3)="PL1","Red",IF(LEFT(S42,3)="PL2","Blue",IF($I$2="Move",IF(COUNTIF($Q$55:$Q$60,Y42)=1,IF($M$2=Setup!$AC$48,"Green","Grey"),"Grey"),"Grey")))</f>
        <v>Grey</v>
      </c>
      <c r="O42" t="str">
        <f t="shared" si="7"/>
        <v>Grey</v>
      </c>
      <c r="P42" s="7"/>
      <c r="Q42" s="7" t="s">
        <v>856</v>
      </c>
      <c r="S42" s="162"/>
      <c r="T42">
        <f t="shared" si="2"/>
        <v>0</v>
      </c>
      <c r="U42">
        <f>IF($I$2="MapSetup",IF(COUNTIF(Setup!$R$8:$R$49,MapReference!S42)=1,"",S42),S42)</f>
        <v>0</v>
      </c>
      <c r="V42" s="162"/>
      <c r="W42">
        <f t="shared" si="3"/>
        <v>0</v>
      </c>
      <c r="X42" t="str">
        <f t="shared" si="4"/>
        <v>NotMoved</v>
      </c>
      <c r="Y42" s="7" t="str">
        <f>IF(S42="Dead",Q42,IF(S42="",Q42,VLOOKUP(S42,Reference!$E$3:$F$44,2,0)))</f>
        <v>Greenland</v>
      </c>
      <c r="Z42">
        <f>IF(COUNTIF(GameLog!R:R,S42&amp;"Death")=0,S42,"Dead")</f>
        <v>0</v>
      </c>
      <c r="AA42" s="161"/>
      <c r="AB42" s="162"/>
      <c r="AC42" t="str">
        <f>IF(COUNTIF(Drop!$M$1:$M$300,MapReference!Q42)=0,"Yes","No")</f>
        <v>Yes</v>
      </c>
      <c r="AD42" t="str">
        <f t="shared" si="5"/>
        <v/>
      </c>
      <c r="AH42" s="2" t="s">
        <v>856</v>
      </c>
      <c r="AI42" s="2"/>
    </row>
    <row r="43" spans="4:35" x14ac:dyDescent="0.25">
      <c r="D43" t="str">
        <f t="shared" si="6"/>
        <v>Unlocked</v>
      </c>
      <c r="E43" t="str">
        <f>IF(Setup!$AC$44="Battle","Locked",IF($I$4="Drop",IF($K$54="Yes","Locked",IF(AC43="Yes",IF($K$53="Yes",IF(O43="Gold","Unlocked","Locked"),"Unlocked"),"Locked")),IF($I$4="Move","Unlocked",IF($A$5="Attack",IF(Z43="Dead","Locked","Unlocked"),IF($A$5="Mapsetup",D43,"Locked")))))</f>
        <v>Locked</v>
      </c>
      <c r="G43" t="str">
        <f>IF(COUNTIF(Reference!$M$5:$M$46,MapReference!Q43)=1,"No","Yes")</f>
        <v>Yes</v>
      </c>
      <c r="J43" t="str">
        <f>IF(COUNTIF($U$55:$U$60,Q43)=1,IF($E$6="MoveOk",IF($Q$3=Q43,"Gold",IF(X43="Moved","White",N43)),IF($M$2=Setup!$AC$49,IF(X43="Moved","White",N43),IF($X$54="EnoughMove",IF(T43="Dead","Grey","Green"),IF(X43="Moved","White",IF(COUNTIF($U$55:$U$60,Q43)=1,"Green",N43))))),IF($Q$2=Q43,"Yellow",IF($Q$3=Q43,"Gold",IF(X43="Moved","White",IF(COUNTIF($R$55:$R$60,Q43)=1,IF($M$2=Setup!$AC$49,N43,"Green"),N43)))))</f>
        <v>Grey</v>
      </c>
      <c r="K43" t="str">
        <f t="shared" si="1"/>
        <v>Grey</v>
      </c>
      <c r="L43" t="str">
        <f>IF(COUNTIF(Setup!$AJ$18:$AJ$59,MapReference!Q43)=0,"","Grey")</f>
        <v/>
      </c>
      <c r="M43" t="str">
        <f>IF(Z43="Dead","Grey",IF(L43="Grey",IF(Q43=$Q$2,"White","Grey"),IF($Q$2=Q43,"Yellow",IF($Q$3=Q43,IF($S$2="Grey",N43,IF(COUNTIF(Setup!$AJ$18:$AJ$59,$Q$2)=1,N43,"Gold")),IF($O$54=1,IF(COUNTIF($S$55:$S$60,Q43)=1,IF(COUNTIF(Setup!$AJ$18:$AJ$59,$Q$2)=1,N43,"Green"),N43),IF($Q$2=$Q$3,IF(COUNTIF($S$55:$S$60,Q43)=1,IF(COUNTIF(Setup!$AJ$18:$AJ$59,$Q$2)=1,N43,"Green"),N43),N43))))))</f>
        <v>Grey</v>
      </c>
      <c r="N43" t="str">
        <f>IF(LEFT(S43,3)="PL1","Red",IF(LEFT(S43,3)="PL2","Blue",IF($I$2="Move",IF(COUNTIF($Q$55:$Q$60,Y43)=1,IF($M$2=Setup!$AC$48,"Green","Grey"),"Grey"),"Grey")))</f>
        <v>Grey</v>
      </c>
      <c r="O43" t="str">
        <f t="shared" si="7"/>
        <v>Grey</v>
      </c>
      <c r="P43" s="7"/>
      <c r="Q43" s="7" t="s">
        <v>855</v>
      </c>
      <c r="S43" s="162"/>
      <c r="T43">
        <f t="shared" si="2"/>
        <v>0</v>
      </c>
      <c r="U43">
        <f>IF($I$2="MapSetup",IF(COUNTIF(Setup!$R$8:$R$49,MapReference!S43)=1,"",S43),S43)</f>
        <v>0</v>
      </c>
      <c r="V43" s="162"/>
      <c r="W43">
        <f t="shared" si="3"/>
        <v>0</v>
      </c>
      <c r="X43" t="str">
        <f t="shared" si="4"/>
        <v>NotMoved</v>
      </c>
      <c r="Y43" s="7" t="str">
        <f>IF(S43="Dead",Q43,IF(S43="",Q43,VLOOKUP(S43,Reference!$E$3:$F$44,2,0)))</f>
        <v>Northwest Territory</v>
      </c>
      <c r="Z43">
        <f>IF(COUNTIF(GameLog!R:R,S43&amp;"Death")=0,S43,"Dead")</f>
        <v>0</v>
      </c>
      <c r="AA43" s="161"/>
      <c r="AB43" s="162"/>
      <c r="AC43" t="str">
        <f>IF(COUNTIF(Drop!$M$1:$M$300,MapReference!Q43)=0,"Yes","No")</f>
        <v>Yes</v>
      </c>
      <c r="AD43" t="str">
        <f t="shared" si="5"/>
        <v/>
      </c>
      <c r="AH43" s="2" t="s">
        <v>855</v>
      </c>
      <c r="AI43" s="2"/>
    </row>
    <row r="44" spans="4:35" x14ac:dyDescent="0.25">
      <c r="D44" t="str">
        <f t="shared" si="6"/>
        <v>Unlocked</v>
      </c>
      <c r="E44" t="str">
        <f>IF(Setup!$AC$44="Battle","Locked",IF($I$4="Drop",IF($K$54="Yes","Locked",IF(AC44="Yes",IF($K$53="Yes",IF(O44="Gold","Unlocked","Locked"),"Unlocked"),"Locked")),IF($I$4="Move","Unlocked",IF($A$5="Attack",IF(Z44="Dead","Locked","Unlocked"),IF($A$5="Mapsetup",D44,"Locked")))))</f>
        <v>Locked</v>
      </c>
      <c r="G44" t="str">
        <f>IF(COUNTIF(Reference!$M$5:$M$46,MapReference!Q44)=1,"No","Yes")</f>
        <v>Yes</v>
      </c>
      <c r="J44" t="str">
        <f>IF(COUNTIF($U$55:$U$60,Q44)=1,IF($E$6="MoveOk",IF($Q$3=Q44,"Gold",IF(X44="Moved","White",N44)),IF($M$2=Setup!$AC$49,IF(X44="Moved","White",N44),IF($X$54="EnoughMove",IF(T44="Dead","Grey","Green"),IF(X44="Moved","White",IF(COUNTIF($U$55:$U$60,Q44)=1,"Green",N44))))),IF($Q$2=Q44,"Yellow",IF($Q$3=Q44,"Gold",IF(X44="Moved","White",IF(COUNTIF($R$55:$R$60,Q44)=1,IF($M$2=Setup!$AC$49,N44,"Green"),N44)))))</f>
        <v>Grey</v>
      </c>
      <c r="K44" t="str">
        <f>IF($Q$2=Q44,IF(U44="Dead","White","Yellow"),IF(Q44=$K$52,"Gold",IF(COUNTIF($Q$55:$Q$60,Q44)=1,IF(U44="Dead",IF(AC44="No","Black","Grey"),"Green"),IF(AC44="No","Black",N44))))</f>
        <v>Grey</v>
      </c>
      <c r="L44" t="str">
        <f>IF(COUNTIF(Setup!$AJ$18:$AJ$59,MapReference!Q44)=0,"","Grey")</f>
        <v/>
      </c>
      <c r="M44" t="str">
        <f>IF(Z44="Dead","Grey",IF(L44="Grey",IF(Q44=$Q$2,"White","Grey"),IF($Q$2=Q44,"Yellow",IF($Q$3=Q44,IF($S$2="Grey",N44,IF(COUNTIF(Setup!$AJ$18:$AJ$59,$Q$2)=1,N44,"Gold")),IF($O$54=1,IF(COUNTIF($S$55:$S$60,Q44)=1,IF(COUNTIF(Setup!$AJ$18:$AJ$59,$Q$2)=1,N44,"Green"),N44),IF($Q$2=$Q$3,IF(COUNTIF($S$55:$S$60,Q44)=1,IF(COUNTIF(Setup!$AJ$18:$AJ$59,$Q$2)=1,N44,"Green"),N44),N44))))))</f>
        <v>Grey</v>
      </c>
      <c r="N44" t="str">
        <f>IF(LEFT(S44,3)="PL1","Red",IF(LEFT(S44,3)="PL2","Blue",IF($I$2="Move",IF(COUNTIF($Q$55:$Q$60,Y44)=1,IF($M$2=Setup!$AC$48,"Green","Grey"),"Grey"),"Grey")))</f>
        <v>Grey</v>
      </c>
      <c r="O44" t="str">
        <f t="shared" si="7"/>
        <v>Grey</v>
      </c>
      <c r="P44" s="7"/>
      <c r="Q44" s="7" t="s">
        <v>858</v>
      </c>
      <c r="S44" s="162"/>
      <c r="T44">
        <f>IF($I$2="MapSetup",IF(S44="",IF($Q$2=Q44,$I$3,""),S44),S44)</f>
        <v>0</v>
      </c>
      <c r="U44">
        <f>IF($I$2="MapSetup",IF(COUNTIF(Setup!$R$8:$R$49,MapReference!S44)=1,"",S44),S44)</f>
        <v>0</v>
      </c>
      <c r="V44" s="162"/>
      <c r="W44">
        <f t="shared" si="3"/>
        <v>0</v>
      </c>
      <c r="X44" t="str">
        <f t="shared" si="4"/>
        <v>NotMoved</v>
      </c>
      <c r="Y44" s="7" t="str">
        <f>IF(S44="Dead",Q44,IF(S44="",Q44,VLOOKUP(S44,Reference!$E$3:$F$44,2,0)))</f>
        <v>Ontario</v>
      </c>
      <c r="Z44">
        <f>IF(COUNTIF(GameLog!R:R,S44&amp;"Death")=0,S44,"Dead")</f>
        <v>0</v>
      </c>
      <c r="AA44" s="161"/>
      <c r="AB44" s="162"/>
      <c r="AC44" t="str">
        <f>IF(COUNTIF(Drop!$M$1:$M$300,MapReference!Q44)=0,"Yes","No")</f>
        <v>Yes</v>
      </c>
      <c r="AD44" t="str">
        <f t="shared" si="5"/>
        <v/>
      </c>
      <c r="AH44" s="2" t="s">
        <v>858</v>
      </c>
      <c r="AI44" s="2"/>
    </row>
    <row r="45" spans="4:35" x14ac:dyDescent="0.25">
      <c r="D45" t="str">
        <f t="shared" si="6"/>
        <v>Unlocked</v>
      </c>
      <c r="E45" t="str">
        <f>IF(Setup!$AC$44="Battle","Locked",IF($I$4="Drop",IF($K$54="Yes","Locked",IF(AC45="Yes",IF($K$53="Yes",IF(O45="Gold","Unlocked","Locked"),"Unlocked"),"Locked")),IF($I$4="Move","Unlocked",IF($A$5="Attack",IF(Z45="Dead","Locked","Unlocked"),IF($A$5="Mapsetup",D45,"Locked")))))</f>
        <v>Locked</v>
      </c>
      <c r="G45" t="str">
        <f>IF(COUNTIF(Reference!$M$5:$M$46,MapReference!Q45)=1,"No","Yes")</f>
        <v>Yes</v>
      </c>
      <c r="J45" t="str">
        <f>IF(COUNTIF($U$55:$U$60,Q45)=1,IF($E$6="MoveOk",IF($Q$3=Q45,"Gold",IF(X45="Moved","White",N45)),IF($M$2=Setup!$AC$49,IF(X45="Moved","White",N45),IF($X$54="EnoughMove",IF(T45="Dead","Grey","Green"),IF(X45="Moved","White",IF(COUNTIF($U$55:$U$60,Q45)=1,"Green",N45))))),IF($Q$2=Q45,"Yellow",IF($Q$3=Q45,"Gold",IF(X45="Moved","White",IF(COUNTIF($R$55:$R$60,Q45)=1,IF($M$2=Setup!$AC$49,N45,"Green"),N45)))))</f>
        <v>Grey</v>
      </c>
      <c r="K45" t="str">
        <f t="shared" si="1"/>
        <v>Grey</v>
      </c>
      <c r="L45" t="str">
        <f>IF(COUNTIF(Setup!$AJ$18:$AJ$59,MapReference!Q45)=0,"","Grey")</f>
        <v/>
      </c>
      <c r="M45" t="str">
        <f>IF(Z45="Dead","Grey",IF(L45="Grey",IF(Q45=$Q$2,"White","Grey"),IF($Q$2=Q45,"Yellow",IF($Q$3=Q45,IF($S$2="Grey",N45,IF(COUNTIF(Setup!$AJ$18:$AJ$59,$Q$2)=1,N45,"Gold")),IF($O$54=1,IF(COUNTIF($S$55:$S$60,Q45)=1,IF(COUNTIF(Setup!$AJ$18:$AJ$59,$Q$2)=1,N45,"Green"),N45),IF($Q$2=$Q$3,IF(COUNTIF($S$55:$S$60,Q45)=1,IF(COUNTIF(Setup!$AJ$18:$AJ$59,$Q$2)=1,N45,"Green"),N45),N45))))))</f>
        <v>Grey</v>
      </c>
      <c r="N45" t="str">
        <f>IF(LEFT(S45,3)="PL1","Red",IF(LEFT(S45,3)="PL2","Blue",IF($I$2="Move",IF(COUNTIF($Q$55:$Q$60,Y45)=1,IF($M$2=Setup!$AC$48,"Green","Grey"),"Grey"),"Grey")))</f>
        <v>Grey</v>
      </c>
      <c r="O45" t="str">
        <f t="shared" si="7"/>
        <v>Grey</v>
      </c>
      <c r="P45" s="7"/>
      <c r="Q45" s="7" t="s">
        <v>859</v>
      </c>
      <c r="S45" s="162"/>
      <c r="T45">
        <f t="shared" si="2"/>
        <v>0</v>
      </c>
      <c r="U45">
        <f>IF($I$2="MapSetup",IF(COUNTIF(Setup!$R$8:$R$49,MapReference!S45)=1,"",S45),S45)</f>
        <v>0</v>
      </c>
      <c r="V45" s="162"/>
      <c r="W45">
        <f t="shared" si="3"/>
        <v>0</v>
      </c>
      <c r="X45" t="str">
        <f t="shared" si="4"/>
        <v>NotMoved</v>
      </c>
      <c r="Y45" s="7" t="str">
        <f>IF(S45="Dead",Q45,IF(S45="",Q45,VLOOKUP(S45,Reference!$E$3:$F$44,2,0)))</f>
        <v>Quebec</v>
      </c>
      <c r="Z45">
        <f>IF(COUNTIF(GameLog!R:R,S45&amp;"Death")=0,S45,"Dead")</f>
        <v>0</v>
      </c>
      <c r="AA45" s="161"/>
      <c r="AB45" s="162"/>
      <c r="AC45" t="str">
        <f>IF(COUNTIF(Drop!$M$1:$M$300,MapReference!Q45)=0,"Yes","No")</f>
        <v>Yes</v>
      </c>
      <c r="AD45" t="str">
        <f t="shared" si="5"/>
        <v/>
      </c>
      <c r="AH45" s="2" t="s">
        <v>859</v>
      </c>
      <c r="AI45" s="2"/>
    </row>
    <row r="46" spans="4:35" x14ac:dyDescent="0.25">
      <c r="D46" t="str">
        <f t="shared" si="6"/>
        <v>Unlocked</v>
      </c>
      <c r="E46" t="str">
        <f>IF(Setup!$AC$44="Battle","Locked",IF($I$4="Drop",IF($K$54="Yes","Locked",IF(AC46="Yes",IF($K$53="Yes",IF(O46="Gold","Unlocked","Locked"),"Unlocked"),"Locked")),IF($I$4="Move","Unlocked",IF($A$5="Attack",IF(Z46="Dead","Locked","Unlocked"),IF($A$5="Mapsetup",D46,"Locked")))))</f>
        <v>Locked</v>
      </c>
      <c r="G46" t="str">
        <f>IF(COUNTIF(Reference!$M$5:$M$46,MapReference!Q46)=1,"No","Yes")</f>
        <v>Yes</v>
      </c>
      <c r="J46" t="str">
        <f>IF(COUNTIF($U$55:$U$60,Q46)=1,IF($E$6="MoveOk",IF($Q$3=Q46,"Gold",IF(X46="Moved","White",N46)),IF($M$2=Setup!$AC$49,IF(X46="Moved","White",N46),IF($X$54="EnoughMove",IF(T46="Dead","Grey","Green"),IF(X46="Moved","White",IF(COUNTIF($U$55:$U$60,Q46)=1,"Green",N46))))),IF($Q$2=Q46,"Yellow",IF($Q$3=Q46,"Gold",IF(X46="Moved","White",IF(COUNTIF($R$55:$R$60,Q46)=1,IF($M$2=Setup!$AC$49,N46,"Green"),N46)))))</f>
        <v>Grey</v>
      </c>
      <c r="K46" t="str">
        <f t="shared" si="1"/>
        <v>Grey</v>
      </c>
      <c r="L46" t="str">
        <f>IF(COUNTIF(Setup!$AJ$18:$AJ$59,MapReference!Q46)=0,"","Grey")</f>
        <v/>
      </c>
      <c r="M46" t="str">
        <f>IF(Z46="Dead","Grey",IF(L46="Grey",IF(Q46=$Q$2,"White","Grey"),IF($Q$2=Q46,"Yellow",IF($Q$3=Q46,IF($S$2="Grey",N46,IF(COUNTIF(Setup!$AJ$18:$AJ$59,$Q$2)=1,N46,"Gold")),IF($O$54=1,IF(COUNTIF($S$55:$S$60,Q46)=1,IF(COUNTIF(Setup!$AJ$18:$AJ$59,$Q$2)=1,N46,"Green"),N46),IF($Q$2=$Q$3,IF(COUNTIF($S$55:$S$60,Q46)=1,IF(COUNTIF(Setup!$AJ$18:$AJ$59,$Q$2)=1,N46,"Green"),N46),N46))))))</f>
        <v>Grey</v>
      </c>
      <c r="N46" t="str">
        <f>IF(LEFT(S46,3)="PL1","Red",IF(LEFT(S46,3)="PL2","Blue",IF($I$2="Move",IF(COUNTIF($Q$55:$Q$60,Y46)=1,IF($M$2=Setup!$AC$48,"Green","Grey"),"Grey"),"Grey")))</f>
        <v>Grey</v>
      </c>
      <c r="O46" t="str">
        <f t="shared" si="7"/>
        <v>Grey</v>
      </c>
      <c r="P46" s="7"/>
      <c r="Q46" s="7" t="s">
        <v>860</v>
      </c>
      <c r="S46" s="162"/>
      <c r="T46">
        <f t="shared" si="2"/>
        <v>0</v>
      </c>
      <c r="U46">
        <f>IF($I$2="MapSetup",IF(COUNTIF(Setup!$R$8:$R$49,MapReference!S46)=1,"",S46),S46)</f>
        <v>0</v>
      </c>
      <c r="V46" s="162"/>
      <c r="W46">
        <f t="shared" si="3"/>
        <v>0</v>
      </c>
      <c r="X46" t="str">
        <f t="shared" si="4"/>
        <v>NotMoved</v>
      </c>
      <c r="Y46" s="7" t="str">
        <f>IF(S46="Dead",Q46,IF(S46="",Q46,VLOOKUP(S46,Reference!$E$3:$F$44,2,0)))</f>
        <v>Western USA</v>
      </c>
      <c r="Z46">
        <f>IF(COUNTIF(GameLog!R:R,S46&amp;"Death")=0,S46,"Dead")</f>
        <v>0</v>
      </c>
      <c r="AA46" s="161"/>
      <c r="AB46" s="162"/>
      <c r="AC46" t="str">
        <f>IF(COUNTIF(Drop!$M$1:$M$300,MapReference!Q46)=0,"Yes","No")</f>
        <v>Yes</v>
      </c>
      <c r="AD46" t="str">
        <f t="shared" si="5"/>
        <v/>
      </c>
      <c r="AH46" s="2" t="s">
        <v>860</v>
      </c>
      <c r="AI46" s="2"/>
    </row>
    <row r="47" spans="4:35" x14ac:dyDescent="0.25">
      <c r="D47" t="str">
        <f t="shared" si="6"/>
        <v>Unlocked</v>
      </c>
      <c r="E47" t="str">
        <f>IF(Setup!$AC$44="Battle","Locked",IF($I$4="Drop",IF($K$54="Yes","Locked",IF(AC47="Yes",IF($K$53="Yes",IF(O47="Gold","Unlocked","Locked"),"Unlocked"),"Locked")),IF($I$4="Move","Unlocked",IF($A$5="Attack",IF(Z47="Dead","Locked","Unlocked"),IF($A$5="Mapsetup",D47,"Locked")))))</f>
        <v>Locked</v>
      </c>
      <c r="G47" t="str">
        <f>IF(COUNTIF(Reference!$M$5:$M$46,MapReference!Q47)=1,"No","Yes")</f>
        <v>Yes</v>
      </c>
      <c r="J47" t="str">
        <f>IF(COUNTIF($U$55:$U$60,Q47)=1,IF($E$6="MoveOk",IF($Q$3=Q47,"Gold",IF(X47="Moved","White",N47)),IF($M$2=Setup!$AC$49,IF(X47="Moved","White",N47),IF($X$54="EnoughMove",IF(T47="Dead","Grey","Green"),IF(X47="Moved","White",IF(COUNTIF($U$55:$U$60,Q47)=1,"Green",N47))))),IF($Q$2=Q47,"Yellow",IF($Q$3=Q47,"Gold",IF(X47="Moved","White",IF(COUNTIF($R$55:$R$60,Q47)=1,IF($M$2=Setup!$AC$49,N47,"Green"),N47)))))</f>
        <v>Grey</v>
      </c>
      <c r="K47" t="str">
        <f t="shared" si="1"/>
        <v>Grey</v>
      </c>
      <c r="L47" t="str">
        <f>IF(COUNTIF(Setup!$AJ$18:$AJ$59,MapReference!Q47)=0,"","Grey")</f>
        <v/>
      </c>
      <c r="M47" t="str">
        <f>IF(Z47="Dead","Grey",IF(L47="Grey",IF(Q47=$Q$2,"White","Grey"),IF($Q$2=Q47,"Yellow",IF($Q$3=Q47,IF($S$2="Grey",N47,IF(COUNTIF(Setup!$AJ$18:$AJ$59,$Q$2)=1,N47,"Gold")),IF($O$54=1,IF(COUNTIF($S$55:$S$60,Q47)=1,IF(COUNTIF(Setup!$AJ$18:$AJ$59,$Q$2)=1,N47,"Green"),N47),IF($Q$2=$Q$3,IF(COUNTIF($S$55:$S$60,Q47)=1,IF(COUNTIF(Setup!$AJ$18:$AJ$59,$Q$2)=1,N47,"Green"),N47),N47))))))</f>
        <v>Grey</v>
      </c>
      <c r="N47" t="str">
        <f>IF(LEFT(S47,3)="PL1","Red",IF(LEFT(S47,3)="PL2","Blue",IF($I$2="Move",IF(COUNTIF($Q$55:$Q$60,Y47)=1,IF($M$2=Setup!$AC$48,"Green","Grey"),"Grey"),"Grey")))</f>
        <v>Grey</v>
      </c>
      <c r="O47" t="str">
        <f t="shared" si="7"/>
        <v>Grey</v>
      </c>
      <c r="P47" s="7"/>
      <c r="Q47" s="7" t="s">
        <v>846</v>
      </c>
      <c r="S47" s="162"/>
      <c r="T47">
        <f t="shared" si="2"/>
        <v>0</v>
      </c>
      <c r="U47">
        <f>IF($I$2="MapSetup",IF(COUNTIF(Setup!$R$8:$R$49,MapReference!S47)=1,"",S47),S47)</f>
        <v>0</v>
      </c>
      <c r="V47" s="162"/>
      <c r="W47">
        <f t="shared" si="3"/>
        <v>0</v>
      </c>
      <c r="X47" t="str">
        <f t="shared" si="4"/>
        <v>NotMoved</v>
      </c>
      <c r="Y47" s="7" t="str">
        <f>IF(S47="Dead",Q47,IF(S47="",Q47,VLOOKUP(S47,Reference!$E$3:$F$44,2,0)))</f>
        <v>Argentina</v>
      </c>
      <c r="Z47">
        <f>IF(COUNTIF(GameLog!R:R,S47&amp;"Death")=0,S47,"Dead")</f>
        <v>0</v>
      </c>
      <c r="AA47" s="161"/>
      <c r="AB47" s="162"/>
      <c r="AC47" t="str">
        <f>IF(COUNTIF(Drop!$M$1:$M$300,MapReference!Q47)=0,"Yes","No")</f>
        <v>Yes</v>
      </c>
      <c r="AD47" t="str">
        <f t="shared" si="5"/>
        <v/>
      </c>
      <c r="AH47" s="2" t="s">
        <v>846</v>
      </c>
      <c r="AI47" s="2"/>
    </row>
    <row r="48" spans="4:35" x14ac:dyDescent="0.25">
      <c r="D48" t="str">
        <f t="shared" si="6"/>
        <v>Unlocked</v>
      </c>
      <c r="E48" t="str">
        <f>IF(Setup!$AC$44="Battle","Locked",IF($I$4="Drop",IF($K$54="Yes","Locked",IF(AC48="Yes",IF($K$53="Yes",IF(O48="Gold","Unlocked","Locked"),"Unlocked"),"Locked")),IF($I$4="Move","Unlocked",IF($A$5="Attack",IF(Z48="Dead","Locked","Unlocked"),IF($A$5="Mapsetup",D48,"Locked")))))</f>
        <v>Locked</v>
      </c>
      <c r="G48" t="str">
        <f>IF(COUNTIF(Reference!$M$5:$M$46,MapReference!Q48)=1,"No","Yes")</f>
        <v>Yes</v>
      </c>
      <c r="J48" t="str">
        <f>IF(COUNTIF($U$55:$U$60,Q48)=1,IF($E$6="MoveOk",IF($Q$3=Q48,"Gold",IF(X48="Moved","White",N48)),IF($M$2=Setup!$AC$49,IF(X48="Moved","White",N48),IF($X$54="EnoughMove",IF(T48="Dead","Grey","Green"),IF(X48="Moved","White",IF(COUNTIF($U$55:$U$60,Q48)=1,"Green",N48))))),IF($Q$2=Q48,"Yellow",IF($Q$3=Q48,"Gold",IF(X48="Moved","White",IF(COUNTIF($R$55:$R$60,Q48)=1,IF($M$2=Setup!$AC$49,N48,"Green"),N48)))))</f>
        <v>Grey</v>
      </c>
      <c r="K48" t="str">
        <f t="shared" si="1"/>
        <v>Grey</v>
      </c>
      <c r="L48" t="str">
        <f>IF(COUNTIF(Setup!$AJ$18:$AJ$59,MapReference!Q48)=0,"","Grey")</f>
        <v/>
      </c>
      <c r="M48" t="str">
        <f>IF(Z48="Dead","Grey",IF(L48="Grey",IF(Q48=$Q$2,"White","Grey"),IF($Q$2=Q48,"Yellow",IF($Q$3=Q48,IF($S$2="Grey",N48,IF(COUNTIF(Setup!$AJ$18:$AJ$59,$Q$2)=1,N48,"Gold")),IF($O$54=1,IF(COUNTIF($S$55:$S$60,Q48)=1,IF(COUNTIF(Setup!$AJ$18:$AJ$59,$Q$2)=1,N48,"Green"),N48),IF($Q$2=$Q$3,IF(COUNTIF($S$55:$S$60,Q48)=1,IF(COUNTIF(Setup!$AJ$18:$AJ$59,$Q$2)=1,N48,"Green"),N48),N48))))))</f>
        <v>Grey</v>
      </c>
      <c r="N48" t="str">
        <f>IF(LEFT(S48,3)="PL1","Red",IF(LEFT(S48,3)="PL2","Blue",IF($I$2="Move",IF(COUNTIF($Q$55:$Q$60,Y48)=1,IF($M$2=Setup!$AC$48,"Green","Grey"),"Grey"),"Grey")))</f>
        <v>Grey</v>
      </c>
      <c r="O48" t="str">
        <f t="shared" si="7"/>
        <v>Grey</v>
      </c>
      <c r="P48" s="7"/>
      <c r="Q48" s="7" t="s">
        <v>844</v>
      </c>
      <c r="S48" s="162"/>
      <c r="T48">
        <f t="shared" si="2"/>
        <v>0</v>
      </c>
      <c r="U48">
        <f>IF($I$2="MapSetup",IF(COUNTIF(Setup!$R$8:$R$49,MapReference!S48)=1,"",S48),S48)</f>
        <v>0</v>
      </c>
      <c r="V48" s="162"/>
      <c r="W48">
        <f t="shared" si="3"/>
        <v>0</v>
      </c>
      <c r="X48" t="str">
        <f t="shared" si="4"/>
        <v>NotMoved</v>
      </c>
      <c r="Y48" s="7" t="str">
        <f>IF(S48="Dead",Q48,IF(S48="",Q48,VLOOKUP(S48,Reference!$E$3:$F$44,2,0)))</f>
        <v>Brazil</v>
      </c>
      <c r="Z48">
        <f>IF(COUNTIF(GameLog!R:R,S48&amp;"Death")=0,S48,"Dead")</f>
        <v>0</v>
      </c>
      <c r="AA48" s="161"/>
      <c r="AB48" s="162"/>
      <c r="AC48" t="str">
        <f>IF(COUNTIF(Drop!$M$1:$M$300,MapReference!Q48)=0,"Yes","No")</f>
        <v>Yes</v>
      </c>
      <c r="AD48" t="str">
        <f t="shared" si="5"/>
        <v/>
      </c>
      <c r="AH48" s="2" t="s">
        <v>844</v>
      </c>
      <c r="AI48" s="2"/>
    </row>
    <row r="49" spans="4:35" x14ac:dyDescent="0.25">
      <c r="D49" t="str">
        <f t="shared" si="6"/>
        <v>Unlocked</v>
      </c>
      <c r="E49" t="str">
        <f>IF(Setup!$AC$44="Battle","Locked",IF($I$4="Drop",IF($K$54="Yes","Locked",IF(AC49="Yes",IF($K$53="Yes",IF(O49="Gold","Unlocked","Locked"),"Unlocked"),"Locked")),IF($I$4="Move","Unlocked",IF($A$5="Attack",IF(Z49="Dead","Locked","Unlocked"),IF($A$5="Mapsetup",D49,"Locked")))))</f>
        <v>Locked</v>
      </c>
      <c r="G49" t="str">
        <f>IF(COUNTIF(Reference!$M$5:$M$46,MapReference!Q49)=1,"No","Yes")</f>
        <v>Yes</v>
      </c>
      <c r="J49" t="str">
        <f>IF(COUNTIF($U$55:$U$60,Q49)=1,IF($E$6="MoveOk",IF($Q$3=Q49,"Gold",IF(X49="Moved","White",N49)),IF($M$2=Setup!$AC$49,IF(X49="Moved","White",N49),IF($X$54="EnoughMove",IF(T49="Dead","Grey","Green"),IF(X49="Moved","White",IF(COUNTIF($U$55:$U$60,Q49)=1,"Green",N49))))),IF($Q$2=Q49,"Yellow",IF($Q$3=Q49,"Gold",IF(X49="Moved","White",IF(COUNTIF($R$55:$R$60,Q49)=1,IF($M$2=Setup!$AC$49,N49,"Green"),N49)))))</f>
        <v>Grey</v>
      </c>
      <c r="K49" t="str">
        <f t="shared" si="1"/>
        <v>Grey</v>
      </c>
      <c r="L49" t="str">
        <f>IF(COUNTIF(Setup!$AJ$18:$AJ$59,MapReference!Q49)=0,"","Grey")</f>
        <v/>
      </c>
      <c r="M49" t="str">
        <f>IF(Z49="Dead","Grey",IF(L49="Grey",IF(Q49=$Q$2,"White","Grey"),IF($Q$2=Q49,"Yellow",IF($Q$3=Q49,IF($S$2="Grey",N49,IF(COUNTIF(Setup!$AJ$18:$AJ$59,$Q$2)=1,N49,"Gold")),IF($O$54=1,IF(COUNTIF($S$55:$S$60,Q49)=1,IF(COUNTIF(Setup!$AJ$18:$AJ$59,$Q$2)=1,N49,"Green"),N49),IF($Q$2=$Q$3,IF(COUNTIF($S$55:$S$60,Q49)=1,IF(COUNTIF(Setup!$AJ$18:$AJ$59,$Q$2)=1,N49,"Green"),N49),N49))))))</f>
        <v>Grey</v>
      </c>
      <c r="N49" t="str">
        <f>IF(LEFT(S49,3)="PL1","Red",IF(LEFT(S49,3)="PL2","Blue",IF($I$2="Move",IF(COUNTIF($Q$55:$Q$60,Y49)=1,IF($M$2=Setup!$AC$48,"Green","Grey"),"Grey"),"Grey")))</f>
        <v>Grey</v>
      </c>
      <c r="O49" t="str">
        <f t="shared" si="7"/>
        <v>Grey</v>
      </c>
      <c r="P49" s="7"/>
      <c r="Q49" s="7" t="s">
        <v>845</v>
      </c>
      <c r="S49" s="162"/>
      <c r="T49">
        <f t="shared" si="2"/>
        <v>0</v>
      </c>
      <c r="U49">
        <f>IF($I$2="MapSetup",IF(COUNTIF(Setup!$R$8:$R$49,MapReference!S49)=1,"",S49),S49)</f>
        <v>0</v>
      </c>
      <c r="V49" s="162"/>
      <c r="W49">
        <f t="shared" si="3"/>
        <v>0</v>
      </c>
      <c r="X49" t="str">
        <f t="shared" si="4"/>
        <v>NotMoved</v>
      </c>
      <c r="Y49" s="7" t="str">
        <f>IF(S49="Dead",Q49,IF(S49="",Q49,VLOOKUP(S49,Reference!$E$3:$F$44,2,0)))</f>
        <v>Peru</v>
      </c>
      <c r="Z49">
        <f>IF(COUNTIF(GameLog!R:R,S49&amp;"Death")=0,S49,"Dead")</f>
        <v>0</v>
      </c>
      <c r="AA49" s="161"/>
      <c r="AB49" s="162"/>
      <c r="AC49" t="str">
        <f>IF(COUNTIF(Drop!$M$1:$M$300,MapReference!Q49)=0,"Yes","No")</f>
        <v>Yes</v>
      </c>
      <c r="AD49" t="str">
        <f t="shared" si="5"/>
        <v/>
      </c>
      <c r="AH49" s="2" t="s">
        <v>845</v>
      </c>
      <c r="AI49" s="2"/>
    </row>
    <row r="50" spans="4:35" x14ac:dyDescent="0.25">
      <c r="D50" t="str">
        <f t="shared" si="6"/>
        <v>Unlocked</v>
      </c>
      <c r="E50" t="str">
        <f>IF(Setup!$AC$44="Battle","Locked",IF($I$4="Drop",IF($K$54="Yes","Locked",IF(AC50="Yes",IF($K$53="Yes",IF(O50="Gold","Unlocked","Locked"),"Unlocked"),"Locked")),IF($I$4="Move","Unlocked",IF($A$5="Attack",IF(Z50="Dead","Locked","Unlocked"),IF($A$5="Mapsetup",D50,"Locked")))))</f>
        <v>Locked</v>
      </c>
      <c r="G50" t="str">
        <f>IF(COUNTIF(Reference!$M$5:$M$46,MapReference!Q50)=1,"No","Yes")</f>
        <v>Yes</v>
      </c>
      <c r="J50" t="str">
        <f>IF(COUNTIF($U$55:$U$60,Q50)=1,IF($E$6="MoveOk",IF($Q$3=Q50,"Gold",IF(X50="Moved","White",N50)),IF($M$2=Setup!$AC$49,IF(X50="Moved","White",N50),IF($X$54="EnoughMove",IF(T50="Dead","Grey","Green"),IF(X50="Moved","White",IF(COUNTIF($U$55:$U$60,Q50)=1,"Green",N50))))),IF($Q$2=Q50,"Yellow",IF($Q$3=Q50,"Gold",IF(X50="Moved","White",IF(COUNTIF($R$55:$R$60,Q50)=1,IF($M$2=Setup!$AC$49,N50,"Green"),N50)))))</f>
        <v>Grey</v>
      </c>
      <c r="K50" t="str">
        <f t="shared" si="1"/>
        <v>Grey</v>
      </c>
      <c r="L50" t="str">
        <f>IF(COUNTIF(Setup!$AJ$18:$AJ$59,MapReference!Q50)=0,"","Grey")</f>
        <v/>
      </c>
      <c r="M50" t="str">
        <f>IF(Z50="Dead","Grey",IF(L50="Grey",IF(Q50=$Q$2,"White","Grey"),IF($Q$2=Q50,"Yellow",IF($Q$3=Q50,IF($S$2="Grey",N50,IF(COUNTIF(Setup!$AJ$18:$AJ$59,$Q$2)=1,N50,"Gold")),IF($O$54=1,IF(COUNTIF($S$55:$S$60,Q50)=1,IF(COUNTIF(Setup!$AJ$18:$AJ$59,$Q$2)=1,N50,"Green"),N50),IF($Q$2=$Q$3,IF(COUNTIF($S$55:$S$60,Q50)=1,IF(COUNTIF(Setup!$AJ$18:$AJ$59,$Q$2)=1,N50,"Green"),N50),N50))))))</f>
        <v>Grey</v>
      </c>
      <c r="N50" t="str">
        <f t="shared" ref="N50" si="8">IF(LEFT(S50,3)="PL1","Red",IF(LEFT(S50,3)="PL2","Blue","Grey"))</f>
        <v>Grey</v>
      </c>
      <c r="O50" t="str">
        <f t="shared" si="7"/>
        <v>Grey</v>
      </c>
      <c r="P50" s="7"/>
      <c r="Q50" s="7" t="s">
        <v>843</v>
      </c>
      <c r="S50" s="162"/>
      <c r="T50">
        <f t="shared" si="2"/>
        <v>0</v>
      </c>
      <c r="U50">
        <f>IF($I$2="MapSetup",IF(COUNTIF(Setup!$R$8:$R$49,MapReference!S50)=1,"",S50),S50)</f>
        <v>0</v>
      </c>
      <c r="V50" s="162"/>
      <c r="W50">
        <f t="shared" si="3"/>
        <v>0</v>
      </c>
      <c r="X50" t="str">
        <f t="shared" si="4"/>
        <v>NotMoved</v>
      </c>
      <c r="Y50" s="7" t="str">
        <f>IF(S50="Dead",Q50,IF(S50="",Q50,VLOOKUP(S50,Reference!$E$3:$F$44,2,0)))</f>
        <v>Veneseulea</v>
      </c>
      <c r="Z50">
        <f>IF(COUNTIF(GameLog!R:R,S50&amp;"Death")=0,S50,"Dead")</f>
        <v>0</v>
      </c>
      <c r="AA50" s="161"/>
      <c r="AB50" s="162"/>
      <c r="AC50" t="str">
        <f>IF(COUNTIF(Drop!$M$1:$M$300,MapReference!Q50)=0,"Yes","No")</f>
        <v>Yes</v>
      </c>
      <c r="AD50" t="str">
        <f t="shared" si="5"/>
        <v/>
      </c>
      <c r="AH50" s="2" t="s">
        <v>843</v>
      </c>
      <c r="AI50" s="2"/>
    </row>
    <row r="51" spans="4:35" s="1" customFormat="1" x14ac:dyDescent="0.25">
      <c r="W51" s="5"/>
    </row>
    <row r="52" spans="4:35" x14ac:dyDescent="0.25">
      <c r="J52" s="144" t="s">
        <v>1477</v>
      </c>
      <c r="K52" s="124" t="str">
        <f>Drop!D30</f>
        <v>NotDefending</v>
      </c>
      <c r="W52" s="7"/>
      <c r="AC52" s="144" t="s">
        <v>1444</v>
      </c>
      <c r="AD52" s="124" t="str">
        <f>IF(ISNA(VLOOKUP(R2,$X$55:$AD$60,7,0)),"Undecided",VLOOKUP(R2,$X$55:$AD$60,7,0))</f>
        <v>Undecided</v>
      </c>
    </row>
    <row r="53" spans="4:35" x14ac:dyDescent="0.25">
      <c r="J53" s="144" t="s">
        <v>1489</v>
      </c>
      <c r="K53" s="124" t="str">
        <f>IF(COUNTIF(K9:K50,"Gold")=1,IF(Setup!AC35="DefenseDropConfirm","Yes","No"),"No")</f>
        <v>No</v>
      </c>
      <c r="W53" s="7"/>
      <c r="AA53" s="124">
        <f>SUM(AA55:AA61)</f>
        <v>43</v>
      </c>
      <c r="AC53" s="124" t="str">
        <f>IF(COUNTIF(AD52:AD53,"Yes")=0,AD61,"Yes")</f>
        <v>Yes</v>
      </c>
      <c r="AD53" s="124" t="str">
        <f>IF(ISNA(VLOOKUP(R3,$X$55:$AD$60,7,0)),"Undecided",VLOOKUP(R3,$X$55:$AD$60,7,0))</f>
        <v>Undecided</v>
      </c>
    </row>
    <row r="54" spans="4:35" x14ac:dyDescent="0.25">
      <c r="E54" s="144" t="s">
        <v>1075</v>
      </c>
      <c r="F54" s="144" t="s">
        <v>1077</v>
      </c>
      <c r="H54" s="144" t="s">
        <v>1189</v>
      </c>
      <c r="I54" s="124" t="s">
        <v>1190</v>
      </c>
      <c r="J54" s="144" t="s">
        <v>1490</v>
      </c>
      <c r="K54" s="124" t="str">
        <f>IF(Setup!AC35="DefenseDropConfirm",IF(Setup!AA36=1,"Yes","KeepGoing"),"NotDefense")</f>
        <v>NotDefense</v>
      </c>
      <c r="N54" s="144" t="s">
        <v>1223</v>
      </c>
      <c r="O54" s="124">
        <f>COUNTA(Q2:Q3)</f>
        <v>0</v>
      </c>
      <c r="Q54" s="144" t="s">
        <v>1222</v>
      </c>
      <c r="R54" s="144" t="s">
        <v>1418</v>
      </c>
      <c r="S54" s="144" t="s">
        <v>1225</v>
      </c>
      <c r="T54" s="124" t="str">
        <f>M2</f>
        <v>NoC</v>
      </c>
      <c r="U54" s="144" t="s">
        <v>1226</v>
      </c>
      <c r="W54" s="144" t="s">
        <v>1355</v>
      </c>
      <c r="X54" s="124" t="str">
        <f>IF(AA53&lt;=0,"OutOfMove",IF(AC53="Yes","EnoughMove","NotEnoughMove"))</f>
        <v>EnoughMove</v>
      </c>
      <c r="Y54" s="144" t="s">
        <v>1438</v>
      </c>
      <c r="Z54" s="144" t="s">
        <v>1351</v>
      </c>
      <c r="AA54" s="144" t="s">
        <v>1436</v>
      </c>
      <c r="AB54" s="144" t="s">
        <v>1437</v>
      </c>
      <c r="AC54" s="144" t="s">
        <v>1439</v>
      </c>
      <c r="AD54" s="144" t="s">
        <v>1443</v>
      </c>
      <c r="AE54" s="144" t="s">
        <v>1503</v>
      </c>
    </row>
    <row r="55" spans="4:35" x14ac:dyDescent="0.25">
      <c r="E55" s="124" t="e">
        <f>IF(Setup!AC5="MapSetupComplete",VLOOKUP(MapReference!A5,D56:E59,2,0),VLOOKUP(I2,D56:E59,2,0))</f>
        <v>#N/A</v>
      </c>
      <c r="F55" s="124" t="e">
        <f>IF(Setup!AC5="MapSetupComplete",VLOOKUP(MapReference!A5,D56:F62,3,0),VLOOKUP(I2,D56:F59,3,0))</f>
        <v>#N/A</v>
      </c>
      <c r="I55" s="124" t="str">
        <f>IF(ISNA(VLOOKUP(I2,H56:I59,2,0)),"No",VLOOKUP(I2,H56:I59,2,0))</f>
        <v>No</v>
      </c>
      <c r="N55" s="144" t="s">
        <v>1338</v>
      </c>
      <c r="O55" s="124">
        <f>O59-O57-O58</f>
        <v>0</v>
      </c>
      <c r="Q55" s="124" t="str">
        <f>IF(ISNA(VLOOKUP($Q$2,Reference!$X$5:$AF$46,4,0)),"",VLOOKUP($Q$2,Reference!$X$5:$AF$46,4,0))</f>
        <v/>
      </c>
      <c r="R55" s="124" t="str">
        <f>IF(ISNA(IF(LEFT(VLOOKUP(Q55,Q9:S50,3,0),3)=Setup!$AC$48,MapReference!Q55,"")),"",IF(LEFT(VLOOKUP(Q55,Q9:S50,3,0),3)=Setup!$AC$48,MapReference!Q55,""))</f>
        <v/>
      </c>
      <c r="S55" s="124" t="str">
        <f>IF($T$54=T55,"",IF(ISNA(VLOOKUP($Q$2,Reference!$X$5:$AF$46,4,0)),"",VLOOKUP($Q$2,Reference!$X$5:$AF$46,4,0)))</f>
        <v/>
      </c>
      <c r="T55" s="124" t="str">
        <f>IF(ISNA(LEFT(VLOOKUP(Q55,$Q$9:$S$50,3,0),3)),"",LEFT(VLOOKUP(Q55,$Q$9:$S$50,3,0),3))</f>
        <v/>
      </c>
      <c r="U55" s="124" t="str">
        <f>IF($T$54=T55,IF(ISNA(VLOOKUP($Q$2,Reference!$X$5:$AF$46,4,0)),"",VLOOKUP($Q$2,Reference!$X$5:$AF$46,4,0)),"")</f>
        <v/>
      </c>
      <c r="W55" s="124" t="str">
        <f>IF(COUNTIF($R$2:$R$3,X55)=0,"No",IF(Y55=0,"No","Yes"))</f>
        <v>No</v>
      </c>
      <c r="X55" s="144" t="str">
        <f>Reference!AB54</f>
        <v>Africa</v>
      </c>
      <c r="Y55" s="109">
        <f>IF(AE55="",IF(Setup!$AC$48=Reference!AC60,AB55,0),AE55)</f>
        <v>6</v>
      </c>
      <c r="Z55" s="162"/>
      <c r="AA55" s="124">
        <f>Y55-Z55</f>
        <v>6</v>
      </c>
      <c r="AB55" s="144">
        <f>Reference!AC54</f>
        <v>6</v>
      </c>
      <c r="AC55" s="124">
        <f>IF(COUNTIF($R$2:$R$3,X55)=0,Z55,IF(Y55=0,0,1+Z55))</f>
        <v>0</v>
      </c>
      <c r="AD55" s="124" t="str">
        <f>IF(AA55&gt;0,"Yes","No")</f>
        <v>Yes</v>
      </c>
      <c r="AE55" s="162"/>
    </row>
    <row r="56" spans="4:35" x14ac:dyDescent="0.25">
      <c r="D56" s="124" t="s">
        <v>1076</v>
      </c>
      <c r="E56" s="124" t="str">
        <f>IF(I3="MapSetupComplete","Complete",VLOOKUP(LEFT(I3,3),Setup!Z19:AE20,6,0)&amp;" Choose Country")</f>
        <v>Complete</v>
      </c>
      <c r="F56" s="124" t="str">
        <f>IF(E56="Complete","None",VLOOKUP(LEFT(I3,3),Reference!E50:F51,2,0))</f>
        <v>None</v>
      </c>
      <c r="H56" s="124" t="s">
        <v>1076</v>
      </c>
      <c r="I56" s="124" t="str">
        <f>IF(COUNTBLANK(S9:S50)=42,"No","Yes")</f>
        <v>No</v>
      </c>
      <c r="Q56" s="124" t="str">
        <f>IF(ISNA(VLOOKUP($Q$2,Reference!$X$5:$AF$46,5,0)),"",VLOOKUP($Q$2,Reference!$X$5:$AF$46,5,0))</f>
        <v/>
      </c>
      <c r="R56" s="124" t="str">
        <f>IF(ISNA(IF(LEFT(VLOOKUP(Q56,Q10:S51,3,0),3)=Setup!$AC$48,MapReference!Q56,"")),"",IF(LEFT(VLOOKUP(Q56,Q10:S51,3,0),3)=Setup!$AC$48,MapReference!Q56,""))</f>
        <v/>
      </c>
      <c r="S56" s="124" t="str">
        <f>IF($T$54=T56,"",IF(ISNA(VLOOKUP($Q$2,Reference!$X$5:$AF$46,5,0)),"",VLOOKUP($Q$2,Reference!$X$5:$AF$46,5,0)))</f>
        <v/>
      </c>
      <c r="T56" s="124" t="str">
        <f t="shared" ref="T56:T60" si="9">IF(ISNA(LEFT(VLOOKUP(Q56,$Q$9:$S$50,3,0),3)),"",LEFT(VLOOKUP(Q56,$Q$9:$S$50,3,0),3))</f>
        <v/>
      </c>
      <c r="U56" s="124" t="str">
        <f>IF($T$54=T56,IF(ISNA(VLOOKUP($Q$2,Reference!$X$5:$AF$46,5,0)),"",VLOOKUP($Q$2,Reference!$X$5:$AF$46,5,0)),"")</f>
        <v/>
      </c>
      <c r="W56" s="124" t="str">
        <f t="shared" ref="W56:W60" si="10">IF(COUNTIF($R$2:$R$3,X56)=0,"No",IF(Y56=0,"No","Yes"))</f>
        <v>No</v>
      </c>
      <c r="X56" s="144" t="str">
        <f>Reference!AB55</f>
        <v>Asia</v>
      </c>
      <c r="Y56" s="109">
        <f>IF(AE56="",IF(Setup!$AC$48=Reference!AC61,AB56,0),AE56)</f>
        <v>12</v>
      </c>
      <c r="Z56" s="162"/>
      <c r="AA56" s="124">
        <f t="shared" ref="AA56:AA60" si="11">Y56-Z56</f>
        <v>12</v>
      </c>
      <c r="AB56" s="144">
        <f>Reference!AC55</f>
        <v>12</v>
      </c>
      <c r="AC56" s="124">
        <f>IF(COUNTIF($R$2:$R$3,X56)=0,Z56,IF(Y56=0,0,1+Z56))</f>
        <v>0</v>
      </c>
      <c r="AD56" s="124" t="str">
        <f t="shared" ref="AD56:AD61" si="12">IF(AA56&gt;0,"Yes","No")</f>
        <v>Yes</v>
      </c>
      <c r="AE56" s="162"/>
    </row>
    <row r="57" spans="4:35" x14ac:dyDescent="0.25">
      <c r="D57" s="124" t="s">
        <v>1219</v>
      </c>
      <c r="E57" s="124" t="e">
        <f ca="1">IF(E5="AttackOk",Reference!C61&amp;" Confirm",IF(I7="SkipAttackConfirm",Reference!C61&amp;" Skip Attack Confirm",Reference!C80))</f>
        <v>#N/A</v>
      </c>
      <c r="F57" s="124" t="e">
        <f>VLOOKUP(Setup!AA48,Reference!E50:F51,2,0)</f>
        <v>#N/A</v>
      </c>
      <c r="H57" s="124" t="s">
        <v>1218</v>
      </c>
      <c r="I57" s="124" t="str">
        <f>IF(COUNTIF(X9:X50,"Moved")=0,IF(SUM(Z55:Z61)=0,"No","Yes"),"Yes")</f>
        <v>No</v>
      </c>
      <c r="N57" s="144" t="s">
        <v>1337</v>
      </c>
      <c r="O57" s="124">
        <f>COUNTA(Setup!$AJ$18:$AJ$59)</f>
        <v>0</v>
      </c>
      <c r="Q57" s="124" t="str">
        <f>IF(ISNA(VLOOKUP($Q$2,Reference!$X$5:$AF$46,6,0)),"",VLOOKUP($Q$2,Reference!$X$5:$AF$46,6,0))</f>
        <v/>
      </c>
      <c r="R57" s="124" t="str">
        <f>IF(ISNA(IF(LEFT(VLOOKUP(Q57,Q11:S52,3,0),3)=Setup!$AC$48,MapReference!Q57,"")),"",IF(LEFT(VLOOKUP(Q57,Q11:S52,3,0),3)=Setup!$AC$48,MapReference!Q57,""))</f>
        <v/>
      </c>
      <c r="S57" s="124" t="str">
        <f>IF($T$54=T57,"",IF(ISNA(VLOOKUP($Q$2,Reference!$X$5:$AF$46,6,0)),"",VLOOKUP($Q$2,Reference!$X$5:$AF$46,6,0)))</f>
        <v/>
      </c>
      <c r="T57" s="124" t="str">
        <f t="shared" si="9"/>
        <v/>
      </c>
      <c r="U57" s="124" t="str">
        <f>IF($T$54=T57,IF(ISNA(VLOOKUP($Q$2,Reference!$X$5:$AF$46,6,0)),"",VLOOKUP($Q$2,Reference!$X$5:$AF$46,6,0)),"")</f>
        <v/>
      </c>
      <c r="W57" s="124" t="str">
        <f>IF(COUNTIF($R$2:$R$3,X57)=0,"No",IF(Y57=0,"No","Yes"))</f>
        <v>No</v>
      </c>
      <c r="X57" s="144" t="str">
        <f>Reference!AB56</f>
        <v>Australia</v>
      </c>
      <c r="Y57" s="109">
        <f>IF(AE57="",IF(Setup!$AC$48=Reference!AC62,AB57,0),AE57)</f>
        <v>4</v>
      </c>
      <c r="Z57" s="162"/>
      <c r="AA57" s="124">
        <f t="shared" si="11"/>
        <v>4</v>
      </c>
      <c r="AB57" s="144">
        <f>Reference!AC56</f>
        <v>4</v>
      </c>
      <c r="AC57" s="124">
        <f t="shared" ref="AC57:AC60" si="13">IF(COUNTIF($R$2:$R$3,X57)=0,Z57,IF(Y57=0,0,1+Z57))</f>
        <v>0</v>
      </c>
      <c r="AD57" s="124" t="str">
        <f t="shared" si="12"/>
        <v>Yes</v>
      </c>
      <c r="AE57" s="162"/>
    </row>
    <row r="58" spans="4:35" x14ac:dyDescent="0.25">
      <c r="D58" s="124" t="s">
        <v>1218</v>
      </c>
      <c r="E58" s="124" t="e">
        <f>IF(R4="Confirmed",Setup!AB48&amp;" Confirm",VLOOKUP(Setup!AC48,Setup!Z19:AE20,6,0)&amp;" Choose Move")</f>
        <v>#N/A</v>
      </c>
      <c r="F58" s="124" t="e">
        <f>VLOOKUP(Setup!AA48,Reference!E50:F51,2,0)</f>
        <v>#N/A</v>
      </c>
      <c r="H58" s="124" t="s">
        <v>865</v>
      </c>
      <c r="I58" s="124" t="str">
        <f>IF(I6="MandatoryDrop","Yes",IF(I6="DropFinish","No",IF(Setup!AD36="",IF(Drop!E12=5,"No","Yes"),IF(I6="DropFinishConfirm","Yes","No"))))</f>
        <v>Yes</v>
      </c>
      <c r="N58" s="144" t="s">
        <v>1339</v>
      </c>
      <c r="O58" s="124">
        <f>42-COUNTBLANK(Reference!M5:M46)</f>
        <v>0</v>
      </c>
      <c r="Q58" s="124" t="str">
        <f>IF(ISNA(VLOOKUP($Q$2,Reference!$X$5:$AF$46,7,0)),"",VLOOKUP($Q$2,Reference!$X$5:$AF$46,7,0))</f>
        <v/>
      </c>
      <c r="R58" s="124" t="str">
        <f>IF(ISNA(IF(LEFT(VLOOKUP(Q58,Q12:S53,3,0),3)=Setup!$AC$48,MapReference!Q58,"")),"",IF(LEFT(VLOOKUP(Q58,Q12:S53,3,0),3)=Setup!$AC$48,MapReference!Q58,""))</f>
        <v/>
      </c>
      <c r="S58" s="124" t="str">
        <f>IF($T$54=T58,"",IF(ISNA(VLOOKUP($Q$2,Reference!$X$5:$AF$46,7,0)),"",VLOOKUP($Q$2,Reference!$X$5:$AF$46,7,0)))</f>
        <v/>
      </c>
      <c r="T58" t="str">
        <f t="shared" si="9"/>
        <v/>
      </c>
      <c r="U58" s="124" t="str">
        <f>IF($T$54=T58,IF(ISNA(VLOOKUP($Q$2,Reference!$X$5:$AF$46,7,0)),"",VLOOKUP($Q$2,Reference!$X$5:$AF$46,7,0)),"")</f>
        <v/>
      </c>
      <c r="W58" s="124" t="str">
        <f t="shared" si="10"/>
        <v>No</v>
      </c>
      <c r="X58" s="144" t="str">
        <f>Reference!AB57</f>
        <v>South America</v>
      </c>
      <c r="Y58" s="109">
        <f>IF(AE58="",IF(Setup!$AC$48=Reference!AC63,AB58,0),AE58)</f>
        <v>4</v>
      </c>
      <c r="Z58" s="162"/>
      <c r="AA58" s="124">
        <f t="shared" si="11"/>
        <v>4</v>
      </c>
      <c r="AB58" s="144">
        <f>Reference!AC57</f>
        <v>4</v>
      </c>
      <c r="AC58" s="124">
        <f t="shared" si="13"/>
        <v>0</v>
      </c>
      <c r="AD58" s="124" t="str">
        <f t="shared" si="12"/>
        <v>Yes</v>
      </c>
      <c r="AE58" s="162"/>
    </row>
    <row r="59" spans="4:35" x14ac:dyDescent="0.25">
      <c r="D59" s="124" t="s">
        <v>865</v>
      </c>
      <c r="E59" s="124" t="str">
        <f>IF(I2="Drop",VLOOKUP(Drop!D12,Setup!Z19:AE20,6,0)&amp;IF(Drop!D28="DropPlayOk"," Confirm",IF(Setup!AD36="FinishDropConfirm",IF(K53="Yes"," Mandatory Drop"," Confirm Drop Complete"),IF(Setup!AD36="DropCancelConfirm"," Cancel Drop"," Choose Drop"))),"Not Drop")</f>
        <v>Not Drop</v>
      </c>
      <c r="F59" s="124" t="str">
        <f>IF(ISNA(IF(Drop!D15=0,"Green",VLOOKUP(Drop!D12,Reference!E50:F51,2,0))),"NotDrop",IF(Drop!D15=0,"Green",VLOOKUP(Drop!D12,Reference!E50:F51,2,0)))</f>
        <v>Green</v>
      </c>
      <c r="H59" s="124"/>
      <c r="I59" s="124"/>
      <c r="N59" s="144" t="s">
        <v>1340</v>
      </c>
      <c r="O59" s="124">
        <f>COUNTIF(N9:N50,VLOOKUP(Setup!AC48,Reference!E50:F51,2,0))</f>
        <v>0</v>
      </c>
      <c r="Q59" s="124" t="str">
        <f>IF(ISNA(VLOOKUP($Q$2,Reference!$X$5:$AF$46,8,0)),"",VLOOKUP($Q$2,Reference!$X$5:$AF$46,8,0))</f>
        <v/>
      </c>
      <c r="R59" s="124" t="str">
        <f>IF(ISNA(IF(LEFT(VLOOKUP(Q59,Q13:S54,3,0),3)=Setup!$AC$48,MapReference!Q59,"")),"",IF(LEFT(VLOOKUP(Q59,Q13:S54,3,0),3)=Setup!$AC$48,MapReference!Q59,""))</f>
        <v/>
      </c>
      <c r="S59" s="124" t="str">
        <f>IF($T$54=T59,"",IF(ISNA(VLOOKUP($Q$2,Reference!$X$5:$AF$46,8,0)),"",VLOOKUP($Q$2,Reference!$X$5:$AF$46,8,0)))</f>
        <v/>
      </c>
      <c r="T59" t="str">
        <f t="shared" si="9"/>
        <v/>
      </c>
      <c r="U59" s="124" t="str">
        <f>IF($T$54=T59,IF(ISNA(VLOOKUP($Q$2,Reference!$X$5:$AF$46,8,0)),"",VLOOKUP($Q$2,Reference!$X$5:$AF$46,8,0)),"")</f>
        <v/>
      </c>
      <c r="W59" s="124" t="str">
        <f t="shared" si="10"/>
        <v>No</v>
      </c>
      <c r="X59" s="144" t="str">
        <f>Reference!AB58</f>
        <v>Europe</v>
      </c>
      <c r="Y59" s="109">
        <f>IF(AE59="",IF(Setup!$AC$48=Reference!AC64,AB59,0),AE59)</f>
        <v>7</v>
      </c>
      <c r="Z59" s="162"/>
      <c r="AA59" s="124">
        <f t="shared" si="11"/>
        <v>7</v>
      </c>
      <c r="AB59" s="144">
        <f>Reference!AC58</f>
        <v>7</v>
      </c>
      <c r="AC59" s="124">
        <f t="shared" si="13"/>
        <v>0</v>
      </c>
      <c r="AD59" s="124" t="str">
        <f t="shared" si="12"/>
        <v>Yes</v>
      </c>
      <c r="AE59" s="162"/>
    </row>
    <row r="60" spans="4:35" x14ac:dyDescent="0.25">
      <c r="Q60" s="124" t="str">
        <f>IF(ISNA(VLOOKUP($Q$2,Reference!$X$5:$AF$46,9,0)),"",VLOOKUP($Q$2,Reference!$X$5:$AF$46,9,0))</f>
        <v/>
      </c>
      <c r="R60" s="124" t="str">
        <f>IF(ISNA(IF(LEFT(VLOOKUP(Q60,Q14:S55,3,0),3)=Setup!$AC$48,MapReference!Q60,"")),"",IF(LEFT(VLOOKUP(Q60,Q14:S55,3,0),3)=Setup!$AC$48,MapReference!Q60,""))</f>
        <v/>
      </c>
      <c r="S60" s="124" t="str">
        <f>IF($T$54=T60,"",IF(ISNA(VLOOKUP($Q$2,Reference!$X$5:$AF$46,9,0)),"",VLOOKUP($Q$2,Reference!$X$5:$AF$46,9,0)))</f>
        <v/>
      </c>
      <c r="T60" t="str">
        <f t="shared" si="9"/>
        <v/>
      </c>
      <c r="U60" s="124" t="str">
        <f>IF($T$54=T60,IF(ISNA(VLOOKUP($Q$2,Reference!$X$5:$AF$46,9,0)),"",VLOOKUP($Q$2,Reference!$X$5:$AF$46,9,0)),"")</f>
        <v/>
      </c>
      <c r="W60" s="124" t="str">
        <f t="shared" si="10"/>
        <v>No</v>
      </c>
      <c r="X60" s="144" t="str">
        <f>Reference!AB59</f>
        <v>North America</v>
      </c>
      <c r="Y60" s="109">
        <f>IF(AE60="",IF(Setup!$AC$48=Reference!AC65,AB60,0),AE60)</f>
        <v>9</v>
      </c>
      <c r="Z60" s="162"/>
      <c r="AA60" s="124">
        <f t="shared" si="11"/>
        <v>9</v>
      </c>
      <c r="AB60" s="144">
        <f>Reference!AC59</f>
        <v>9</v>
      </c>
      <c r="AC60" s="124">
        <f t="shared" si="13"/>
        <v>0</v>
      </c>
      <c r="AD60" s="124" t="str">
        <f t="shared" si="12"/>
        <v>Yes</v>
      </c>
      <c r="AE60" s="162"/>
    </row>
    <row r="61" spans="4:35" x14ac:dyDescent="0.25">
      <c r="X61" s="144" t="s">
        <v>1350</v>
      </c>
      <c r="Y61" s="109">
        <v>1</v>
      </c>
      <c r="Z61" s="162"/>
      <c r="AA61" s="124">
        <f>IF(Z61=1,0,1)</f>
        <v>1</v>
      </c>
      <c r="AB61" s="2"/>
      <c r="AC61" s="124">
        <f>IF(Z61=1,1,IF(SUM(Z55:Z60)=SUM(AC55:AC60),Y61,Z61))</f>
        <v>1</v>
      </c>
      <c r="AD61" s="124" t="str">
        <f t="shared" si="12"/>
        <v>Yes</v>
      </c>
      <c r="AE61" s="162"/>
    </row>
    <row r="64" spans="4:35" x14ac:dyDescent="0.25">
      <c r="E64" s="144" t="s">
        <v>1517</v>
      </c>
      <c r="F64" s="144" t="s">
        <v>1518</v>
      </c>
    </row>
    <row r="65" spans="4:19" x14ac:dyDescent="0.25">
      <c r="E65" s="124" t="str">
        <f>IF(E73="","No",IF(ISNA(VLOOKUP(I2,D66:E70,2,0)),"",VLOOKUP(I2,D66:E70,2,0)))</f>
        <v>No</v>
      </c>
      <c r="F65" s="124" t="str">
        <f>IF(E65="Yes",VLOOKUP(I2,D66:F70,3,0),"None")</f>
        <v>None</v>
      </c>
      <c r="R65" s="144" t="s">
        <v>1229</v>
      </c>
    </row>
    <row r="66" spans="4:19" x14ac:dyDescent="0.25">
      <c r="D66" s="124" t="s">
        <v>1219</v>
      </c>
      <c r="E66" s="124" t="s">
        <v>1321</v>
      </c>
      <c r="F66" s="124" t="str">
        <f>IF(Q2="","None",IF(ISNA(VLOOKUP(LEFT(F73,3),Reference!E50:F51,2,0)),"None",VLOOKUP(LEFT(F73,3),Reference!E50:F51,2,0)))</f>
        <v>None</v>
      </c>
      <c r="R66" s="124">
        <f t="shared" ref="R66:R107" ca="1" si="14">RAND()</f>
        <v>0.63837717604481625</v>
      </c>
      <c r="S66" s="124" t="s">
        <v>1024</v>
      </c>
    </row>
    <row r="67" spans="4:19" x14ac:dyDescent="0.25">
      <c r="D67" s="124" t="s">
        <v>1218</v>
      </c>
      <c r="E67" s="124" t="s">
        <v>1321</v>
      </c>
      <c r="F67" s="124" t="str">
        <f>IF(Q2="","None",IF(ISNA(VLOOKUP(LEFT(F73,3),Reference!E50:F51,2,0)),"None",VLOOKUP(LEFT(F73,3),Reference!E50:F51,2,0)))</f>
        <v>None</v>
      </c>
      <c r="R67" s="124">
        <f t="shared" ca="1" si="14"/>
        <v>0.54173150869618847</v>
      </c>
      <c r="S67" s="124" t="s">
        <v>1041</v>
      </c>
    </row>
    <row r="68" spans="4:19" x14ac:dyDescent="0.25">
      <c r="D68" s="124" t="s">
        <v>865</v>
      </c>
      <c r="E68" s="124" t="s">
        <v>1321</v>
      </c>
      <c r="F68" s="124" t="str">
        <f>IF(ISNA(VLOOKUP(Drop!D12,Reference!E50:F51,2,0)),"No",VLOOKUP(Drop!D12,Reference!E50:F51,2,0))</f>
        <v>No</v>
      </c>
      <c r="R68" s="124">
        <f t="shared" ca="1" si="14"/>
        <v>0.64950600892279386</v>
      </c>
      <c r="S68" s="124" t="s">
        <v>1057</v>
      </c>
    </row>
    <row r="69" spans="4:19" x14ac:dyDescent="0.25">
      <c r="D69" s="124"/>
      <c r="E69" s="124"/>
      <c r="F69" s="124"/>
      <c r="R69" s="124">
        <f t="shared" ca="1" si="14"/>
        <v>4.1983355566282743E-2</v>
      </c>
      <c r="S69" s="124" t="s">
        <v>1058</v>
      </c>
    </row>
    <row r="70" spans="4:19" x14ac:dyDescent="0.25">
      <c r="D70" s="124"/>
      <c r="E70" s="124"/>
      <c r="F70" s="124"/>
      <c r="R70" s="124">
        <f t="shared" ca="1" si="14"/>
        <v>0.28721645393478901</v>
      </c>
      <c r="S70" s="124" t="s">
        <v>1043</v>
      </c>
    </row>
    <row r="71" spans="4:19" x14ac:dyDescent="0.25">
      <c r="R71" s="124">
        <f t="shared" ca="1" si="14"/>
        <v>0.3723499167915062</v>
      </c>
      <c r="S71" s="124" t="s">
        <v>1030</v>
      </c>
    </row>
    <row r="72" spans="4:19" x14ac:dyDescent="0.25">
      <c r="D72" s="144" t="s">
        <v>1519</v>
      </c>
      <c r="E72" s="124" t="str">
        <f>IF(E65="None","No","Yes")</f>
        <v>Yes</v>
      </c>
      <c r="F72" s="124" t="str">
        <f>IF(E72="Yes",IF(Q5="RefA",F73,IF(Q5="RefB",F74,IF(Q5="RefC",F75,"None"))),"None")</f>
        <v>None</v>
      </c>
      <c r="G72" s="124" t="str">
        <f>IF(ISNA(VLOOKUP(LEFT(F72,3),Reference!E50:F51,2,0)),"None",VLOOKUP(LEFT(F72,3),Reference!E50:F51,2,0))</f>
        <v>None</v>
      </c>
      <c r="H72" s="124" t="str">
        <f>IF(E65="Yes",Q2,"")</f>
        <v/>
      </c>
      <c r="R72" s="124">
        <f t="shared" ca="1" si="14"/>
        <v>6.8170805573567916E-2</v>
      </c>
      <c r="S72" s="124" t="s">
        <v>1022</v>
      </c>
    </row>
    <row r="73" spans="4:19" x14ac:dyDescent="0.25">
      <c r="D73" s="144">
        <v>1</v>
      </c>
      <c r="E73" s="124" t="str">
        <f>IF(ISNA(VLOOKUP(F73,Setup!K:M,3,0)&amp;" ("&amp;IF(LEFT(F73,3)="PL1",VLOOKUP(VLOOKUP(F73,Setup!K:M,3,0),'PL1'!J:K,2,0),IF(LEFT(F73,3)="PL2",VLOOKUP(VLOOKUP(F73,Setup!K:M,3,0),'PL2'!J:K,2,0),"Undecided"))&amp;")"),"",VLOOKUP(F73,Setup!K:M,3,0)&amp;" ("&amp;IF(LEFT(F73,3)="PL1",VLOOKUP(VLOOKUP(F73,Setup!K:M,3,0),'PL1'!J:K,2,0),IF(LEFT(F73,3)="PL2",VLOOKUP(VLOOKUP(F73,Setup!K:M,3,0),'PL2'!J:K,2,0),"Undecided"))&amp;")")</f>
        <v/>
      </c>
      <c r="F73" s="124" t="str">
        <f>$L$2&amp;"-A"</f>
        <v>NoCountrySelected-A</v>
      </c>
      <c r="G73" s="124" t="str">
        <f>IF(E72="Yes",IF($Q$5="RefA",IF(E73="","No","Gold"),"None"),"None")</f>
        <v>None</v>
      </c>
      <c r="R73" s="124">
        <f t="shared" ca="1" si="14"/>
        <v>0.54238286275250158</v>
      </c>
      <c r="S73" s="124" t="s">
        <v>1039</v>
      </c>
    </row>
    <row r="74" spans="4:19" x14ac:dyDescent="0.25">
      <c r="D74" s="144">
        <v>2</v>
      </c>
      <c r="E74" s="124" t="str">
        <f>IF(ISNA(VLOOKUP(F74,Setup!K:M,3,0)&amp;" ("&amp;IF(LEFT(F74,3)="PL1",VLOOKUP(VLOOKUP(F74,Setup!K:M,3,0),'PL1'!J:K,2,0),IF(LEFT(F74,3)="PL2",VLOOKUP(VLOOKUP(F74,Setup!K:M,3,0),'PL2'!J:K,2,0),"Undecided"))&amp;")"),"",VLOOKUP(F74,Setup!K:M,3,0)&amp;" ("&amp;IF(LEFT(F74,3)="PL1",VLOOKUP(VLOOKUP(F74,Setup!K:M,3,0),'PL1'!J:K,2,0),IF(LEFT(F74,3)="PL2",VLOOKUP(VLOOKUP(F74,Setup!K:M,3,0),'PL2'!J:K,2,0),"Undecided"))&amp;")")</f>
        <v/>
      </c>
      <c r="F74" s="124" t="str">
        <f>$L$2&amp;"-B"</f>
        <v>NoCountrySelected-B</v>
      </c>
      <c r="G74" s="124" t="str">
        <f>IF(E72="Yes",IF($Q$5="RefB",IF(E73="","No","Gold"),"None"),"None")</f>
        <v>None</v>
      </c>
      <c r="R74" s="124">
        <f t="shared" ca="1" si="14"/>
        <v>7.4301369057322431E-3</v>
      </c>
      <c r="S74" s="124" t="s">
        <v>1049</v>
      </c>
    </row>
    <row r="75" spans="4:19" x14ac:dyDescent="0.25">
      <c r="D75" s="144">
        <v>3</v>
      </c>
      <c r="E75" s="124" t="str">
        <f>IF(ISNA(VLOOKUP(F75,Setup!K:M,3,0)&amp;" ("&amp;IF(LEFT(F75,3)="PL1",VLOOKUP(VLOOKUP(F75,Setup!K:M,3,0),'PL1'!J:K,2,0),IF(LEFT(F75,3)="PL2",VLOOKUP(VLOOKUP(F75,Setup!K:M,3,0),'PL2'!J:K,2,0),"Undecided"))&amp;")"),"",VLOOKUP(F75,Setup!K:M,3,0)&amp;" ("&amp;IF(LEFT(F75,3)="PL1",VLOOKUP(VLOOKUP(F75,Setup!K:M,3,0),'PL1'!J:K,2,0),IF(LEFT(F75,3)="PL2",VLOOKUP(VLOOKUP(F75,Setup!K:M,3,0),'PL2'!J:K,2,0),"Undecided"))&amp;")")</f>
        <v/>
      </c>
      <c r="F75" s="124" t="str">
        <f>$L$2&amp;"-C"</f>
        <v>NoCountrySelected-C</v>
      </c>
      <c r="G75" s="124" t="str">
        <f>IF(E72="Yes",IF($Q$5="RefC",IF(E73="","No","Gold"),"None"),"None")</f>
        <v>None</v>
      </c>
      <c r="R75" s="124">
        <f t="shared" ca="1" si="14"/>
        <v>0.43740521406593702</v>
      </c>
      <c r="S75" s="124" t="s">
        <v>1037</v>
      </c>
    </row>
    <row r="76" spans="4:19" x14ac:dyDescent="0.25">
      <c r="D76" s="144">
        <v>4</v>
      </c>
      <c r="E76" s="124" t="str">
        <f>IF(E73="","",IF(F72="None","","- Stats -"))</f>
        <v/>
      </c>
      <c r="R76" s="124">
        <f t="shared" ca="1" si="14"/>
        <v>0.67449322696619984</v>
      </c>
      <c r="S76" s="124" t="s">
        <v>1054</v>
      </c>
    </row>
    <row r="77" spans="4:19" x14ac:dyDescent="0.25">
      <c r="D77" s="144">
        <v>5</v>
      </c>
      <c r="E77" s="124" t="str">
        <f>IF(E73="","",IF($F$72="None","","Bonus: "))</f>
        <v/>
      </c>
      <c r="R77" s="124">
        <f t="shared" ca="1" si="14"/>
        <v>0.27411117803760454</v>
      </c>
      <c r="S77" s="124" t="s">
        <v>1028</v>
      </c>
    </row>
    <row r="78" spans="4:19" x14ac:dyDescent="0.25">
      <c r="D78" s="144">
        <v>6</v>
      </c>
      <c r="E78" s="124" t="str">
        <f>IF(E73="","",IF($F$72="None","","Penalties: "))</f>
        <v/>
      </c>
      <c r="R78" s="124">
        <f t="shared" ca="1" si="14"/>
        <v>0.11184927167639691</v>
      </c>
      <c r="S78" s="124" t="s">
        <v>1050</v>
      </c>
    </row>
    <row r="79" spans="4:19" x14ac:dyDescent="0.25">
      <c r="D79" s="144">
        <v>7</v>
      </c>
      <c r="E79" s="124" t="str">
        <f>IF(E73="","",IF($F$72="None","","Vanguard: "))</f>
        <v/>
      </c>
      <c r="R79" s="124">
        <f t="shared" ca="1" si="14"/>
        <v>8.2333165621071625E-2</v>
      </c>
      <c r="S79" s="124" t="s">
        <v>1029</v>
      </c>
    </row>
    <row r="80" spans="4:19" x14ac:dyDescent="0.25">
      <c r="D80" s="144">
        <v>8</v>
      </c>
      <c r="E80" s="124" t="str">
        <f>IF(E73="","",IF($F$72="None","",2))</f>
        <v/>
      </c>
      <c r="R80" s="124">
        <f t="shared" ca="1" si="14"/>
        <v>0.9951417703695502</v>
      </c>
      <c r="S80" s="124" t="s">
        <v>1026</v>
      </c>
    </row>
    <row r="81" spans="4:19" x14ac:dyDescent="0.25">
      <c r="D81" s="144">
        <v>9</v>
      </c>
      <c r="E81" s="124" t="str">
        <f>IF(E73="","",IF($F$72="None","",1))</f>
        <v/>
      </c>
      <c r="R81" s="124">
        <f t="shared" ca="1" si="14"/>
        <v>0.43010189349543371</v>
      </c>
      <c r="S81" s="124" t="s">
        <v>1051</v>
      </c>
    </row>
    <row r="82" spans="4:19" x14ac:dyDescent="0.25">
      <c r="R82" s="124">
        <f t="shared" ca="1" si="14"/>
        <v>0.88292794116685946</v>
      </c>
      <c r="S82" s="124" t="s">
        <v>1033</v>
      </c>
    </row>
    <row r="83" spans="4:19" x14ac:dyDescent="0.25">
      <c r="R83" s="124">
        <f t="shared" ca="1" si="14"/>
        <v>0.58276355348726072</v>
      </c>
      <c r="S83" s="124" t="s">
        <v>1053</v>
      </c>
    </row>
    <row r="84" spans="4:19" x14ac:dyDescent="0.25">
      <c r="R84" s="124">
        <f t="shared" ca="1" si="14"/>
        <v>6.2318018645978746E-2</v>
      </c>
      <c r="S84" s="124" t="s">
        <v>1025</v>
      </c>
    </row>
    <row r="85" spans="4:19" x14ac:dyDescent="0.25">
      <c r="R85" s="124">
        <f t="shared" ca="1" si="14"/>
        <v>0.45161351581753351</v>
      </c>
      <c r="S85" s="124" t="s">
        <v>1060</v>
      </c>
    </row>
    <row r="86" spans="4:19" x14ac:dyDescent="0.25">
      <c r="R86" s="124">
        <f t="shared" ca="1" si="14"/>
        <v>0.9222912921462828</v>
      </c>
      <c r="S86" s="124" t="s">
        <v>1023</v>
      </c>
    </row>
    <row r="87" spans="4:19" x14ac:dyDescent="0.25">
      <c r="R87" s="124">
        <f t="shared" ca="1" si="14"/>
        <v>0.95360291167937539</v>
      </c>
      <c r="S87" s="124" t="s">
        <v>1038</v>
      </c>
    </row>
    <row r="88" spans="4:19" x14ac:dyDescent="0.25">
      <c r="R88" s="124">
        <f t="shared" ca="1" si="14"/>
        <v>7.1446836516051437E-2</v>
      </c>
      <c r="S88" s="124" t="s">
        <v>1055</v>
      </c>
    </row>
    <row r="89" spans="4:19" x14ac:dyDescent="0.25">
      <c r="R89" s="124">
        <f t="shared" ca="1" si="14"/>
        <v>3.1201477476767159E-2</v>
      </c>
      <c r="S89" s="124" t="s">
        <v>1034</v>
      </c>
    </row>
    <row r="90" spans="4:19" x14ac:dyDescent="0.25">
      <c r="R90" s="124">
        <f t="shared" ca="1" si="14"/>
        <v>0.99396759828718784</v>
      </c>
      <c r="S90" s="124" t="s">
        <v>1042</v>
      </c>
    </row>
    <row r="91" spans="4:19" x14ac:dyDescent="0.25">
      <c r="R91" s="124">
        <f t="shared" ca="1" si="14"/>
        <v>0.95640734694224661</v>
      </c>
      <c r="S91" s="124" t="s">
        <v>1031</v>
      </c>
    </row>
    <row r="92" spans="4:19" x14ac:dyDescent="0.25">
      <c r="R92" s="124">
        <f t="shared" ca="1" si="14"/>
        <v>0.74123535836034649</v>
      </c>
      <c r="S92" s="124" t="s">
        <v>1047</v>
      </c>
    </row>
    <row r="93" spans="4:19" x14ac:dyDescent="0.25">
      <c r="R93" s="124">
        <f t="shared" ca="1" si="14"/>
        <v>0.17922544975616084</v>
      </c>
      <c r="S93" s="124" t="s">
        <v>1052</v>
      </c>
    </row>
    <row r="94" spans="4:19" x14ac:dyDescent="0.25">
      <c r="R94" s="124">
        <f t="shared" ca="1" si="14"/>
        <v>4.1767469468922958E-2</v>
      </c>
      <c r="S94" s="124" t="s">
        <v>1056</v>
      </c>
    </row>
    <row r="95" spans="4:19" x14ac:dyDescent="0.25">
      <c r="R95" s="124">
        <f t="shared" ca="1" si="14"/>
        <v>0.81849879485084875</v>
      </c>
      <c r="S95" s="124" t="s">
        <v>1062</v>
      </c>
    </row>
    <row r="96" spans="4:19" x14ac:dyDescent="0.25">
      <c r="R96" s="124">
        <f t="shared" ca="1" si="14"/>
        <v>0.30546536000101765</v>
      </c>
      <c r="S96" s="124" t="s">
        <v>1059</v>
      </c>
    </row>
    <row r="97" spans="18:19" x14ac:dyDescent="0.25">
      <c r="R97" s="124">
        <f t="shared" ca="1" si="14"/>
        <v>0.50844458887462729</v>
      </c>
      <c r="S97" s="124" t="s">
        <v>1032</v>
      </c>
    </row>
    <row r="98" spans="18:19" x14ac:dyDescent="0.25">
      <c r="R98" s="124">
        <f t="shared" ca="1" si="14"/>
        <v>0.47631793247872634</v>
      </c>
      <c r="S98" s="124" t="s">
        <v>1027</v>
      </c>
    </row>
    <row r="99" spans="18:19" x14ac:dyDescent="0.25">
      <c r="R99" s="124">
        <f t="shared" ca="1" si="14"/>
        <v>4.4249678745895804E-2</v>
      </c>
      <c r="S99" s="124" t="s">
        <v>1061</v>
      </c>
    </row>
    <row r="100" spans="18:19" x14ac:dyDescent="0.25">
      <c r="R100" s="124">
        <f t="shared" ca="1" si="14"/>
        <v>0.8134718698765685</v>
      </c>
      <c r="S100" s="124" t="s">
        <v>1035</v>
      </c>
    </row>
    <row r="101" spans="18:19" x14ac:dyDescent="0.25">
      <c r="R101" s="124">
        <f t="shared" ca="1" si="14"/>
        <v>0.34380991149683127</v>
      </c>
      <c r="S101" s="124" t="s">
        <v>1048</v>
      </c>
    </row>
    <row r="102" spans="18:19" x14ac:dyDescent="0.25">
      <c r="R102" s="124">
        <f t="shared" ca="1" si="14"/>
        <v>0.1611783885232706</v>
      </c>
      <c r="S102" s="124" t="s">
        <v>1046</v>
      </c>
    </row>
    <row r="103" spans="18:19" x14ac:dyDescent="0.25">
      <c r="R103" s="124">
        <f t="shared" ca="1" si="14"/>
        <v>0.32485386300885133</v>
      </c>
      <c r="S103" s="124" t="s">
        <v>1044</v>
      </c>
    </row>
    <row r="104" spans="18:19" x14ac:dyDescent="0.25">
      <c r="R104" s="124">
        <f t="shared" ca="1" si="14"/>
        <v>0.51743577757384585</v>
      </c>
      <c r="S104" s="124" t="s">
        <v>1036</v>
      </c>
    </row>
    <row r="105" spans="18:19" x14ac:dyDescent="0.25">
      <c r="R105" s="124">
        <f t="shared" ca="1" si="14"/>
        <v>0.80492618908471614</v>
      </c>
      <c r="S105" s="124" t="s">
        <v>1040</v>
      </c>
    </row>
    <row r="106" spans="18:19" x14ac:dyDescent="0.25">
      <c r="R106" s="124">
        <f t="shared" ca="1" si="14"/>
        <v>0.92126634571223542</v>
      </c>
      <c r="S106" s="124" t="s">
        <v>1045</v>
      </c>
    </row>
    <row r="107" spans="18:19" x14ac:dyDescent="0.25">
      <c r="R107" s="124">
        <f t="shared" ca="1" si="14"/>
        <v>0.15643513039394896</v>
      </c>
      <c r="S107" s="124" t="s">
        <v>1021</v>
      </c>
    </row>
  </sheetData>
  <sortState ref="AA9:AB50">
    <sortCondition ref="AA9"/>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306"/>
  <sheetViews>
    <sheetView workbookViewId="0">
      <pane xSplit="9" ySplit="48" topLeftCell="J296" activePane="bottomRight" state="frozen"/>
      <selection pane="topRight" activeCell="J1" sqref="J1"/>
      <selection pane="bottomLeft" activeCell="A49" sqref="A49"/>
      <selection pane="bottomRight"/>
    </sheetView>
  </sheetViews>
  <sheetFormatPr defaultRowHeight="15" x14ac:dyDescent="0.25"/>
  <cols>
    <col min="3" max="3" width="21" bestFit="1" customWidth="1"/>
    <col min="4" max="4" width="16" customWidth="1"/>
    <col min="6" max="6" width="5" customWidth="1"/>
    <col min="7" max="7" width="12" customWidth="1"/>
    <col min="10" max="10" width="3.85546875" style="1" customWidth="1"/>
    <col min="11" max="11" width="5.28515625" style="2" bestFit="1" customWidth="1"/>
    <col min="12" max="12" width="11.42578125" style="2" bestFit="1" customWidth="1"/>
    <col min="13" max="23" width="17.7109375" customWidth="1"/>
    <col min="24" max="24" width="3.85546875" style="1" customWidth="1"/>
  </cols>
  <sheetData>
    <row r="1" spans="1:23" x14ac:dyDescent="0.25">
      <c r="A1" s="117" t="s">
        <v>1066</v>
      </c>
      <c r="K1" s="163"/>
      <c r="L1" s="163"/>
      <c r="M1" s="164"/>
      <c r="N1" s="164"/>
      <c r="O1" s="164"/>
      <c r="P1" s="164"/>
      <c r="Q1" s="164"/>
      <c r="R1" s="164"/>
      <c r="S1" s="164"/>
      <c r="T1" s="164"/>
      <c r="U1" s="164"/>
      <c r="V1" s="164" t="s">
        <v>1521</v>
      </c>
      <c r="W1" s="164" t="s">
        <v>995</v>
      </c>
    </row>
    <row r="2" spans="1:23" x14ac:dyDescent="0.25">
      <c r="K2" s="163"/>
      <c r="L2" s="163"/>
      <c r="M2" s="164"/>
      <c r="N2" s="164"/>
      <c r="O2" s="164"/>
      <c r="P2" s="164"/>
      <c r="Q2" s="164"/>
      <c r="R2" s="164"/>
      <c r="S2" s="164"/>
      <c r="T2" s="164"/>
      <c r="U2" s="164"/>
      <c r="V2" s="164" t="s">
        <v>995</v>
      </c>
      <c r="W2" s="164" t="s">
        <v>995</v>
      </c>
    </row>
    <row r="3" spans="1:23" x14ac:dyDescent="0.25">
      <c r="C3" s="144" t="s">
        <v>1392</v>
      </c>
      <c r="D3" s="124" t="str">
        <f>IF(D6="Attack",IF(G9&gt;=3,IF(G9=5,"ForceAttackDrop","AttackDropOk"),"NotEnoughCards"),"Wrong Mode")</f>
        <v>Wrong Mode</v>
      </c>
      <c r="F3" s="144">
        <v>1</v>
      </c>
      <c r="G3" s="144" t="s">
        <v>809</v>
      </c>
      <c r="K3" s="163"/>
      <c r="L3" s="163"/>
      <c r="M3" s="164"/>
      <c r="N3" s="164"/>
      <c r="O3" s="164"/>
      <c r="P3" s="164"/>
      <c r="Q3" s="164"/>
      <c r="R3" s="164"/>
      <c r="S3" s="164"/>
      <c r="T3" s="164"/>
      <c r="U3" s="164"/>
      <c r="V3" s="164" t="s">
        <v>995</v>
      </c>
      <c r="W3" s="164" t="s">
        <v>995</v>
      </c>
    </row>
    <row r="4" spans="1:23" x14ac:dyDescent="0.25">
      <c r="C4" s="144" t="s">
        <v>1393</v>
      </c>
      <c r="D4" s="124" t="str">
        <f>IF(D6="Attack",IF(G10&gt;=3,IF(COUNTIF(M1:M300,VLOOKUP("Defending",Setup!Y28:AC29,5,0))=1,"AlreadyDropped",IF(COUNTIF(M1:M300,"WildCard")=3,"NoMoreWildCards","DefenseDropOk")),"NotEnoughCards"),"Wrong Mode")</f>
        <v>Wrong Mode</v>
      </c>
      <c r="F4" s="144">
        <v>2</v>
      </c>
      <c r="G4" s="144" t="s">
        <v>5</v>
      </c>
      <c r="K4" s="163"/>
      <c r="L4" s="163"/>
      <c r="M4" s="164"/>
      <c r="N4" s="164"/>
      <c r="O4" s="164"/>
      <c r="P4" s="164"/>
      <c r="Q4" s="164"/>
      <c r="R4" s="164"/>
      <c r="S4" s="164"/>
      <c r="T4" s="164"/>
      <c r="U4" s="164"/>
      <c r="V4" s="164" t="s">
        <v>1495</v>
      </c>
      <c r="W4" s="164" t="s">
        <v>995</v>
      </c>
    </row>
    <row r="5" spans="1:23" x14ac:dyDescent="0.25">
      <c r="F5" s="144">
        <v>3</v>
      </c>
      <c r="G5" s="144" t="s">
        <v>807</v>
      </c>
      <c r="K5" s="163"/>
      <c r="L5" s="163"/>
      <c r="M5" s="164"/>
      <c r="N5" s="164"/>
      <c r="O5" s="164"/>
      <c r="P5" s="164"/>
      <c r="Q5" s="164"/>
      <c r="R5" s="164"/>
      <c r="S5" s="164"/>
      <c r="T5" s="164"/>
      <c r="U5" s="164"/>
      <c r="V5" s="164" t="s">
        <v>995</v>
      </c>
      <c r="W5" s="164" t="s">
        <v>995</v>
      </c>
    </row>
    <row r="6" spans="1:23" x14ac:dyDescent="0.25">
      <c r="C6" s="144" t="s">
        <v>1068</v>
      </c>
      <c r="D6" s="124">
        <f>Setup!AC55</f>
        <v>0</v>
      </c>
      <c r="K6" s="163"/>
      <c r="L6" s="163"/>
      <c r="M6" s="164"/>
      <c r="N6" s="164"/>
      <c r="O6" s="164"/>
      <c r="P6" s="164"/>
      <c r="Q6" s="164"/>
      <c r="R6" s="164"/>
      <c r="S6" s="164"/>
      <c r="T6" s="164"/>
      <c r="U6" s="164"/>
      <c r="V6" s="164" t="s">
        <v>995</v>
      </c>
      <c r="W6" s="164" t="s">
        <v>995</v>
      </c>
    </row>
    <row r="7" spans="1:23" x14ac:dyDescent="0.25">
      <c r="K7" s="163"/>
      <c r="L7" s="163"/>
      <c r="M7" s="164"/>
      <c r="N7" s="164"/>
      <c r="O7" s="164"/>
      <c r="P7" s="164"/>
      <c r="Q7" s="164"/>
      <c r="R7" s="164"/>
      <c r="S7" s="164"/>
      <c r="T7" s="164"/>
      <c r="U7" s="164"/>
      <c r="V7" s="164" t="s">
        <v>1496</v>
      </c>
      <c r="W7" s="164" t="s">
        <v>1497</v>
      </c>
    </row>
    <row r="8" spans="1:23" x14ac:dyDescent="0.25">
      <c r="E8" s="144" t="s">
        <v>1413</v>
      </c>
      <c r="F8" s="144" t="s">
        <v>1414</v>
      </c>
      <c r="G8" s="144" t="s">
        <v>1412</v>
      </c>
      <c r="K8" s="163"/>
      <c r="L8" s="163"/>
      <c r="M8" s="164"/>
      <c r="N8" s="164"/>
      <c r="O8" s="164"/>
      <c r="P8" s="164"/>
      <c r="Q8" s="164"/>
      <c r="R8" s="164"/>
      <c r="S8" s="164"/>
      <c r="T8" s="164"/>
      <c r="U8" s="164"/>
      <c r="V8" s="164" t="s">
        <v>995</v>
      </c>
      <c r="W8" s="164" t="s">
        <v>995</v>
      </c>
    </row>
    <row r="9" spans="1:23" x14ac:dyDescent="0.25">
      <c r="C9" s="144" t="s">
        <v>1019</v>
      </c>
      <c r="D9" s="124">
        <f>Setup!AC48</f>
        <v>0</v>
      </c>
      <c r="E9" s="124">
        <f>COUNTIF(GameLog!AD:AD,Drop!D9)</f>
        <v>0</v>
      </c>
      <c r="F9" s="124">
        <f>COUNTIF($L$1:$L$300,D9)</f>
        <v>0</v>
      </c>
      <c r="G9" s="124">
        <f>E9-F9</f>
        <v>0</v>
      </c>
      <c r="K9" s="163"/>
      <c r="L9" s="163"/>
      <c r="M9" s="164"/>
      <c r="N9" s="164"/>
      <c r="O9" s="164"/>
      <c r="P9" s="164"/>
      <c r="Q9" s="164"/>
      <c r="R9" s="164"/>
      <c r="S9" s="164"/>
      <c r="T9" s="164"/>
      <c r="U9" s="164"/>
      <c r="V9" s="164" t="s">
        <v>995</v>
      </c>
      <c r="W9" s="164" t="s">
        <v>995</v>
      </c>
    </row>
    <row r="10" spans="1:23" x14ac:dyDescent="0.25">
      <c r="C10" s="144" t="s">
        <v>1020</v>
      </c>
      <c r="D10" s="124">
        <f>Setup!AC49</f>
        <v>0</v>
      </c>
      <c r="E10" s="124">
        <f>COUNTIF(GameLog!AD:AD,Drop!D10)</f>
        <v>0</v>
      </c>
      <c r="F10" s="124">
        <f>COUNTIF($L$1:$L$300,D10)</f>
        <v>0</v>
      </c>
      <c r="G10" s="124">
        <f>E10-F10</f>
        <v>0</v>
      </c>
      <c r="K10" s="163"/>
      <c r="L10" s="163"/>
      <c r="M10" s="164"/>
      <c r="N10" s="164"/>
      <c r="O10" s="164"/>
      <c r="P10" s="164"/>
      <c r="Q10" s="164"/>
      <c r="R10" s="164"/>
      <c r="S10" s="164"/>
      <c r="T10" s="164"/>
      <c r="U10" s="164"/>
      <c r="V10" s="164" t="s">
        <v>995</v>
      </c>
      <c r="W10" s="164" t="s">
        <v>995</v>
      </c>
    </row>
    <row r="11" spans="1:23" x14ac:dyDescent="0.25">
      <c r="E11" s="144" t="s">
        <v>389</v>
      </c>
      <c r="K11" s="163"/>
      <c r="L11" s="163"/>
      <c r="M11" s="164"/>
      <c r="N11" s="164"/>
      <c r="O11" s="164"/>
      <c r="P11" s="164"/>
      <c r="Q11" s="164"/>
      <c r="R11" s="164"/>
      <c r="S11" s="164"/>
      <c r="T11" s="164"/>
      <c r="U11" s="164"/>
      <c r="V11" s="164" t="s">
        <v>995</v>
      </c>
      <c r="W11" s="164" t="s">
        <v>995</v>
      </c>
    </row>
    <row r="12" spans="1:23" x14ac:dyDescent="0.25">
      <c r="C12" s="144" t="s">
        <v>1399</v>
      </c>
      <c r="D12" s="124" t="str">
        <f>IF(Setup!AC35="AttackDropConfirm",Setup!AC48,IF(Setup!AC35="DefenseDropConfirm",Setup!AC49,"Undecided"))</f>
        <v>Undecided</v>
      </c>
      <c r="E12" s="124" t="str">
        <f>IF(ISNA(VLOOKUP(D12,$D$9:$G$10,4,0)),"Undecided",VLOOKUP(D12,$D$9:$G$10,4,0))</f>
        <v>Undecided</v>
      </c>
      <c r="K12" s="163"/>
      <c r="L12" s="163"/>
      <c r="M12" s="164"/>
      <c r="N12" s="164"/>
      <c r="O12" s="164"/>
      <c r="P12" s="164"/>
      <c r="Q12" s="164"/>
      <c r="R12" s="164"/>
      <c r="S12" s="164"/>
      <c r="T12" s="164"/>
      <c r="U12" s="164"/>
      <c r="V12" s="164" t="s">
        <v>995</v>
      </c>
      <c r="W12" s="164" t="s">
        <v>995</v>
      </c>
    </row>
    <row r="13" spans="1:23" x14ac:dyDescent="0.25">
      <c r="C13" s="144" t="s">
        <v>1400</v>
      </c>
      <c r="D13" s="124" t="str">
        <f>IF(ISNA(VLOOKUP(D12,Setup!Y19:Z20,2,0)),"Undecided",VLOOKUP(D12,Setup!Y19:Z20,2,0))</f>
        <v>Undecided</v>
      </c>
      <c r="E13" s="124" t="str">
        <f>IF(ISNA(VLOOKUP(D13,$D$9:$G$10,4,0)),"Undecided",VLOOKUP(D13,$D$9:$G$10,4,0))</f>
        <v>Undecided</v>
      </c>
      <c r="K13" s="163"/>
      <c r="L13" s="163"/>
      <c r="M13" s="164"/>
      <c r="N13" s="164"/>
      <c r="O13" s="164"/>
      <c r="P13" s="164"/>
      <c r="Q13" s="164"/>
      <c r="R13" s="164"/>
      <c r="S13" s="164"/>
      <c r="T13" s="164"/>
      <c r="U13" s="164"/>
      <c r="V13" s="164" t="s">
        <v>1487</v>
      </c>
      <c r="W13" s="164" t="s">
        <v>995</v>
      </c>
    </row>
    <row r="14" spans="1:23" x14ac:dyDescent="0.25">
      <c r="K14" s="163"/>
      <c r="L14" s="163"/>
      <c r="M14" s="164"/>
      <c r="N14" s="164"/>
      <c r="O14" s="164"/>
      <c r="P14" s="164"/>
      <c r="Q14" s="164"/>
      <c r="R14" s="164"/>
      <c r="S14" s="164"/>
      <c r="T14" s="164"/>
      <c r="U14" s="164"/>
      <c r="V14" s="164" t="s">
        <v>995</v>
      </c>
      <c r="W14" s="164" t="s">
        <v>995</v>
      </c>
    </row>
    <row r="15" spans="1:23" x14ac:dyDescent="0.25">
      <c r="C15" s="144" t="s">
        <v>1397</v>
      </c>
      <c r="D15" s="124">
        <f>MapReference!$Q$2</f>
        <v>0</v>
      </c>
      <c r="E15" s="124" t="str">
        <f>IF(ISNA(VLOOKUP(D15,MapReference!$Q$9:$S$50,3,0)&amp;"-"),"None",VLOOKUP(D15,MapReference!$Q$9:$S$50,3,0))</f>
        <v>None</v>
      </c>
      <c r="F15" s="124"/>
      <c r="G15" s="124" t="str">
        <f>IF(LEFT(E15,2)="PL",E15&amp;F15,"")</f>
        <v/>
      </c>
      <c r="H15" s="124" t="str">
        <f ca="1">IF(G15="","",G15&amp;VLOOKUP(RANDBETWEEN(1,6),IF($D$12=LEFT(G15,3),Reference!$H$14:$I$19,Reference!$H$21:$I$26),2,0))</f>
        <v/>
      </c>
      <c r="K15" s="163"/>
      <c r="L15" s="163"/>
      <c r="M15" s="164"/>
      <c r="N15" s="164"/>
      <c r="O15" s="164"/>
      <c r="P15" s="164"/>
      <c r="Q15" s="164"/>
      <c r="R15" s="164"/>
      <c r="S15" s="164"/>
      <c r="T15" s="164"/>
      <c r="U15" s="164"/>
      <c r="V15" s="164" t="s">
        <v>995</v>
      </c>
      <c r="W15" s="164" t="s">
        <v>995</v>
      </c>
    </row>
    <row r="16" spans="1:23" x14ac:dyDescent="0.25">
      <c r="D16" s="124">
        <f>D15</f>
        <v>0</v>
      </c>
      <c r="E16" s="124" t="str">
        <f>IF(ISNA(VLOOKUP(D16,MapReference!$Q$9:$S$50,3,0)&amp;"-"),"None",VLOOKUP(D16,MapReference!$Q$9:$S$50,3,0)&amp;"-")</f>
        <v>None</v>
      </c>
      <c r="F16" s="124" t="str">
        <f ca="1">IF(LEFT(E16,2)="PL",VLOOKUP(RANDBETWEEN(1,3),$F$3:$G$5,2,0),"")</f>
        <v/>
      </c>
      <c r="G16" s="124" t="str">
        <f>IF(LEFT(E16,2)="PL",VLOOKUP(E16&amp;F16,Setup!K:L,2,0),"")</f>
        <v/>
      </c>
      <c r="H16" s="124" t="str">
        <f ca="1">IF(G16="","",G16&amp;VLOOKUP(RANDBETWEEN(1,6),IF($D$12=LEFT(G16,3),Reference!$H$14:$I$19,Reference!$H$21:$I$26),2,0))</f>
        <v/>
      </c>
      <c r="K16" s="163"/>
      <c r="L16" s="163"/>
      <c r="M16" s="164"/>
      <c r="N16" s="164"/>
      <c r="O16" s="164"/>
      <c r="P16" s="164"/>
      <c r="Q16" s="164"/>
      <c r="R16" s="164"/>
      <c r="S16" s="164"/>
      <c r="T16" s="164"/>
      <c r="U16" s="164"/>
      <c r="V16" s="164" t="s">
        <v>995</v>
      </c>
      <c r="W16" s="164" t="s">
        <v>995</v>
      </c>
    </row>
    <row r="17" spans="3:23" x14ac:dyDescent="0.25">
      <c r="C17" s="144" t="s">
        <v>1222</v>
      </c>
      <c r="D17" s="124" t="str">
        <f>MapReference!Q55</f>
        <v/>
      </c>
      <c r="E17" s="124" t="str">
        <f>IF(ISNA(VLOOKUP(D17,MapReference!$Q$9:$S$50,3,0)&amp;"-"),"None",VLOOKUP(D17,MapReference!$Q$9:$S$50,3,0)&amp;"-")</f>
        <v>None</v>
      </c>
      <c r="F17" s="124" t="str">
        <f t="shared" ref="F17:F24" ca="1" si="0">IF(LEFT(E17,2)="PL",VLOOKUP(RANDBETWEEN(1,3),$F$3:$G$5,2,0),"")</f>
        <v/>
      </c>
      <c r="G17" s="124" t="str">
        <f>IF(LEFT(E17,2)="PL",VLOOKUP(E17&amp;F17,Setup!K:L,2,0),"")</f>
        <v/>
      </c>
      <c r="H17" s="124" t="str">
        <f ca="1">IF(G17="","",G17&amp;VLOOKUP(RANDBETWEEN(1,6),IF($D$12=LEFT(G17,3),Reference!$H$14:$I$19,Reference!$H$21:$I$26),2,0))</f>
        <v/>
      </c>
      <c r="K17" s="163"/>
      <c r="L17" s="163"/>
      <c r="M17" s="164"/>
      <c r="N17" s="164"/>
      <c r="O17" s="164"/>
      <c r="P17" s="164"/>
      <c r="Q17" s="164"/>
      <c r="R17" s="164"/>
      <c r="S17" s="164"/>
      <c r="T17" s="164"/>
      <c r="U17" s="164"/>
      <c r="V17" s="164" t="s">
        <v>995</v>
      </c>
      <c r="W17" s="164" t="s">
        <v>995</v>
      </c>
    </row>
    <row r="18" spans="3:23" x14ac:dyDescent="0.25">
      <c r="D18" s="124" t="str">
        <f>MapReference!Q56</f>
        <v/>
      </c>
      <c r="E18" s="124" t="str">
        <f>IF(ISNA(VLOOKUP(D18,MapReference!$Q$9:$S$50,3,0)&amp;"-"),"None",VLOOKUP(D18,MapReference!$Q$9:$S$50,3,0)&amp;"-")</f>
        <v>None</v>
      </c>
      <c r="F18" s="124" t="str">
        <f t="shared" ca="1" si="0"/>
        <v/>
      </c>
      <c r="G18" s="124" t="str">
        <f>IF(LEFT(E18,2)="PL",VLOOKUP(E18&amp;F18,Setup!K:L,2,0),"")</f>
        <v/>
      </c>
      <c r="H18" s="124" t="str">
        <f ca="1">IF(G18="","",G18&amp;VLOOKUP(RANDBETWEEN(1,6),IF($D$12=LEFT(G18,3),Reference!$H$14:$I$19,Reference!$H$21:$I$26),2,0))</f>
        <v/>
      </c>
      <c r="K18" s="163"/>
      <c r="L18" s="163"/>
      <c r="M18" s="164"/>
      <c r="N18" s="164"/>
      <c r="O18" s="164"/>
      <c r="P18" s="164"/>
      <c r="Q18" s="164"/>
      <c r="R18" s="164"/>
      <c r="S18" s="164"/>
      <c r="T18" s="164"/>
      <c r="U18" s="164"/>
      <c r="V18" s="164" t="s">
        <v>995</v>
      </c>
      <c r="W18" s="164" t="s">
        <v>995</v>
      </c>
    </row>
    <row r="19" spans="3:23" x14ac:dyDescent="0.25">
      <c r="D19" s="124" t="str">
        <f>MapReference!Q57</f>
        <v/>
      </c>
      <c r="E19" s="124" t="str">
        <f>IF(ISNA(VLOOKUP(D19,MapReference!$Q$9:$S$50,3,0)&amp;"-"),"None",VLOOKUP(D19,MapReference!$Q$9:$S$50,3,0)&amp;"-")</f>
        <v>None</v>
      </c>
      <c r="F19" s="124" t="str">
        <f t="shared" ca="1" si="0"/>
        <v/>
      </c>
      <c r="G19" s="124" t="str">
        <f>IF(LEFT(E19,2)="PL",VLOOKUP(E19&amp;F19,Setup!K:L,2,0),"")</f>
        <v/>
      </c>
      <c r="H19" s="124" t="str">
        <f ca="1">IF(G19="","",G19&amp;VLOOKUP(RANDBETWEEN(1,6),IF($D$12=LEFT(G19,3),Reference!$H$14:$I$19,Reference!$H$21:$I$26),2,0))</f>
        <v/>
      </c>
      <c r="K19" s="163"/>
      <c r="L19" s="163"/>
      <c r="M19" s="164"/>
      <c r="N19" s="164"/>
      <c r="O19" s="164"/>
      <c r="P19" s="164"/>
      <c r="Q19" s="164"/>
      <c r="R19" s="164"/>
      <c r="S19" s="164"/>
      <c r="T19" s="164"/>
      <c r="U19" s="164"/>
      <c r="V19" s="164" t="s">
        <v>1498</v>
      </c>
      <c r="W19" s="164" t="s">
        <v>1488</v>
      </c>
    </row>
    <row r="20" spans="3:23" x14ac:dyDescent="0.25">
      <c r="D20" s="124" t="str">
        <f>MapReference!Q58</f>
        <v/>
      </c>
      <c r="E20" s="124" t="str">
        <f>IF(ISNA(VLOOKUP(D20,MapReference!$Q$9:$S$50,3,0)&amp;"-"),"None",VLOOKUP(D20,MapReference!$Q$9:$S$50,3,0)&amp;"-")</f>
        <v>None</v>
      </c>
      <c r="F20" s="124" t="str">
        <f t="shared" ca="1" si="0"/>
        <v/>
      </c>
      <c r="G20" s="124" t="str">
        <f>IF(LEFT(E20,2)="PL",VLOOKUP(E20&amp;F20,Setup!K:L,2,0),"")</f>
        <v/>
      </c>
      <c r="H20" s="124" t="str">
        <f ca="1">IF(G20="","",G20&amp;VLOOKUP(RANDBETWEEN(1,6),IF($D$12=LEFT(G20,3),Reference!$H$14:$I$19,Reference!$H$21:$I$26),2,0))</f>
        <v/>
      </c>
      <c r="K20" s="163"/>
      <c r="L20" s="163"/>
      <c r="M20" s="164"/>
      <c r="N20" s="164"/>
      <c r="O20" s="164"/>
      <c r="P20" s="164"/>
      <c r="Q20" s="164"/>
      <c r="R20" s="164"/>
      <c r="S20" s="164"/>
      <c r="T20" s="164"/>
      <c r="U20" s="164"/>
      <c r="V20" s="164" t="s">
        <v>995</v>
      </c>
      <c r="W20" s="164" t="s">
        <v>995</v>
      </c>
    </row>
    <row r="21" spans="3:23" x14ac:dyDescent="0.25">
      <c r="D21" s="124" t="str">
        <f>MapReference!Q59</f>
        <v/>
      </c>
      <c r="E21" s="124" t="str">
        <f>IF(ISNA(VLOOKUP(D21,MapReference!$Q$9:$S$50,3,0)&amp;"-"),"None",VLOOKUP(D21,MapReference!$Q$9:$S$50,3,0)&amp;"-")</f>
        <v>None</v>
      </c>
      <c r="F21" s="124" t="str">
        <f t="shared" ca="1" si="0"/>
        <v/>
      </c>
      <c r="G21" s="124" t="str">
        <f>IF(LEFT(E21,2)="PL",VLOOKUP(E21&amp;F21,Setup!K:L,2,0),"")</f>
        <v/>
      </c>
      <c r="H21" s="124" t="str">
        <f ca="1">IF(G21="","",G21&amp;VLOOKUP(RANDBETWEEN(1,6),IF($D$12=LEFT(G21,3),Reference!$H$14:$I$19,Reference!$H$21:$I$26),2,0))</f>
        <v/>
      </c>
      <c r="K21" s="163"/>
      <c r="L21" s="163"/>
      <c r="M21" s="164"/>
      <c r="N21" s="164"/>
      <c r="O21" s="164"/>
      <c r="P21" s="164"/>
      <c r="Q21" s="164"/>
      <c r="R21" s="164"/>
      <c r="S21" s="164"/>
      <c r="T21" s="164"/>
      <c r="U21" s="164"/>
      <c r="V21" s="164" t="s">
        <v>995</v>
      </c>
      <c r="W21" s="164" t="s">
        <v>995</v>
      </c>
    </row>
    <row r="22" spans="3:23" x14ac:dyDescent="0.25">
      <c r="D22" s="124" t="str">
        <f>MapReference!Q60</f>
        <v/>
      </c>
      <c r="E22" s="124" t="str">
        <f>IF(ISNA(VLOOKUP(D22,MapReference!$Q$9:$S$50,3,0)&amp;"-"),"None",VLOOKUP(D22,MapReference!$Q$9:$S$50,3,0)&amp;"-")</f>
        <v>None</v>
      </c>
      <c r="F22" s="124" t="str">
        <f t="shared" ca="1" si="0"/>
        <v/>
      </c>
      <c r="G22" s="124" t="str">
        <f>IF(LEFT(E22,2)="PL",VLOOKUP(E22&amp;F22,Setup!K:L,2,0),"")</f>
        <v/>
      </c>
      <c r="H22" s="124" t="str">
        <f ca="1">IF(G22="","",G22&amp;VLOOKUP(RANDBETWEEN(1,6),IF($D$12=LEFT(G22,3),Reference!$H$14:$I$19,Reference!$H$21:$I$26),2,0))</f>
        <v/>
      </c>
      <c r="K22" s="163"/>
      <c r="L22" s="163"/>
      <c r="M22" s="164"/>
      <c r="N22" s="164"/>
      <c r="O22" s="164"/>
      <c r="P22" s="164"/>
      <c r="Q22" s="164"/>
      <c r="R22" s="164"/>
      <c r="S22" s="164"/>
      <c r="T22" s="164"/>
      <c r="U22" s="164"/>
      <c r="V22" s="164" t="s">
        <v>995</v>
      </c>
      <c r="W22" s="164" t="s">
        <v>995</v>
      </c>
    </row>
    <row r="23" spans="3:23" x14ac:dyDescent="0.25">
      <c r="C23" s="144" t="s">
        <v>1330</v>
      </c>
      <c r="D23" s="124" t="str">
        <f>IF(ISNA(VLOOKUP("Attacking From",Setup!$Y$28:$AC$29,5,0)),"",VLOOKUP("Attacking From",Setup!$Y$28:$AC$29,5,0))</f>
        <v/>
      </c>
      <c r="E23" s="124" t="str">
        <f>IF(ISNA(VLOOKUP(D23,MapReference!$Q$9:$S$50,3,0)&amp;"-"),"None",VLOOKUP(D23,MapReference!$Q$9:$S$50,3,0))</f>
        <v>None</v>
      </c>
      <c r="F23" s="124"/>
      <c r="G23" s="124" t="str">
        <f>IF(LEFT(E23,2)="PL",E23&amp;F23,"")</f>
        <v/>
      </c>
      <c r="H23" s="124" t="str">
        <f ca="1">IF(G23="","",G23&amp;VLOOKUP(RANDBETWEEN(1,6),IF($D$12=LEFT(G23,3),Reference!$H$14:$I$19,Reference!$H$21:$I$26),2,0))</f>
        <v/>
      </c>
      <c r="K23" s="163"/>
      <c r="L23" s="163"/>
      <c r="M23" s="164"/>
      <c r="N23" s="164"/>
      <c r="O23" s="164"/>
      <c r="P23" s="164"/>
      <c r="Q23" s="164"/>
      <c r="R23" s="164"/>
      <c r="S23" s="164"/>
      <c r="T23" s="164"/>
      <c r="U23" s="164"/>
      <c r="V23" s="164" t="s">
        <v>995</v>
      </c>
      <c r="W23" s="164" t="s">
        <v>995</v>
      </c>
    </row>
    <row r="24" spans="3:23" x14ac:dyDescent="0.25">
      <c r="C24" s="144" t="s">
        <v>1479</v>
      </c>
      <c r="D24" s="124" t="str">
        <f>D23</f>
        <v/>
      </c>
      <c r="E24" s="124" t="str">
        <f>IF(ISNA(VLOOKUP(D24,MapReference!$Q$9:$S$50,3,0)&amp;"-"),"None",VLOOKUP(D24,MapReference!$Q$9:$S$50,3,0)&amp;"-")</f>
        <v>None</v>
      </c>
      <c r="F24" s="124" t="str">
        <f t="shared" ca="1" si="0"/>
        <v/>
      </c>
      <c r="G24" s="124" t="str">
        <f>IF(LEFT(E24,2)="PL",VLOOKUP(E24&amp;F24,Setup!K:L,2,0),"")</f>
        <v/>
      </c>
      <c r="H24" s="124" t="str">
        <f ca="1">IF(G24="","",G24&amp;VLOOKUP(RANDBETWEEN(1,6),IF($D$12=LEFT(G24,3),Reference!$H$14:$I$19,Reference!$H$21:$I$26),2,0))</f>
        <v/>
      </c>
      <c r="K24" s="163"/>
      <c r="L24" s="163"/>
      <c r="M24" s="164"/>
      <c r="N24" s="164"/>
      <c r="O24" s="164"/>
      <c r="P24" s="164"/>
      <c r="Q24" s="164"/>
      <c r="R24" s="164"/>
      <c r="S24" s="164"/>
      <c r="T24" s="164"/>
      <c r="U24" s="164"/>
      <c r="V24" s="164" t="s">
        <v>995</v>
      </c>
      <c r="W24" s="164" t="s">
        <v>995</v>
      </c>
    </row>
    <row r="25" spans="3:23" x14ac:dyDescent="0.25">
      <c r="K25" s="163"/>
      <c r="L25" s="163"/>
      <c r="M25" s="164"/>
      <c r="N25" s="164"/>
      <c r="O25" s="164"/>
      <c r="P25" s="164"/>
      <c r="Q25" s="164"/>
      <c r="R25" s="164"/>
      <c r="S25" s="164"/>
      <c r="T25" s="164"/>
      <c r="U25" s="164"/>
      <c r="V25" s="164" t="s">
        <v>995</v>
      </c>
      <c r="W25" s="164" t="s">
        <v>995</v>
      </c>
    </row>
    <row r="26" spans="3:23" x14ac:dyDescent="0.25">
      <c r="K26" s="163"/>
      <c r="L26" s="163"/>
      <c r="M26" s="164"/>
      <c r="N26" s="164"/>
      <c r="O26" s="164"/>
      <c r="P26" s="164"/>
      <c r="Q26" s="164"/>
      <c r="R26" s="164"/>
      <c r="S26" s="164"/>
      <c r="T26" s="164"/>
      <c r="U26" s="164"/>
      <c r="V26" s="164" t="s">
        <v>995</v>
      </c>
      <c r="W26" s="164" t="s">
        <v>995</v>
      </c>
    </row>
    <row r="27" spans="3:23" x14ac:dyDescent="0.25">
      <c r="K27" s="163"/>
      <c r="L27" s="163"/>
      <c r="M27" s="164"/>
      <c r="N27" s="164"/>
      <c r="O27" s="164"/>
      <c r="P27" s="164"/>
      <c r="Q27" s="164"/>
      <c r="R27" s="164"/>
      <c r="S27" s="164"/>
      <c r="T27" s="164"/>
      <c r="U27" s="164"/>
      <c r="V27" s="164" t="s">
        <v>995</v>
      </c>
      <c r="W27" s="164" t="s">
        <v>995</v>
      </c>
    </row>
    <row r="28" spans="3:23" x14ac:dyDescent="0.25">
      <c r="C28" s="144" t="s">
        <v>1410</v>
      </c>
      <c r="D28" s="124" t="str">
        <f>IF(Setup!AC36=1,"DropPlayComplete",IF(COUNTIF(M1:M300,D15)=0,IF(D15=0,"SelectCountry","DropPlayOk"),"AlreadyDropped"))</f>
        <v>SelectCountry</v>
      </c>
      <c r="K28" s="163"/>
      <c r="L28" s="163"/>
      <c r="M28" s="164"/>
      <c r="N28" s="164"/>
      <c r="O28" s="164"/>
      <c r="P28" s="164"/>
      <c r="Q28" s="164"/>
      <c r="R28" s="164"/>
      <c r="S28" s="164"/>
      <c r="T28" s="164"/>
      <c r="U28" s="164"/>
      <c r="V28" s="164" t="s">
        <v>995</v>
      </c>
      <c r="W28" s="164" t="s">
        <v>995</v>
      </c>
    </row>
    <row r="29" spans="3:23" x14ac:dyDescent="0.25">
      <c r="K29" s="163"/>
      <c r="L29" s="163"/>
      <c r="M29" s="164"/>
      <c r="N29" s="164"/>
      <c r="O29" s="164"/>
      <c r="P29" s="164"/>
      <c r="Q29" s="164"/>
      <c r="R29" s="164"/>
      <c r="S29" s="164"/>
      <c r="T29" s="164"/>
      <c r="U29" s="164"/>
      <c r="V29" s="164" t="s">
        <v>995</v>
      </c>
      <c r="W29" s="164" t="s">
        <v>995</v>
      </c>
    </row>
    <row r="30" spans="3:23" x14ac:dyDescent="0.25">
      <c r="C30" s="144" t="s">
        <v>1330</v>
      </c>
      <c r="D30" s="124" t="str">
        <f>IF(Setup!AC35="DefenseDropConfirm",IF(COUNTIF(M1:M300,VLOOKUP(C30,Setup!Y28:AC29,5,0))=1,"AlreadyDropped",VLOOKUP(C30,Setup!Y28:AC29,5,0)),"NotDefending")</f>
        <v>NotDefending</v>
      </c>
      <c r="E30" s="124" t="str">
        <f>IF(D30="AlreadyDropped","",IF(D12="PL1",Setup!AD56,IF(D12="PL2",Setup!AC56,"Undecided")))</f>
        <v>Undecided</v>
      </c>
      <c r="K30" s="163"/>
      <c r="L30" s="163"/>
      <c r="M30" s="164"/>
      <c r="N30" s="164"/>
      <c r="O30" s="164"/>
      <c r="P30" s="164"/>
      <c r="Q30" s="164"/>
      <c r="R30" s="164"/>
      <c r="S30" s="164"/>
      <c r="T30" s="164"/>
      <c r="U30" s="164"/>
      <c r="V30" s="164" t="s">
        <v>995</v>
      </c>
      <c r="W30" s="164" t="s">
        <v>995</v>
      </c>
    </row>
    <row r="31" spans="3:23" x14ac:dyDescent="0.25">
      <c r="K31" s="163"/>
      <c r="L31" s="163"/>
      <c r="M31" s="164"/>
      <c r="N31" s="164"/>
      <c r="O31" s="164"/>
      <c r="P31" s="164"/>
      <c r="Q31" s="164"/>
      <c r="R31" s="164"/>
      <c r="S31" s="164"/>
      <c r="T31" s="164"/>
      <c r="U31" s="164"/>
      <c r="V31" s="164" t="s">
        <v>995</v>
      </c>
      <c r="W31" s="164" t="s">
        <v>995</v>
      </c>
    </row>
    <row r="32" spans="3:23" x14ac:dyDescent="0.25">
      <c r="K32" s="163"/>
      <c r="L32" s="163"/>
      <c r="M32" s="164"/>
      <c r="N32" s="164"/>
      <c r="O32" s="164"/>
      <c r="P32" s="164"/>
      <c r="Q32" s="164"/>
      <c r="R32" s="164"/>
      <c r="S32" s="164"/>
      <c r="T32" s="164"/>
      <c r="U32" s="164"/>
      <c r="V32" s="164" t="s">
        <v>995</v>
      </c>
      <c r="W32" s="164" t="s">
        <v>995</v>
      </c>
    </row>
    <row r="33" spans="11:23" x14ac:dyDescent="0.25">
      <c r="K33" s="163"/>
      <c r="L33" s="163"/>
      <c r="M33" s="164"/>
      <c r="N33" s="164"/>
      <c r="O33" s="164"/>
      <c r="P33" s="164"/>
      <c r="Q33" s="164"/>
      <c r="R33" s="164"/>
      <c r="S33" s="164"/>
      <c r="T33" s="164"/>
      <c r="U33" s="164"/>
      <c r="V33" s="164" t="s">
        <v>995</v>
      </c>
      <c r="W33" s="164" t="s">
        <v>995</v>
      </c>
    </row>
    <row r="34" spans="11:23" x14ac:dyDescent="0.25">
      <c r="K34" s="163"/>
      <c r="L34" s="163"/>
      <c r="M34" s="164"/>
      <c r="N34" s="164"/>
      <c r="O34" s="164"/>
      <c r="P34" s="164"/>
      <c r="Q34" s="164"/>
      <c r="R34" s="164"/>
      <c r="S34" s="164"/>
      <c r="T34" s="164"/>
      <c r="U34" s="164"/>
      <c r="V34" s="164" t="s">
        <v>995</v>
      </c>
      <c r="W34" s="164" t="s">
        <v>995</v>
      </c>
    </row>
    <row r="35" spans="11:23" x14ac:dyDescent="0.25">
      <c r="K35" s="163"/>
      <c r="L35" s="163"/>
      <c r="M35" s="164"/>
      <c r="N35" s="164"/>
      <c r="O35" s="164"/>
      <c r="P35" s="164"/>
      <c r="Q35" s="164"/>
      <c r="R35" s="164"/>
      <c r="S35" s="164"/>
      <c r="T35" s="164"/>
      <c r="U35" s="164"/>
      <c r="V35" s="164" t="s">
        <v>995</v>
      </c>
      <c r="W35" s="164" t="s">
        <v>995</v>
      </c>
    </row>
    <row r="36" spans="11:23" x14ac:dyDescent="0.25">
      <c r="K36" s="163"/>
      <c r="L36" s="163"/>
      <c r="M36" s="164"/>
      <c r="N36" s="164"/>
      <c r="O36" s="164"/>
      <c r="P36" s="164"/>
      <c r="Q36" s="164"/>
      <c r="R36" s="164"/>
      <c r="S36" s="164"/>
      <c r="T36" s="164"/>
      <c r="U36" s="164"/>
      <c r="V36" s="164" t="s">
        <v>995</v>
      </c>
      <c r="W36" s="164" t="s">
        <v>995</v>
      </c>
    </row>
    <row r="37" spans="11:23" x14ac:dyDescent="0.25">
      <c r="K37" s="163"/>
      <c r="L37" s="163"/>
      <c r="M37" s="164"/>
      <c r="N37" s="164"/>
      <c r="O37" s="164"/>
      <c r="P37" s="164"/>
      <c r="Q37" s="164"/>
      <c r="R37" s="164"/>
      <c r="S37" s="164"/>
      <c r="T37" s="164"/>
      <c r="U37" s="164"/>
      <c r="V37" s="164" t="s">
        <v>995</v>
      </c>
      <c r="W37" s="164" t="s">
        <v>995</v>
      </c>
    </row>
    <row r="38" spans="11:23" x14ac:dyDescent="0.25">
      <c r="K38" s="163"/>
      <c r="L38" s="163"/>
      <c r="M38" s="164"/>
      <c r="N38" s="164"/>
      <c r="O38" s="164"/>
      <c r="P38" s="164"/>
      <c r="Q38" s="164"/>
      <c r="R38" s="164"/>
      <c r="S38" s="164"/>
      <c r="T38" s="164"/>
      <c r="U38" s="164"/>
      <c r="V38" s="164" t="s">
        <v>995</v>
      </c>
      <c r="W38" s="164" t="s">
        <v>995</v>
      </c>
    </row>
    <row r="39" spans="11:23" x14ac:dyDescent="0.25">
      <c r="K39" s="163"/>
      <c r="L39" s="163"/>
      <c r="M39" s="164"/>
      <c r="N39" s="164"/>
      <c r="O39" s="164"/>
      <c r="P39" s="164"/>
      <c r="Q39" s="164"/>
      <c r="R39" s="164"/>
      <c r="S39" s="164"/>
      <c r="T39" s="164"/>
      <c r="U39" s="164"/>
      <c r="V39" s="164" t="s">
        <v>995</v>
      </c>
      <c r="W39" s="164" t="s">
        <v>995</v>
      </c>
    </row>
    <row r="40" spans="11:23" x14ac:dyDescent="0.25">
      <c r="K40" s="163"/>
      <c r="L40" s="163"/>
      <c r="M40" s="164"/>
      <c r="N40" s="164"/>
      <c r="O40" s="164"/>
      <c r="P40" s="164"/>
      <c r="Q40" s="164"/>
      <c r="R40" s="164"/>
      <c r="S40" s="164"/>
      <c r="T40" s="164"/>
      <c r="U40" s="164"/>
      <c r="V40" s="164" t="s">
        <v>995</v>
      </c>
      <c r="W40" s="164" t="s">
        <v>995</v>
      </c>
    </row>
    <row r="41" spans="11:23" x14ac:dyDescent="0.25">
      <c r="K41" s="163"/>
      <c r="L41" s="163"/>
      <c r="M41" s="164"/>
      <c r="N41" s="164"/>
      <c r="O41" s="164"/>
      <c r="P41" s="164"/>
      <c r="Q41" s="164"/>
      <c r="R41" s="164"/>
      <c r="S41" s="164"/>
      <c r="T41" s="164"/>
      <c r="U41" s="164"/>
      <c r="V41" s="164"/>
      <c r="W41" s="164"/>
    </row>
    <row r="42" spans="11:23" x14ac:dyDescent="0.25">
      <c r="K42" s="163"/>
      <c r="L42" s="163"/>
      <c r="M42" s="164"/>
      <c r="N42" s="164"/>
      <c r="O42" s="164"/>
      <c r="P42" s="164"/>
      <c r="Q42" s="164"/>
      <c r="R42" s="164"/>
      <c r="S42" s="164"/>
      <c r="T42" s="164"/>
      <c r="U42" s="164"/>
      <c r="V42" s="164"/>
      <c r="W42" s="164"/>
    </row>
    <row r="43" spans="11:23" x14ac:dyDescent="0.25">
      <c r="K43" s="163"/>
      <c r="L43" s="163"/>
      <c r="M43" s="164"/>
      <c r="N43" s="164"/>
      <c r="O43" s="164"/>
      <c r="P43" s="164"/>
      <c r="Q43" s="164"/>
      <c r="R43" s="164"/>
      <c r="S43" s="164"/>
      <c r="T43" s="164"/>
      <c r="U43" s="164"/>
      <c r="V43" s="164"/>
      <c r="W43" s="164"/>
    </row>
    <row r="44" spans="11:23" x14ac:dyDescent="0.25">
      <c r="K44" s="163"/>
      <c r="L44" s="163"/>
      <c r="M44" s="164"/>
      <c r="N44" s="164"/>
      <c r="O44" s="164"/>
      <c r="P44" s="164"/>
      <c r="Q44" s="164"/>
      <c r="R44" s="164"/>
      <c r="S44" s="164"/>
      <c r="T44" s="164"/>
      <c r="U44" s="164"/>
      <c r="V44" s="164"/>
      <c r="W44" s="164"/>
    </row>
    <row r="45" spans="11:23" x14ac:dyDescent="0.25">
      <c r="K45" s="163"/>
      <c r="L45" s="163"/>
      <c r="M45" s="164"/>
      <c r="N45" s="164"/>
      <c r="O45" s="164"/>
      <c r="P45" s="164"/>
      <c r="Q45" s="164"/>
      <c r="R45" s="164"/>
      <c r="S45" s="164"/>
      <c r="T45" s="164"/>
      <c r="U45" s="164"/>
      <c r="V45" s="164"/>
      <c r="W45" s="164"/>
    </row>
    <row r="46" spans="11:23" x14ac:dyDescent="0.25">
      <c r="K46" s="163"/>
      <c r="L46" s="163"/>
      <c r="M46" s="164"/>
      <c r="N46" s="164"/>
      <c r="O46" s="164"/>
      <c r="P46" s="164"/>
      <c r="Q46" s="164"/>
      <c r="R46" s="164"/>
      <c r="S46" s="164"/>
      <c r="T46" s="164"/>
      <c r="U46" s="164"/>
      <c r="V46" s="164"/>
      <c r="W46" s="164"/>
    </row>
    <row r="47" spans="11:23" x14ac:dyDescent="0.25">
      <c r="K47" s="163"/>
      <c r="L47" s="163"/>
      <c r="M47" s="164"/>
      <c r="N47" s="164"/>
      <c r="O47" s="164"/>
      <c r="P47" s="164"/>
      <c r="Q47" s="164"/>
      <c r="R47" s="164"/>
      <c r="S47" s="164"/>
      <c r="T47" s="164"/>
      <c r="U47" s="164"/>
      <c r="V47" s="164"/>
      <c r="W47" s="164"/>
    </row>
    <row r="48" spans="11:23" x14ac:dyDescent="0.25">
      <c r="K48" s="163"/>
      <c r="L48" s="163"/>
      <c r="M48" s="164"/>
      <c r="N48" s="164"/>
      <c r="O48" s="164"/>
      <c r="P48" s="164"/>
      <c r="Q48" s="164"/>
      <c r="R48" s="164"/>
      <c r="S48" s="164"/>
      <c r="T48" s="164"/>
      <c r="U48" s="164"/>
      <c r="V48" s="164"/>
      <c r="W48" s="164"/>
    </row>
    <row r="49" spans="11:23" x14ac:dyDescent="0.25">
      <c r="K49" s="163"/>
      <c r="L49" s="163"/>
      <c r="M49" s="164"/>
      <c r="N49" s="164"/>
      <c r="O49" s="164"/>
      <c r="P49" s="164"/>
      <c r="Q49" s="164"/>
      <c r="R49" s="164"/>
      <c r="S49" s="164"/>
      <c r="T49" s="164"/>
      <c r="U49" s="164"/>
      <c r="V49" s="164"/>
      <c r="W49" s="164"/>
    </row>
    <row r="50" spans="11:23" x14ac:dyDescent="0.25">
      <c r="K50" s="163"/>
      <c r="L50" s="163"/>
      <c r="M50" s="164"/>
      <c r="N50" s="164"/>
      <c r="O50" s="164"/>
      <c r="P50" s="164"/>
      <c r="Q50" s="164"/>
      <c r="R50" s="164"/>
      <c r="S50" s="164"/>
      <c r="T50" s="164"/>
      <c r="U50" s="164"/>
      <c r="V50" s="164"/>
      <c r="W50" s="164"/>
    </row>
    <row r="51" spans="11:23" x14ac:dyDescent="0.25">
      <c r="K51" s="163"/>
      <c r="L51" s="163"/>
      <c r="M51" s="164"/>
      <c r="N51" s="164"/>
      <c r="O51" s="164"/>
      <c r="P51" s="164"/>
      <c r="Q51" s="164"/>
      <c r="R51" s="164"/>
      <c r="S51" s="164"/>
      <c r="T51" s="164"/>
      <c r="U51" s="164"/>
      <c r="V51" s="164"/>
      <c r="W51" s="164"/>
    </row>
    <row r="52" spans="11:23" x14ac:dyDescent="0.25">
      <c r="K52" s="163"/>
      <c r="L52" s="163"/>
      <c r="M52" s="164"/>
      <c r="N52" s="164"/>
      <c r="O52" s="164"/>
      <c r="P52" s="164"/>
      <c r="Q52" s="164"/>
      <c r="R52" s="164"/>
      <c r="S52" s="164"/>
      <c r="T52" s="164"/>
      <c r="U52" s="164"/>
      <c r="V52" s="164"/>
      <c r="W52" s="164"/>
    </row>
    <row r="53" spans="11:23" x14ac:dyDescent="0.25">
      <c r="K53" s="163"/>
      <c r="L53" s="163"/>
      <c r="M53" s="164"/>
      <c r="N53" s="164"/>
      <c r="O53" s="164"/>
      <c r="P53" s="164"/>
      <c r="Q53" s="164"/>
      <c r="R53" s="164"/>
      <c r="S53" s="164"/>
      <c r="T53" s="164"/>
      <c r="U53" s="164"/>
      <c r="V53" s="164"/>
      <c r="W53" s="164"/>
    </row>
    <row r="54" spans="11:23" x14ac:dyDescent="0.25">
      <c r="K54" s="163"/>
      <c r="L54" s="163"/>
      <c r="M54" s="164"/>
      <c r="N54" s="164"/>
      <c r="O54" s="164"/>
      <c r="P54" s="164"/>
      <c r="Q54" s="164"/>
      <c r="R54" s="164"/>
      <c r="S54" s="164"/>
      <c r="T54" s="164"/>
      <c r="U54" s="164"/>
      <c r="V54" s="164"/>
      <c r="W54" s="164"/>
    </row>
    <row r="55" spans="11:23" x14ac:dyDescent="0.25">
      <c r="K55" s="163"/>
      <c r="L55" s="163"/>
      <c r="M55" s="164"/>
      <c r="N55" s="164"/>
      <c r="O55" s="164"/>
      <c r="P55" s="164"/>
      <c r="Q55" s="164"/>
      <c r="R55" s="164"/>
      <c r="S55" s="164"/>
      <c r="T55" s="164"/>
      <c r="U55" s="164"/>
      <c r="V55" s="164"/>
      <c r="W55" s="164"/>
    </row>
    <row r="56" spans="11:23" x14ac:dyDescent="0.25">
      <c r="K56" s="163"/>
      <c r="L56" s="163"/>
      <c r="M56" s="164"/>
      <c r="N56" s="164"/>
      <c r="O56" s="164"/>
      <c r="P56" s="164"/>
      <c r="Q56" s="164"/>
      <c r="R56" s="164"/>
      <c r="S56" s="164"/>
      <c r="T56" s="164"/>
      <c r="U56" s="164"/>
      <c r="V56" s="164"/>
      <c r="W56" s="164"/>
    </row>
    <row r="57" spans="11:23" x14ac:dyDescent="0.25">
      <c r="K57" s="163"/>
      <c r="L57" s="163"/>
      <c r="M57" s="164"/>
      <c r="N57" s="164"/>
      <c r="O57" s="164"/>
      <c r="P57" s="164"/>
      <c r="Q57" s="164"/>
      <c r="R57" s="164"/>
      <c r="S57" s="164"/>
      <c r="T57" s="164"/>
      <c r="U57" s="164"/>
      <c r="V57" s="164"/>
      <c r="W57" s="164"/>
    </row>
    <row r="58" spans="11:23" x14ac:dyDescent="0.25">
      <c r="K58" s="163"/>
      <c r="L58" s="163"/>
      <c r="M58" s="164"/>
      <c r="N58" s="164"/>
      <c r="O58" s="164"/>
      <c r="P58" s="164"/>
      <c r="Q58" s="164"/>
      <c r="R58" s="164"/>
      <c r="S58" s="164"/>
      <c r="T58" s="164"/>
      <c r="U58" s="164"/>
      <c r="V58" s="164"/>
      <c r="W58" s="164"/>
    </row>
    <row r="59" spans="11:23" x14ac:dyDescent="0.25">
      <c r="K59" s="163"/>
      <c r="L59" s="163"/>
      <c r="M59" s="164"/>
      <c r="N59" s="164"/>
      <c r="O59" s="164"/>
      <c r="P59" s="164"/>
      <c r="Q59" s="164"/>
      <c r="R59" s="164"/>
      <c r="S59" s="164"/>
      <c r="T59" s="164"/>
      <c r="U59" s="164"/>
      <c r="V59" s="164"/>
      <c r="W59" s="164"/>
    </row>
    <row r="60" spans="11:23" x14ac:dyDescent="0.25">
      <c r="K60" s="163"/>
      <c r="L60" s="163"/>
      <c r="M60" s="164"/>
      <c r="N60" s="164"/>
      <c r="O60" s="164"/>
      <c r="P60" s="164"/>
      <c r="Q60" s="164"/>
      <c r="R60" s="164"/>
      <c r="S60" s="164"/>
      <c r="T60" s="164"/>
      <c r="U60" s="164"/>
      <c r="V60" s="164"/>
      <c r="W60" s="164"/>
    </row>
    <row r="61" spans="11:23" x14ac:dyDescent="0.25">
      <c r="K61" s="163"/>
      <c r="L61" s="163"/>
      <c r="M61" s="164"/>
      <c r="N61" s="164"/>
      <c r="O61" s="164"/>
      <c r="P61" s="164"/>
      <c r="Q61" s="164"/>
      <c r="R61" s="164"/>
      <c r="S61" s="164"/>
      <c r="T61" s="164"/>
      <c r="U61" s="164"/>
      <c r="V61" s="164"/>
      <c r="W61" s="164"/>
    </row>
    <row r="62" spans="11:23" x14ac:dyDescent="0.25">
      <c r="K62" s="163"/>
      <c r="L62" s="163"/>
      <c r="M62" s="164"/>
      <c r="N62" s="164"/>
      <c r="O62" s="164"/>
      <c r="P62" s="164"/>
      <c r="Q62" s="164"/>
      <c r="R62" s="164"/>
      <c r="S62" s="164"/>
      <c r="T62" s="164"/>
      <c r="U62" s="164"/>
      <c r="V62" s="164"/>
      <c r="W62" s="164"/>
    </row>
    <row r="63" spans="11:23" x14ac:dyDescent="0.25">
      <c r="K63" s="163"/>
      <c r="L63" s="163"/>
      <c r="M63" s="164"/>
      <c r="N63" s="164"/>
      <c r="O63" s="164"/>
      <c r="P63" s="164"/>
      <c r="Q63" s="164"/>
      <c r="R63" s="164"/>
      <c r="S63" s="164"/>
      <c r="T63" s="164"/>
      <c r="U63" s="164"/>
      <c r="V63" s="164"/>
      <c r="W63" s="164"/>
    </row>
    <row r="64" spans="11:23" x14ac:dyDescent="0.25">
      <c r="K64" s="163"/>
      <c r="L64" s="163"/>
      <c r="M64" s="164"/>
      <c r="N64" s="164"/>
      <c r="O64" s="164"/>
      <c r="P64" s="164"/>
      <c r="Q64" s="164"/>
      <c r="R64" s="164"/>
      <c r="S64" s="164"/>
      <c r="T64" s="164"/>
      <c r="U64" s="164"/>
      <c r="V64" s="164"/>
      <c r="W64" s="164"/>
    </row>
    <row r="65" spans="11:23" x14ac:dyDescent="0.25">
      <c r="K65" s="163"/>
      <c r="L65" s="163"/>
      <c r="M65" s="164"/>
      <c r="N65" s="164"/>
      <c r="O65" s="164"/>
      <c r="P65" s="164"/>
      <c r="Q65" s="164"/>
      <c r="R65" s="164"/>
      <c r="S65" s="164"/>
      <c r="T65" s="164"/>
      <c r="U65" s="164"/>
      <c r="V65" s="164"/>
      <c r="W65" s="164"/>
    </row>
    <row r="66" spans="11:23" x14ac:dyDescent="0.25">
      <c r="K66" s="163"/>
      <c r="L66" s="163"/>
      <c r="M66" s="164"/>
      <c r="N66" s="164"/>
      <c r="O66" s="164"/>
      <c r="P66" s="164"/>
      <c r="Q66" s="164"/>
      <c r="R66" s="164"/>
      <c r="S66" s="164"/>
      <c r="T66" s="164"/>
      <c r="U66" s="164"/>
      <c r="V66" s="164"/>
      <c r="W66" s="164"/>
    </row>
    <row r="67" spans="11:23" x14ac:dyDescent="0.25">
      <c r="K67" s="163"/>
      <c r="L67" s="163"/>
      <c r="M67" s="164"/>
      <c r="N67" s="164"/>
      <c r="O67" s="164"/>
      <c r="P67" s="164"/>
      <c r="Q67" s="164"/>
      <c r="R67" s="164"/>
      <c r="S67" s="164"/>
      <c r="T67" s="164"/>
      <c r="U67" s="164"/>
      <c r="V67" s="164"/>
      <c r="W67" s="164"/>
    </row>
    <row r="68" spans="11:23" x14ac:dyDescent="0.25">
      <c r="K68" s="163"/>
      <c r="L68" s="163"/>
      <c r="M68" s="164"/>
      <c r="N68" s="164"/>
      <c r="O68" s="164"/>
      <c r="P68" s="164"/>
      <c r="Q68" s="164"/>
      <c r="R68" s="164"/>
      <c r="S68" s="164"/>
      <c r="T68" s="164"/>
      <c r="U68" s="164"/>
      <c r="V68" s="164"/>
      <c r="W68" s="164"/>
    </row>
    <row r="69" spans="11:23" x14ac:dyDescent="0.25">
      <c r="K69" s="163"/>
      <c r="L69" s="163"/>
      <c r="M69" s="164"/>
      <c r="N69" s="164"/>
      <c r="O69" s="164"/>
      <c r="P69" s="164"/>
      <c r="Q69" s="164"/>
      <c r="R69" s="164"/>
      <c r="S69" s="164"/>
      <c r="T69" s="164"/>
      <c r="U69" s="164"/>
      <c r="V69" s="164"/>
      <c r="W69" s="164"/>
    </row>
    <row r="70" spans="11:23" x14ac:dyDescent="0.25">
      <c r="K70" s="163"/>
      <c r="L70" s="163"/>
      <c r="M70" s="164"/>
      <c r="N70" s="164"/>
      <c r="O70" s="164"/>
      <c r="P70" s="164"/>
      <c r="Q70" s="164"/>
      <c r="R70" s="164"/>
      <c r="S70" s="164"/>
      <c r="T70" s="164"/>
      <c r="U70" s="164"/>
      <c r="V70" s="164"/>
      <c r="W70" s="164"/>
    </row>
    <row r="71" spans="11:23" x14ac:dyDescent="0.25">
      <c r="K71" s="163"/>
      <c r="L71" s="163"/>
      <c r="M71" s="164"/>
      <c r="N71" s="164"/>
      <c r="O71" s="164"/>
      <c r="P71" s="164"/>
      <c r="Q71" s="164"/>
      <c r="R71" s="164"/>
      <c r="S71" s="164"/>
      <c r="T71" s="164"/>
      <c r="U71" s="164"/>
      <c r="V71" s="164"/>
      <c r="W71" s="164"/>
    </row>
    <row r="72" spans="11:23" x14ac:dyDescent="0.25">
      <c r="K72" s="163"/>
      <c r="L72" s="163"/>
      <c r="M72" s="164"/>
      <c r="N72" s="164"/>
      <c r="O72" s="164"/>
      <c r="P72" s="164"/>
      <c r="Q72" s="164"/>
      <c r="R72" s="164"/>
      <c r="S72" s="164"/>
      <c r="T72" s="164"/>
      <c r="U72" s="164"/>
      <c r="V72" s="164"/>
      <c r="W72" s="164"/>
    </row>
    <row r="73" spans="11:23" x14ac:dyDescent="0.25">
      <c r="K73" s="163"/>
      <c r="L73" s="163"/>
      <c r="M73" s="164"/>
      <c r="N73" s="164"/>
      <c r="O73" s="164"/>
      <c r="P73" s="164"/>
      <c r="Q73" s="164"/>
      <c r="R73" s="164"/>
      <c r="S73" s="164"/>
      <c r="T73" s="164"/>
      <c r="U73" s="164"/>
      <c r="V73" s="164"/>
      <c r="W73" s="164"/>
    </row>
    <row r="74" spans="11:23" x14ac:dyDescent="0.25">
      <c r="K74" s="163"/>
      <c r="L74" s="163"/>
      <c r="M74" s="164"/>
      <c r="N74" s="164"/>
      <c r="O74" s="164"/>
      <c r="P74" s="164"/>
      <c r="Q74" s="164"/>
      <c r="R74" s="164"/>
      <c r="S74" s="164"/>
      <c r="T74" s="164"/>
      <c r="U74" s="164"/>
      <c r="V74" s="164"/>
      <c r="W74" s="164"/>
    </row>
    <row r="75" spans="11:23" x14ac:dyDescent="0.25">
      <c r="K75" s="163"/>
      <c r="L75" s="163"/>
      <c r="M75" s="164"/>
      <c r="N75" s="164"/>
      <c r="O75" s="164"/>
      <c r="P75" s="164"/>
      <c r="Q75" s="164"/>
      <c r="R75" s="164"/>
      <c r="S75" s="164"/>
      <c r="T75" s="164"/>
      <c r="U75" s="164"/>
      <c r="V75" s="164"/>
      <c r="W75" s="164"/>
    </row>
    <row r="76" spans="11:23" x14ac:dyDescent="0.25">
      <c r="K76" s="163"/>
      <c r="L76" s="163"/>
      <c r="M76" s="164"/>
      <c r="N76" s="164"/>
      <c r="O76" s="164"/>
      <c r="P76" s="164"/>
      <c r="Q76" s="164"/>
      <c r="R76" s="164"/>
      <c r="S76" s="164"/>
      <c r="T76" s="164"/>
      <c r="U76" s="164"/>
      <c r="V76" s="164"/>
      <c r="W76" s="164"/>
    </row>
    <row r="77" spans="11:23" x14ac:dyDescent="0.25">
      <c r="K77" s="163"/>
      <c r="L77" s="163"/>
      <c r="M77" s="164"/>
      <c r="N77" s="164"/>
      <c r="O77" s="164"/>
      <c r="P77" s="164"/>
      <c r="Q77" s="164"/>
      <c r="R77" s="164"/>
      <c r="S77" s="164"/>
      <c r="T77" s="164"/>
      <c r="U77" s="164"/>
      <c r="V77" s="164"/>
      <c r="W77" s="164"/>
    </row>
    <row r="78" spans="11:23" x14ac:dyDescent="0.25">
      <c r="K78" s="163"/>
      <c r="L78" s="163"/>
      <c r="M78" s="164"/>
      <c r="N78" s="164"/>
      <c r="O78" s="164"/>
      <c r="P78" s="164"/>
      <c r="Q78" s="164"/>
      <c r="R78" s="164"/>
      <c r="S78" s="164"/>
      <c r="T78" s="164"/>
      <c r="U78" s="164"/>
      <c r="V78" s="164"/>
      <c r="W78" s="164"/>
    </row>
    <row r="79" spans="11:23" x14ac:dyDescent="0.25">
      <c r="K79" s="163"/>
      <c r="L79" s="163"/>
      <c r="M79" s="164"/>
      <c r="N79" s="164"/>
      <c r="O79" s="164"/>
      <c r="P79" s="164"/>
      <c r="Q79" s="164"/>
      <c r="R79" s="164"/>
      <c r="S79" s="164"/>
      <c r="T79" s="164"/>
      <c r="U79" s="164"/>
      <c r="V79" s="164"/>
      <c r="W79" s="164"/>
    </row>
    <row r="80" spans="11:23" x14ac:dyDescent="0.25">
      <c r="K80" s="163"/>
      <c r="L80" s="163"/>
      <c r="M80" s="164"/>
      <c r="N80" s="164"/>
      <c r="O80" s="164"/>
      <c r="P80" s="164"/>
      <c r="Q80" s="164"/>
      <c r="R80" s="164"/>
      <c r="S80" s="164"/>
      <c r="T80" s="164"/>
      <c r="U80" s="164"/>
      <c r="V80" s="164"/>
      <c r="W80" s="164"/>
    </row>
    <row r="81" spans="11:23" x14ac:dyDescent="0.25">
      <c r="K81" s="163"/>
      <c r="L81" s="163"/>
      <c r="M81" s="164"/>
      <c r="N81" s="164"/>
      <c r="O81" s="164"/>
      <c r="P81" s="164"/>
      <c r="Q81" s="164"/>
      <c r="R81" s="164"/>
      <c r="S81" s="164"/>
      <c r="T81" s="164"/>
      <c r="U81" s="164"/>
      <c r="V81" s="164"/>
      <c r="W81" s="164"/>
    </row>
    <row r="82" spans="11:23" x14ac:dyDescent="0.25">
      <c r="K82" s="163"/>
      <c r="L82" s="163"/>
      <c r="M82" s="164"/>
      <c r="N82" s="164"/>
      <c r="O82" s="164"/>
      <c r="P82" s="164"/>
      <c r="Q82" s="164"/>
      <c r="R82" s="164"/>
      <c r="S82" s="164"/>
      <c r="T82" s="164"/>
      <c r="U82" s="164"/>
      <c r="V82" s="164"/>
      <c r="W82" s="164"/>
    </row>
    <row r="83" spans="11:23" x14ac:dyDescent="0.25">
      <c r="K83" s="163"/>
      <c r="L83" s="163"/>
      <c r="M83" s="164"/>
      <c r="N83" s="164"/>
      <c r="O83" s="164"/>
      <c r="P83" s="164"/>
      <c r="Q83" s="164"/>
      <c r="R83" s="164"/>
      <c r="S83" s="164"/>
      <c r="T83" s="164"/>
      <c r="U83" s="164"/>
      <c r="V83" s="164"/>
      <c r="W83" s="164"/>
    </row>
    <row r="84" spans="11:23" x14ac:dyDescent="0.25">
      <c r="K84" s="163"/>
      <c r="L84" s="163"/>
      <c r="M84" s="164"/>
      <c r="N84" s="164"/>
      <c r="O84" s="164"/>
      <c r="P84" s="164"/>
      <c r="Q84" s="164"/>
      <c r="R84" s="164"/>
      <c r="S84" s="164"/>
      <c r="T84" s="164"/>
      <c r="U84" s="164"/>
      <c r="V84" s="164"/>
      <c r="W84" s="164"/>
    </row>
    <row r="85" spans="11:23" x14ac:dyDescent="0.25">
      <c r="K85" s="163"/>
      <c r="L85" s="163"/>
      <c r="M85" s="164"/>
      <c r="N85" s="164"/>
      <c r="O85" s="164"/>
      <c r="P85" s="164"/>
      <c r="Q85" s="164"/>
      <c r="R85" s="164"/>
      <c r="S85" s="164"/>
      <c r="T85" s="164"/>
      <c r="U85" s="164"/>
      <c r="V85" s="164"/>
      <c r="W85" s="164"/>
    </row>
    <row r="86" spans="11:23" x14ac:dyDescent="0.25">
      <c r="K86" s="163"/>
      <c r="L86" s="163"/>
      <c r="M86" s="164"/>
      <c r="N86" s="164"/>
      <c r="O86" s="164"/>
      <c r="P86" s="164"/>
      <c r="Q86" s="164"/>
      <c r="R86" s="164"/>
      <c r="S86" s="164"/>
      <c r="T86" s="164"/>
      <c r="U86" s="164"/>
      <c r="V86" s="164"/>
      <c r="W86" s="164"/>
    </row>
    <row r="87" spans="11:23" x14ac:dyDescent="0.25">
      <c r="K87" s="163"/>
      <c r="L87" s="163"/>
      <c r="M87" s="164"/>
      <c r="N87" s="164"/>
      <c r="O87" s="164"/>
      <c r="P87" s="164"/>
      <c r="Q87" s="164"/>
      <c r="R87" s="164"/>
      <c r="S87" s="164"/>
      <c r="T87" s="164"/>
      <c r="U87" s="164"/>
      <c r="V87" s="164"/>
      <c r="W87" s="164"/>
    </row>
    <row r="88" spans="11:23" x14ac:dyDescent="0.25">
      <c r="K88" s="163"/>
      <c r="L88" s="163"/>
      <c r="M88" s="164"/>
      <c r="N88" s="164"/>
      <c r="O88" s="164"/>
      <c r="P88" s="164"/>
      <c r="Q88" s="164"/>
      <c r="R88" s="164"/>
      <c r="S88" s="164"/>
      <c r="T88" s="164"/>
      <c r="U88" s="164"/>
      <c r="V88" s="164"/>
      <c r="W88" s="164"/>
    </row>
    <row r="89" spans="11:23" x14ac:dyDescent="0.25">
      <c r="K89" s="163"/>
      <c r="L89" s="163"/>
      <c r="M89" s="164"/>
      <c r="N89" s="164"/>
      <c r="O89" s="164"/>
      <c r="P89" s="164"/>
      <c r="Q89" s="164"/>
      <c r="R89" s="164"/>
      <c r="S89" s="164"/>
      <c r="T89" s="164"/>
      <c r="U89" s="164"/>
      <c r="V89" s="164"/>
      <c r="W89" s="164"/>
    </row>
    <row r="90" spans="11:23" x14ac:dyDescent="0.25">
      <c r="K90" s="163"/>
      <c r="L90" s="163"/>
      <c r="M90" s="164"/>
      <c r="N90" s="164"/>
      <c r="O90" s="164"/>
      <c r="P90" s="164"/>
      <c r="Q90" s="164"/>
      <c r="R90" s="164"/>
      <c r="S90" s="164"/>
      <c r="T90" s="164"/>
      <c r="U90" s="164"/>
      <c r="V90" s="164"/>
      <c r="W90" s="164"/>
    </row>
    <row r="91" spans="11:23" x14ac:dyDescent="0.25">
      <c r="K91" s="163"/>
      <c r="L91" s="163"/>
      <c r="M91" s="164"/>
      <c r="N91" s="164"/>
      <c r="O91" s="164"/>
      <c r="P91" s="164"/>
      <c r="Q91" s="164"/>
      <c r="R91" s="164"/>
      <c r="S91" s="164"/>
      <c r="T91" s="164"/>
      <c r="U91" s="164"/>
      <c r="V91" s="164"/>
      <c r="W91" s="164"/>
    </row>
    <row r="92" spans="11:23" x14ac:dyDescent="0.25">
      <c r="K92" s="163"/>
      <c r="L92" s="163"/>
      <c r="M92" s="164"/>
      <c r="N92" s="164"/>
      <c r="O92" s="164"/>
      <c r="P92" s="164"/>
      <c r="Q92" s="164"/>
      <c r="R92" s="164"/>
      <c r="S92" s="164"/>
      <c r="T92" s="164"/>
      <c r="U92" s="164"/>
      <c r="V92" s="164"/>
      <c r="W92" s="164"/>
    </row>
    <row r="93" spans="11:23" x14ac:dyDescent="0.25">
      <c r="K93" s="163"/>
      <c r="L93" s="163"/>
      <c r="M93" s="164"/>
      <c r="N93" s="164"/>
      <c r="O93" s="164"/>
      <c r="P93" s="164"/>
      <c r="Q93" s="164"/>
      <c r="R93" s="164"/>
      <c r="S93" s="164"/>
      <c r="T93" s="164"/>
      <c r="U93" s="164"/>
      <c r="V93" s="164"/>
      <c r="W93" s="164"/>
    </row>
    <row r="94" spans="11:23" x14ac:dyDescent="0.25">
      <c r="K94" s="163"/>
      <c r="L94" s="163"/>
      <c r="M94" s="164"/>
      <c r="N94" s="164"/>
      <c r="O94" s="164"/>
      <c r="P94" s="164"/>
      <c r="Q94" s="164"/>
      <c r="R94" s="164"/>
      <c r="S94" s="164"/>
      <c r="T94" s="164"/>
      <c r="U94" s="164"/>
      <c r="V94" s="164"/>
      <c r="W94" s="164"/>
    </row>
    <row r="95" spans="11:23" x14ac:dyDescent="0.25">
      <c r="K95" s="163"/>
      <c r="L95" s="163"/>
      <c r="M95" s="164"/>
      <c r="N95" s="164"/>
      <c r="O95" s="164"/>
      <c r="P95" s="164"/>
      <c r="Q95" s="164"/>
      <c r="R95" s="164"/>
      <c r="S95" s="164"/>
      <c r="T95" s="164"/>
      <c r="U95" s="164"/>
      <c r="V95" s="164"/>
      <c r="W95" s="164"/>
    </row>
    <row r="96" spans="11:23" x14ac:dyDescent="0.25">
      <c r="K96" s="163"/>
      <c r="L96" s="163"/>
      <c r="M96" s="164"/>
      <c r="N96" s="164"/>
      <c r="O96" s="164"/>
      <c r="P96" s="164"/>
      <c r="Q96" s="164"/>
      <c r="R96" s="164"/>
      <c r="S96" s="164"/>
      <c r="T96" s="164"/>
      <c r="U96" s="164"/>
      <c r="V96" s="164"/>
      <c r="W96" s="164"/>
    </row>
    <row r="97" spans="11:23" x14ac:dyDescent="0.25">
      <c r="K97" s="163"/>
      <c r="L97" s="163"/>
      <c r="M97" s="164"/>
      <c r="N97" s="164"/>
      <c r="O97" s="164"/>
      <c r="P97" s="164"/>
      <c r="Q97" s="164"/>
      <c r="R97" s="164"/>
      <c r="S97" s="164"/>
      <c r="T97" s="164"/>
      <c r="U97" s="164"/>
      <c r="V97" s="164"/>
      <c r="W97" s="164"/>
    </row>
    <row r="98" spans="11:23" x14ac:dyDescent="0.25">
      <c r="K98" s="163"/>
      <c r="L98" s="163"/>
      <c r="M98" s="164"/>
      <c r="N98" s="164"/>
      <c r="O98" s="164"/>
      <c r="P98" s="164"/>
      <c r="Q98" s="164"/>
      <c r="R98" s="164"/>
      <c r="S98" s="164"/>
      <c r="T98" s="164"/>
      <c r="U98" s="164"/>
      <c r="V98" s="164"/>
      <c r="W98" s="164"/>
    </row>
    <row r="99" spans="11:23" x14ac:dyDescent="0.25">
      <c r="K99" s="163"/>
      <c r="L99" s="163"/>
      <c r="M99" s="164"/>
      <c r="N99" s="164"/>
      <c r="O99" s="164"/>
      <c r="P99" s="164"/>
      <c r="Q99" s="164"/>
      <c r="R99" s="164"/>
      <c r="S99" s="164"/>
      <c r="T99" s="164"/>
      <c r="U99" s="164"/>
      <c r="V99" s="164"/>
      <c r="W99" s="164"/>
    </row>
    <row r="100" spans="11:23" x14ac:dyDescent="0.25">
      <c r="K100" s="163"/>
      <c r="L100" s="163"/>
      <c r="M100" s="164"/>
      <c r="N100" s="164"/>
      <c r="O100" s="164"/>
      <c r="P100" s="164"/>
      <c r="Q100" s="164"/>
      <c r="R100" s="164"/>
      <c r="S100" s="164"/>
      <c r="T100" s="164"/>
      <c r="U100" s="164"/>
      <c r="V100" s="164"/>
      <c r="W100" s="164"/>
    </row>
    <row r="101" spans="11:23" x14ac:dyDescent="0.25">
      <c r="K101" s="163"/>
      <c r="L101" s="163"/>
      <c r="M101" s="164"/>
      <c r="N101" s="164"/>
      <c r="O101" s="164"/>
      <c r="P101" s="164"/>
      <c r="Q101" s="164"/>
      <c r="R101" s="164"/>
      <c r="S101" s="164"/>
      <c r="T101" s="164"/>
      <c r="U101" s="164"/>
      <c r="V101" s="164"/>
      <c r="W101" s="164"/>
    </row>
    <row r="102" spans="11:23" x14ac:dyDescent="0.25">
      <c r="K102" s="163"/>
      <c r="L102" s="163"/>
      <c r="M102" s="164"/>
      <c r="N102" s="164"/>
      <c r="O102" s="164"/>
      <c r="P102" s="164"/>
      <c r="Q102" s="164"/>
      <c r="R102" s="164"/>
      <c r="S102" s="164"/>
      <c r="T102" s="164"/>
      <c r="U102" s="164"/>
      <c r="V102" s="164"/>
      <c r="W102" s="164"/>
    </row>
    <row r="103" spans="11:23" x14ac:dyDescent="0.25">
      <c r="K103" s="163"/>
      <c r="L103" s="163"/>
      <c r="M103" s="164"/>
      <c r="N103" s="164"/>
      <c r="O103" s="164"/>
      <c r="P103" s="164"/>
      <c r="Q103" s="164"/>
      <c r="R103" s="164"/>
      <c r="S103" s="164"/>
      <c r="T103" s="164"/>
      <c r="U103" s="164"/>
      <c r="V103" s="164"/>
      <c r="W103" s="164"/>
    </row>
    <row r="104" spans="11:23" x14ac:dyDescent="0.25">
      <c r="K104" s="163"/>
      <c r="L104" s="163"/>
      <c r="M104" s="164"/>
      <c r="N104" s="164"/>
      <c r="O104" s="164"/>
      <c r="P104" s="164"/>
      <c r="Q104" s="164"/>
      <c r="R104" s="164"/>
      <c r="S104" s="164"/>
      <c r="T104" s="164"/>
      <c r="U104" s="164"/>
      <c r="V104" s="164"/>
      <c r="W104" s="164"/>
    </row>
    <row r="105" spans="11:23" x14ac:dyDescent="0.25">
      <c r="K105" s="163"/>
      <c r="L105" s="163"/>
      <c r="M105" s="164"/>
      <c r="N105" s="164"/>
      <c r="O105" s="164"/>
      <c r="P105" s="164"/>
      <c r="Q105" s="164"/>
      <c r="R105" s="164"/>
      <c r="S105" s="164"/>
      <c r="T105" s="164"/>
      <c r="U105" s="164"/>
      <c r="V105" s="164"/>
      <c r="W105" s="164"/>
    </row>
    <row r="106" spans="11:23" x14ac:dyDescent="0.25">
      <c r="K106" s="163"/>
      <c r="L106" s="163"/>
      <c r="M106" s="164"/>
      <c r="N106" s="164"/>
      <c r="O106" s="164"/>
      <c r="P106" s="164"/>
      <c r="Q106" s="164"/>
      <c r="R106" s="164"/>
      <c r="S106" s="164"/>
      <c r="T106" s="164"/>
      <c r="U106" s="164"/>
      <c r="V106" s="164"/>
      <c r="W106" s="164"/>
    </row>
    <row r="107" spans="11:23" x14ac:dyDescent="0.25">
      <c r="K107" s="163"/>
      <c r="L107" s="163"/>
      <c r="M107" s="164"/>
      <c r="N107" s="164"/>
      <c r="O107" s="164"/>
      <c r="P107" s="164"/>
      <c r="Q107" s="164"/>
      <c r="R107" s="164"/>
      <c r="S107" s="164"/>
      <c r="T107" s="164"/>
      <c r="U107" s="164"/>
      <c r="V107" s="164"/>
      <c r="W107" s="164"/>
    </row>
    <row r="108" spans="11:23" x14ac:dyDescent="0.25">
      <c r="K108" s="163"/>
      <c r="L108" s="163"/>
      <c r="M108" s="164"/>
      <c r="N108" s="164"/>
      <c r="O108" s="164"/>
      <c r="P108" s="164"/>
      <c r="Q108" s="164"/>
      <c r="R108" s="164"/>
      <c r="S108" s="164"/>
      <c r="T108" s="164"/>
      <c r="U108" s="164"/>
      <c r="V108" s="164"/>
      <c r="W108" s="164"/>
    </row>
    <row r="109" spans="11:23" x14ac:dyDescent="0.25">
      <c r="K109" s="163"/>
      <c r="L109" s="163"/>
      <c r="M109" s="164"/>
      <c r="N109" s="164"/>
      <c r="O109" s="164"/>
      <c r="P109" s="164"/>
      <c r="Q109" s="164"/>
      <c r="R109" s="164"/>
      <c r="S109" s="164"/>
      <c r="T109" s="164"/>
      <c r="U109" s="164"/>
      <c r="V109" s="164"/>
      <c r="W109" s="164"/>
    </row>
    <row r="110" spans="11:23" x14ac:dyDescent="0.25">
      <c r="K110" s="163"/>
      <c r="L110" s="163"/>
      <c r="M110" s="164"/>
      <c r="N110" s="164"/>
      <c r="O110" s="164"/>
      <c r="P110" s="164"/>
      <c r="Q110" s="164"/>
      <c r="R110" s="164"/>
      <c r="S110" s="164"/>
      <c r="T110" s="164"/>
      <c r="U110" s="164"/>
      <c r="V110" s="164"/>
      <c r="W110" s="164"/>
    </row>
    <row r="111" spans="11:23" x14ac:dyDescent="0.25">
      <c r="K111" s="163"/>
      <c r="L111" s="163"/>
      <c r="M111" s="164"/>
      <c r="N111" s="164"/>
      <c r="O111" s="164"/>
      <c r="P111" s="164"/>
      <c r="Q111" s="164"/>
      <c r="R111" s="164"/>
      <c r="S111" s="164"/>
      <c r="T111" s="164"/>
      <c r="U111" s="164"/>
      <c r="V111" s="164"/>
      <c r="W111" s="164"/>
    </row>
    <row r="112" spans="11:23" x14ac:dyDescent="0.25">
      <c r="K112" s="163"/>
      <c r="L112" s="163"/>
      <c r="M112" s="164"/>
      <c r="N112" s="164"/>
      <c r="O112" s="164"/>
      <c r="P112" s="164"/>
      <c r="Q112" s="164"/>
      <c r="R112" s="164"/>
      <c r="S112" s="164"/>
      <c r="T112" s="164"/>
      <c r="U112" s="164"/>
      <c r="V112" s="164"/>
      <c r="W112" s="164"/>
    </row>
    <row r="113" spans="11:23" x14ac:dyDescent="0.25">
      <c r="K113" s="163"/>
      <c r="L113" s="163"/>
      <c r="M113" s="164"/>
      <c r="N113" s="164"/>
      <c r="O113" s="164"/>
      <c r="P113" s="164"/>
      <c r="Q113" s="164"/>
      <c r="R113" s="164"/>
      <c r="S113" s="164"/>
      <c r="T113" s="164"/>
      <c r="U113" s="164"/>
      <c r="V113" s="164"/>
      <c r="W113" s="164"/>
    </row>
    <row r="114" spans="11:23" x14ac:dyDescent="0.25">
      <c r="K114" s="163"/>
      <c r="L114" s="163"/>
      <c r="M114" s="164"/>
      <c r="N114" s="164"/>
      <c r="O114" s="164"/>
      <c r="P114" s="164"/>
      <c r="Q114" s="164"/>
      <c r="R114" s="164"/>
      <c r="S114" s="164"/>
      <c r="T114" s="164"/>
      <c r="U114" s="164"/>
      <c r="V114" s="164"/>
      <c r="W114" s="164"/>
    </row>
    <row r="115" spans="11:23" x14ac:dyDescent="0.25">
      <c r="K115" s="163"/>
      <c r="L115" s="163"/>
      <c r="M115" s="164"/>
      <c r="N115" s="164"/>
      <c r="O115" s="164"/>
      <c r="P115" s="164"/>
      <c r="Q115" s="164"/>
      <c r="R115" s="164"/>
      <c r="S115" s="164"/>
      <c r="T115" s="164"/>
      <c r="U115" s="164"/>
      <c r="V115" s="164"/>
      <c r="W115" s="164"/>
    </row>
    <row r="116" spans="11:23" x14ac:dyDescent="0.25">
      <c r="K116" s="163"/>
      <c r="L116" s="163"/>
      <c r="M116" s="164"/>
      <c r="N116" s="164"/>
      <c r="O116" s="164"/>
      <c r="P116" s="164"/>
      <c r="Q116" s="164"/>
      <c r="R116" s="164"/>
      <c r="S116" s="164"/>
      <c r="T116" s="164"/>
      <c r="U116" s="164"/>
      <c r="V116" s="164"/>
      <c r="W116" s="164"/>
    </row>
    <row r="117" spans="11:23" x14ac:dyDescent="0.25">
      <c r="K117" s="163"/>
      <c r="L117" s="163"/>
      <c r="M117" s="164"/>
      <c r="N117" s="164"/>
      <c r="O117" s="164"/>
      <c r="P117" s="164"/>
      <c r="Q117" s="164"/>
      <c r="R117" s="164"/>
      <c r="S117" s="164"/>
      <c r="T117" s="164"/>
      <c r="U117" s="164"/>
      <c r="V117" s="164"/>
      <c r="W117" s="164"/>
    </row>
    <row r="118" spans="11:23" x14ac:dyDescent="0.25">
      <c r="K118" s="163"/>
      <c r="L118" s="163"/>
      <c r="M118" s="164"/>
      <c r="N118" s="164"/>
      <c r="O118" s="164"/>
      <c r="P118" s="164"/>
      <c r="Q118" s="164"/>
      <c r="R118" s="164"/>
      <c r="S118" s="164"/>
      <c r="T118" s="164"/>
      <c r="U118" s="164"/>
      <c r="V118" s="164"/>
      <c r="W118" s="164"/>
    </row>
    <row r="119" spans="11:23" x14ac:dyDescent="0.25">
      <c r="K119" s="163"/>
      <c r="L119" s="163"/>
      <c r="M119" s="164"/>
      <c r="N119" s="164"/>
      <c r="O119" s="164"/>
      <c r="P119" s="164"/>
      <c r="Q119" s="164"/>
      <c r="R119" s="164"/>
      <c r="S119" s="164"/>
      <c r="T119" s="164"/>
      <c r="U119" s="164"/>
      <c r="V119" s="164"/>
      <c r="W119" s="164"/>
    </row>
    <row r="120" spans="11:23" x14ac:dyDescent="0.25">
      <c r="K120" s="163"/>
      <c r="L120" s="163"/>
      <c r="M120" s="164"/>
      <c r="N120" s="164"/>
      <c r="O120" s="164"/>
      <c r="P120" s="164"/>
      <c r="Q120" s="164"/>
      <c r="R120" s="164"/>
      <c r="S120" s="164"/>
      <c r="T120" s="164"/>
      <c r="U120" s="164"/>
      <c r="V120" s="164"/>
      <c r="W120" s="164"/>
    </row>
    <row r="121" spans="11:23" x14ac:dyDescent="0.25">
      <c r="K121" s="163"/>
      <c r="L121" s="163"/>
      <c r="M121" s="164"/>
      <c r="N121" s="164"/>
      <c r="O121" s="164"/>
      <c r="P121" s="164"/>
      <c r="Q121" s="164"/>
      <c r="R121" s="164"/>
      <c r="S121" s="164"/>
      <c r="T121" s="164"/>
      <c r="U121" s="164"/>
      <c r="V121" s="164"/>
      <c r="W121" s="164"/>
    </row>
    <row r="122" spans="11:23" x14ac:dyDescent="0.25">
      <c r="K122" s="163"/>
      <c r="L122" s="163"/>
      <c r="M122" s="164"/>
      <c r="N122" s="164"/>
      <c r="O122" s="164"/>
      <c r="P122" s="164"/>
      <c r="Q122" s="164"/>
      <c r="R122" s="164"/>
      <c r="S122" s="164"/>
      <c r="T122" s="164"/>
      <c r="U122" s="164"/>
      <c r="V122" s="164"/>
      <c r="W122" s="164"/>
    </row>
    <row r="123" spans="11:23" x14ac:dyDescent="0.25">
      <c r="K123" s="163"/>
      <c r="L123" s="163"/>
      <c r="M123" s="164"/>
      <c r="N123" s="164"/>
      <c r="O123" s="164"/>
      <c r="P123" s="164"/>
      <c r="Q123" s="164"/>
      <c r="R123" s="164"/>
      <c r="S123" s="164"/>
      <c r="T123" s="164"/>
      <c r="U123" s="164"/>
      <c r="V123" s="164"/>
      <c r="W123" s="164"/>
    </row>
    <row r="124" spans="11:23" x14ac:dyDescent="0.25">
      <c r="K124" s="163"/>
      <c r="L124" s="163"/>
      <c r="M124" s="164"/>
      <c r="N124" s="164"/>
      <c r="O124" s="164"/>
      <c r="P124" s="164"/>
      <c r="Q124" s="164"/>
      <c r="R124" s="164"/>
      <c r="S124" s="164"/>
      <c r="T124" s="164"/>
      <c r="U124" s="164"/>
      <c r="V124" s="164"/>
      <c r="W124" s="164"/>
    </row>
    <row r="125" spans="11:23" x14ac:dyDescent="0.25">
      <c r="K125" s="163"/>
      <c r="L125" s="163"/>
      <c r="M125" s="164"/>
      <c r="N125" s="164"/>
      <c r="O125" s="164"/>
      <c r="P125" s="164"/>
      <c r="Q125" s="164"/>
      <c r="R125" s="164"/>
      <c r="S125" s="164"/>
      <c r="T125" s="164"/>
      <c r="U125" s="164"/>
      <c r="V125" s="164"/>
      <c r="W125" s="164"/>
    </row>
    <row r="126" spans="11:23" x14ac:dyDescent="0.25">
      <c r="K126" s="163"/>
      <c r="L126" s="163"/>
      <c r="M126" s="164"/>
      <c r="N126" s="164"/>
      <c r="O126" s="164"/>
      <c r="P126" s="164"/>
      <c r="Q126" s="164"/>
      <c r="R126" s="164"/>
      <c r="S126" s="164"/>
      <c r="T126" s="164"/>
      <c r="U126" s="164"/>
      <c r="V126" s="164"/>
      <c r="W126" s="164"/>
    </row>
    <row r="127" spans="11:23" x14ac:dyDescent="0.25">
      <c r="K127" s="163"/>
      <c r="L127" s="163"/>
      <c r="M127" s="164"/>
      <c r="N127" s="164"/>
      <c r="O127" s="164"/>
      <c r="P127" s="164"/>
      <c r="Q127" s="164"/>
      <c r="R127" s="164"/>
      <c r="S127" s="164"/>
      <c r="T127" s="164"/>
      <c r="U127" s="164"/>
      <c r="V127" s="164"/>
      <c r="W127" s="164"/>
    </row>
    <row r="128" spans="11:23" x14ac:dyDescent="0.25">
      <c r="K128" s="163"/>
      <c r="L128" s="163"/>
      <c r="M128" s="164"/>
      <c r="N128" s="164"/>
      <c r="O128" s="164"/>
      <c r="P128" s="164"/>
      <c r="Q128" s="164"/>
      <c r="R128" s="164"/>
      <c r="S128" s="164"/>
      <c r="T128" s="164"/>
      <c r="U128" s="164"/>
      <c r="V128" s="164"/>
      <c r="W128" s="164"/>
    </row>
    <row r="129" spans="11:23" x14ac:dyDescent="0.25">
      <c r="K129" s="163"/>
      <c r="L129" s="163"/>
      <c r="M129" s="164"/>
      <c r="N129" s="164"/>
      <c r="O129" s="164"/>
      <c r="P129" s="164"/>
      <c r="Q129" s="164"/>
      <c r="R129" s="164"/>
      <c r="S129" s="164"/>
      <c r="T129" s="164"/>
      <c r="U129" s="164"/>
      <c r="V129" s="164"/>
      <c r="W129" s="164"/>
    </row>
    <row r="130" spans="11:23" x14ac:dyDescent="0.25">
      <c r="K130" s="163"/>
      <c r="L130" s="163"/>
      <c r="M130" s="164"/>
      <c r="N130" s="164"/>
      <c r="O130" s="164"/>
      <c r="P130" s="164"/>
      <c r="Q130" s="164"/>
      <c r="R130" s="164"/>
      <c r="S130" s="164"/>
      <c r="T130" s="164"/>
      <c r="U130" s="164"/>
      <c r="V130" s="164"/>
      <c r="W130" s="164"/>
    </row>
    <row r="131" spans="11:23" x14ac:dyDescent="0.25">
      <c r="K131" s="163"/>
      <c r="L131" s="163"/>
      <c r="M131" s="164"/>
      <c r="N131" s="164"/>
      <c r="O131" s="164"/>
      <c r="P131" s="164"/>
      <c r="Q131" s="164"/>
      <c r="R131" s="164"/>
      <c r="S131" s="164"/>
      <c r="T131" s="164"/>
      <c r="U131" s="164"/>
      <c r="V131" s="164"/>
      <c r="W131" s="164"/>
    </row>
    <row r="132" spans="11:23" x14ac:dyDescent="0.25">
      <c r="K132" s="163"/>
      <c r="L132" s="163"/>
      <c r="M132" s="164"/>
      <c r="N132" s="164"/>
      <c r="O132" s="164"/>
      <c r="P132" s="164"/>
      <c r="Q132" s="164"/>
      <c r="R132" s="164"/>
      <c r="S132" s="164"/>
      <c r="T132" s="164"/>
      <c r="U132" s="164"/>
      <c r="V132" s="164"/>
      <c r="W132" s="164"/>
    </row>
    <row r="133" spans="11:23" x14ac:dyDescent="0.25">
      <c r="K133" s="163"/>
      <c r="L133" s="163"/>
      <c r="M133" s="164"/>
      <c r="N133" s="164"/>
      <c r="O133" s="164"/>
      <c r="P133" s="164"/>
      <c r="Q133" s="164"/>
      <c r="R133" s="164"/>
      <c r="S133" s="164"/>
      <c r="T133" s="164"/>
      <c r="U133" s="164"/>
      <c r="V133" s="164"/>
      <c r="W133" s="164"/>
    </row>
    <row r="134" spans="11:23" x14ac:dyDescent="0.25">
      <c r="K134" s="163"/>
      <c r="L134" s="163"/>
      <c r="M134" s="164"/>
      <c r="N134" s="164"/>
      <c r="O134" s="164"/>
      <c r="P134" s="164"/>
      <c r="Q134" s="164"/>
      <c r="R134" s="164"/>
      <c r="S134" s="164"/>
      <c r="T134" s="164"/>
      <c r="U134" s="164"/>
      <c r="V134" s="164"/>
      <c r="W134" s="164"/>
    </row>
    <row r="135" spans="11:23" x14ac:dyDescent="0.25">
      <c r="K135" s="163"/>
      <c r="L135" s="163"/>
      <c r="M135" s="164"/>
      <c r="N135" s="164"/>
      <c r="O135" s="164"/>
      <c r="P135" s="164"/>
      <c r="Q135" s="164"/>
      <c r="R135" s="164"/>
      <c r="S135" s="164"/>
      <c r="T135" s="164"/>
      <c r="U135" s="164"/>
      <c r="V135" s="164"/>
      <c r="W135" s="164"/>
    </row>
    <row r="136" spans="11:23" x14ac:dyDescent="0.25">
      <c r="K136" s="163"/>
      <c r="L136" s="163"/>
      <c r="M136" s="164"/>
      <c r="N136" s="164"/>
      <c r="O136" s="164"/>
      <c r="P136" s="164"/>
      <c r="Q136" s="164"/>
      <c r="R136" s="164"/>
      <c r="S136" s="164"/>
      <c r="T136" s="164"/>
      <c r="U136" s="164"/>
      <c r="V136" s="164"/>
      <c r="W136" s="164"/>
    </row>
    <row r="137" spans="11:23" x14ac:dyDescent="0.25">
      <c r="K137" s="163"/>
      <c r="L137" s="163"/>
      <c r="M137" s="164"/>
      <c r="N137" s="164"/>
      <c r="O137" s="164"/>
      <c r="P137" s="164"/>
      <c r="Q137" s="164"/>
      <c r="R137" s="164"/>
      <c r="S137" s="164"/>
      <c r="T137" s="164"/>
      <c r="U137" s="164"/>
      <c r="V137" s="164"/>
      <c r="W137" s="164"/>
    </row>
    <row r="138" spans="11:23" x14ac:dyDescent="0.25">
      <c r="K138" s="163"/>
      <c r="L138" s="163"/>
      <c r="M138" s="164"/>
      <c r="N138" s="164"/>
      <c r="O138" s="164"/>
      <c r="P138" s="164"/>
      <c r="Q138" s="164"/>
      <c r="R138" s="164"/>
      <c r="S138" s="164"/>
      <c r="T138" s="164"/>
      <c r="U138" s="164"/>
      <c r="V138" s="164"/>
      <c r="W138" s="164"/>
    </row>
    <row r="139" spans="11:23" x14ac:dyDescent="0.25">
      <c r="K139" s="163"/>
      <c r="L139" s="163"/>
      <c r="M139" s="164"/>
      <c r="N139" s="164"/>
      <c r="O139" s="164"/>
      <c r="P139" s="164"/>
      <c r="Q139" s="164"/>
      <c r="R139" s="164"/>
      <c r="S139" s="164"/>
      <c r="T139" s="164"/>
      <c r="U139" s="164"/>
      <c r="V139" s="164"/>
      <c r="W139" s="164"/>
    </row>
    <row r="140" spans="11:23" x14ac:dyDescent="0.25">
      <c r="K140" s="163"/>
      <c r="L140" s="163"/>
      <c r="M140" s="164"/>
      <c r="N140" s="164"/>
      <c r="O140" s="164"/>
      <c r="P140" s="164"/>
      <c r="Q140" s="164"/>
      <c r="R140" s="164"/>
      <c r="S140" s="164"/>
      <c r="T140" s="164"/>
      <c r="U140" s="164"/>
      <c r="V140" s="164"/>
      <c r="W140" s="164"/>
    </row>
    <row r="141" spans="11:23" x14ac:dyDescent="0.25">
      <c r="K141" s="163"/>
      <c r="L141" s="163"/>
      <c r="M141" s="164"/>
      <c r="N141" s="164"/>
      <c r="O141" s="164"/>
      <c r="P141" s="164"/>
      <c r="Q141" s="164"/>
      <c r="R141" s="164"/>
      <c r="S141" s="164"/>
      <c r="T141" s="164"/>
      <c r="U141" s="164"/>
      <c r="V141" s="164"/>
      <c r="W141" s="164"/>
    </row>
    <row r="142" spans="11:23" x14ac:dyDescent="0.25">
      <c r="K142" s="163"/>
      <c r="L142" s="163"/>
      <c r="M142" s="164"/>
      <c r="N142" s="164"/>
      <c r="O142" s="164"/>
      <c r="P142" s="164"/>
      <c r="Q142" s="164"/>
      <c r="R142" s="164"/>
      <c r="S142" s="164"/>
      <c r="T142" s="164"/>
      <c r="U142" s="164"/>
      <c r="V142" s="164"/>
      <c r="W142" s="164"/>
    </row>
    <row r="143" spans="11:23" x14ac:dyDescent="0.25">
      <c r="K143" s="163"/>
      <c r="L143" s="163"/>
      <c r="M143" s="164"/>
      <c r="N143" s="164"/>
      <c r="O143" s="164"/>
      <c r="P143" s="164"/>
      <c r="Q143" s="164"/>
      <c r="R143" s="164"/>
      <c r="S143" s="164"/>
      <c r="T143" s="164"/>
      <c r="U143" s="164"/>
      <c r="V143" s="164"/>
      <c r="W143" s="164"/>
    </row>
    <row r="144" spans="11:23" x14ac:dyDescent="0.25">
      <c r="K144" s="163"/>
      <c r="L144" s="163"/>
      <c r="M144" s="164"/>
      <c r="N144" s="164"/>
      <c r="O144" s="164"/>
      <c r="P144" s="164"/>
      <c r="Q144" s="164"/>
      <c r="R144" s="164"/>
      <c r="S144" s="164"/>
      <c r="T144" s="164"/>
      <c r="U144" s="164"/>
      <c r="V144" s="164"/>
      <c r="W144" s="164"/>
    </row>
    <row r="145" spans="11:23" x14ac:dyDescent="0.25">
      <c r="K145" s="163"/>
      <c r="L145" s="163"/>
      <c r="M145" s="164"/>
      <c r="N145" s="164"/>
      <c r="O145" s="164"/>
      <c r="P145" s="164"/>
      <c r="Q145" s="164"/>
      <c r="R145" s="164"/>
      <c r="S145" s="164"/>
      <c r="T145" s="164"/>
      <c r="U145" s="164"/>
      <c r="V145" s="164"/>
      <c r="W145" s="164"/>
    </row>
    <row r="146" spans="11:23" x14ac:dyDescent="0.25">
      <c r="K146" s="163"/>
      <c r="L146" s="163"/>
      <c r="M146" s="164"/>
      <c r="N146" s="164"/>
      <c r="O146" s="164"/>
      <c r="P146" s="164"/>
      <c r="Q146" s="164"/>
      <c r="R146" s="164"/>
      <c r="S146" s="164"/>
      <c r="T146" s="164"/>
      <c r="U146" s="164"/>
      <c r="V146" s="164"/>
      <c r="W146" s="164"/>
    </row>
    <row r="147" spans="11:23" x14ac:dyDescent="0.25">
      <c r="K147" s="163"/>
      <c r="L147" s="163"/>
      <c r="M147" s="164"/>
      <c r="N147" s="164"/>
      <c r="O147" s="164"/>
      <c r="P147" s="164"/>
      <c r="Q147" s="164"/>
      <c r="R147" s="164"/>
      <c r="S147" s="164"/>
      <c r="T147" s="164"/>
      <c r="U147" s="164"/>
      <c r="V147" s="164"/>
      <c r="W147" s="164"/>
    </row>
    <row r="148" spans="11:23" x14ac:dyDescent="0.25">
      <c r="K148" s="163"/>
      <c r="L148" s="163"/>
      <c r="M148" s="164"/>
      <c r="N148" s="164"/>
      <c r="O148" s="164"/>
      <c r="P148" s="164"/>
      <c r="Q148" s="164"/>
      <c r="R148" s="164"/>
      <c r="S148" s="164"/>
      <c r="T148" s="164"/>
      <c r="U148" s="164"/>
      <c r="V148" s="164"/>
      <c r="W148" s="164"/>
    </row>
    <row r="149" spans="11:23" x14ac:dyDescent="0.25">
      <c r="K149" s="163"/>
      <c r="L149" s="163"/>
      <c r="M149" s="164"/>
      <c r="N149" s="164"/>
      <c r="O149" s="164"/>
      <c r="P149" s="164"/>
      <c r="Q149" s="164"/>
      <c r="R149" s="164"/>
      <c r="S149" s="164"/>
      <c r="T149" s="164"/>
      <c r="U149" s="164"/>
      <c r="V149" s="164"/>
      <c r="W149" s="164"/>
    </row>
    <row r="150" spans="11:23" x14ac:dyDescent="0.25">
      <c r="K150" s="163"/>
      <c r="L150" s="163"/>
      <c r="M150" s="164"/>
      <c r="N150" s="164"/>
      <c r="O150" s="164"/>
      <c r="P150" s="164"/>
      <c r="Q150" s="164"/>
      <c r="R150" s="164"/>
      <c r="S150" s="164"/>
      <c r="T150" s="164"/>
      <c r="U150" s="164"/>
      <c r="V150" s="164"/>
      <c r="W150" s="164"/>
    </row>
    <row r="151" spans="11:23" x14ac:dyDescent="0.25">
      <c r="K151" s="163"/>
      <c r="L151" s="163"/>
      <c r="M151" s="164"/>
      <c r="N151" s="164"/>
      <c r="O151" s="164"/>
      <c r="P151" s="164"/>
      <c r="Q151" s="164"/>
      <c r="R151" s="164"/>
      <c r="S151" s="164"/>
      <c r="T151" s="164"/>
      <c r="U151" s="164"/>
      <c r="V151" s="164"/>
      <c r="W151" s="164"/>
    </row>
    <row r="152" spans="11:23" x14ac:dyDescent="0.25">
      <c r="K152" s="163"/>
      <c r="L152" s="163"/>
      <c r="M152" s="164"/>
      <c r="N152" s="164"/>
      <c r="O152" s="164"/>
      <c r="P152" s="164"/>
      <c r="Q152" s="164"/>
      <c r="R152" s="164"/>
      <c r="S152" s="164"/>
      <c r="T152" s="164"/>
      <c r="U152" s="164"/>
      <c r="V152" s="164"/>
      <c r="W152" s="164"/>
    </row>
    <row r="153" spans="11:23" x14ac:dyDescent="0.25">
      <c r="K153" s="163"/>
      <c r="L153" s="163"/>
      <c r="M153" s="164"/>
      <c r="N153" s="164"/>
      <c r="O153" s="164"/>
      <c r="P153" s="164"/>
      <c r="Q153" s="164"/>
      <c r="R153" s="164"/>
      <c r="S153" s="164"/>
      <c r="T153" s="164"/>
      <c r="U153" s="164"/>
      <c r="V153" s="164"/>
      <c r="W153" s="164"/>
    </row>
    <row r="154" spans="11:23" x14ac:dyDescent="0.25">
      <c r="K154" s="163"/>
      <c r="L154" s="163"/>
      <c r="M154" s="164"/>
      <c r="N154" s="164"/>
      <c r="O154" s="164"/>
      <c r="P154" s="164"/>
      <c r="Q154" s="164"/>
      <c r="R154" s="164"/>
      <c r="S154" s="164"/>
      <c r="T154" s="164"/>
      <c r="U154" s="164"/>
      <c r="V154" s="164"/>
      <c r="W154" s="164"/>
    </row>
    <row r="155" spans="11:23" x14ac:dyDescent="0.25">
      <c r="K155" s="163"/>
      <c r="L155" s="163"/>
      <c r="M155" s="164"/>
      <c r="N155" s="164"/>
      <c r="O155" s="164"/>
      <c r="P155" s="164"/>
      <c r="Q155" s="164"/>
      <c r="R155" s="164"/>
      <c r="S155" s="164"/>
      <c r="T155" s="164"/>
      <c r="U155" s="164"/>
      <c r="V155" s="164"/>
      <c r="W155" s="164"/>
    </row>
    <row r="156" spans="11:23" x14ac:dyDescent="0.25">
      <c r="K156" s="163"/>
      <c r="L156" s="163"/>
      <c r="M156" s="164"/>
      <c r="N156" s="164"/>
      <c r="O156" s="164"/>
      <c r="P156" s="164"/>
      <c r="Q156" s="164"/>
      <c r="R156" s="164"/>
      <c r="S156" s="164"/>
      <c r="T156" s="164"/>
      <c r="U156" s="164"/>
      <c r="V156" s="164"/>
      <c r="W156" s="164"/>
    </row>
    <row r="157" spans="11:23" x14ac:dyDescent="0.25">
      <c r="K157" s="163"/>
      <c r="L157" s="163"/>
      <c r="M157" s="164"/>
      <c r="N157" s="164"/>
      <c r="O157" s="164"/>
      <c r="P157" s="164"/>
      <c r="Q157" s="164"/>
      <c r="R157" s="164"/>
      <c r="S157" s="164"/>
      <c r="T157" s="164"/>
      <c r="U157" s="164"/>
      <c r="V157" s="164"/>
      <c r="W157" s="164"/>
    </row>
    <row r="158" spans="11:23" x14ac:dyDescent="0.25">
      <c r="K158" s="163"/>
      <c r="L158" s="163"/>
      <c r="M158" s="164"/>
      <c r="N158" s="164"/>
      <c r="O158" s="164"/>
      <c r="P158" s="164"/>
      <c r="Q158" s="164"/>
      <c r="R158" s="164"/>
      <c r="S158" s="164"/>
      <c r="T158" s="164"/>
      <c r="U158" s="164"/>
      <c r="V158" s="164"/>
      <c r="W158" s="164"/>
    </row>
    <row r="159" spans="11:23" x14ac:dyDescent="0.25">
      <c r="K159" s="163"/>
      <c r="L159" s="163"/>
      <c r="M159" s="164"/>
      <c r="N159" s="164"/>
      <c r="O159" s="164"/>
      <c r="P159" s="164"/>
      <c r="Q159" s="164"/>
      <c r="R159" s="164"/>
      <c r="S159" s="164"/>
      <c r="T159" s="164"/>
      <c r="U159" s="164"/>
      <c r="V159" s="164"/>
      <c r="W159" s="164"/>
    </row>
    <row r="160" spans="11:23" x14ac:dyDescent="0.25">
      <c r="K160" s="163"/>
      <c r="L160" s="163"/>
      <c r="M160" s="164"/>
      <c r="N160" s="164"/>
      <c r="O160" s="164"/>
      <c r="P160" s="164"/>
      <c r="Q160" s="164"/>
      <c r="R160" s="164"/>
      <c r="S160" s="164"/>
      <c r="T160" s="164"/>
      <c r="U160" s="164"/>
      <c r="V160" s="164"/>
      <c r="W160" s="164"/>
    </row>
    <row r="161" spans="11:23" x14ac:dyDescent="0.25">
      <c r="K161" s="163"/>
      <c r="L161" s="163"/>
      <c r="M161" s="164"/>
      <c r="N161" s="164"/>
      <c r="O161" s="164"/>
      <c r="P161" s="164"/>
      <c r="Q161" s="164"/>
      <c r="R161" s="164"/>
      <c r="S161" s="164"/>
      <c r="T161" s="164"/>
      <c r="U161" s="164"/>
      <c r="V161" s="164"/>
      <c r="W161" s="164"/>
    </row>
    <row r="162" spans="11:23" x14ac:dyDescent="0.25">
      <c r="K162" s="163"/>
      <c r="L162" s="163"/>
      <c r="M162" s="164"/>
      <c r="N162" s="164"/>
      <c r="O162" s="164"/>
      <c r="P162" s="164"/>
      <c r="Q162" s="164"/>
      <c r="R162" s="164"/>
      <c r="S162" s="164"/>
      <c r="T162" s="164"/>
      <c r="U162" s="164"/>
      <c r="V162" s="164"/>
      <c r="W162" s="164"/>
    </row>
    <row r="163" spans="11:23" x14ac:dyDescent="0.25">
      <c r="K163" s="163"/>
      <c r="L163" s="163"/>
      <c r="M163" s="164"/>
      <c r="N163" s="164"/>
      <c r="O163" s="164"/>
      <c r="P163" s="164"/>
      <c r="Q163" s="164"/>
      <c r="R163" s="164"/>
      <c r="S163" s="164"/>
      <c r="T163" s="164"/>
      <c r="U163" s="164"/>
      <c r="V163" s="164"/>
      <c r="W163" s="164"/>
    </row>
    <row r="164" spans="11:23" x14ac:dyDescent="0.25">
      <c r="K164" s="163"/>
      <c r="L164" s="163"/>
      <c r="M164" s="164"/>
      <c r="N164" s="164"/>
      <c r="O164" s="164"/>
      <c r="P164" s="164"/>
      <c r="Q164" s="164"/>
      <c r="R164" s="164"/>
      <c r="S164" s="164"/>
      <c r="T164" s="164"/>
      <c r="U164" s="164"/>
      <c r="V164" s="164"/>
      <c r="W164" s="164"/>
    </row>
    <row r="165" spans="11:23" x14ac:dyDescent="0.25">
      <c r="K165" s="163"/>
      <c r="L165" s="163"/>
      <c r="M165" s="164"/>
      <c r="N165" s="164"/>
      <c r="O165" s="164"/>
      <c r="P165" s="164"/>
      <c r="Q165" s="164"/>
      <c r="R165" s="164"/>
      <c r="S165" s="164"/>
      <c r="T165" s="164"/>
      <c r="U165" s="164"/>
      <c r="V165" s="164"/>
      <c r="W165" s="164"/>
    </row>
    <row r="166" spans="11:23" x14ac:dyDescent="0.25">
      <c r="K166" s="163"/>
      <c r="L166" s="163"/>
      <c r="M166" s="164"/>
      <c r="N166" s="164"/>
      <c r="O166" s="164"/>
      <c r="P166" s="164"/>
      <c r="Q166" s="164"/>
      <c r="R166" s="164"/>
      <c r="S166" s="164"/>
      <c r="T166" s="164"/>
      <c r="U166" s="164"/>
      <c r="V166" s="164"/>
      <c r="W166" s="164"/>
    </row>
    <row r="167" spans="11:23" x14ac:dyDescent="0.25">
      <c r="K167" s="163"/>
      <c r="L167" s="163"/>
      <c r="M167" s="164"/>
      <c r="N167" s="164"/>
      <c r="O167" s="164"/>
      <c r="P167" s="164"/>
      <c r="Q167" s="164"/>
      <c r="R167" s="164"/>
      <c r="S167" s="164"/>
      <c r="T167" s="164"/>
      <c r="U167" s="164"/>
      <c r="V167" s="164"/>
      <c r="W167" s="164"/>
    </row>
    <row r="168" spans="11:23" x14ac:dyDescent="0.25">
      <c r="K168" s="163"/>
      <c r="L168" s="163"/>
      <c r="M168" s="164"/>
      <c r="N168" s="164"/>
      <c r="O168" s="164"/>
      <c r="P168" s="164"/>
      <c r="Q168" s="164"/>
      <c r="R168" s="164"/>
      <c r="S168" s="164"/>
      <c r="T168" s="164"/>
      <c r="U168" s="164"/>
      <c r="V168" s="164"/>
      <c r="W168" s="164"/>
    </row>
    <row r="169" spans="11:23" x14ac:dyDescent="0.25">
      <c r="K169" s="163"/>
      <c r="L169" s="163"/>
      <c r="M169" s="164"/>
      <c r="N169" s="164"/>
      <c r="O169" s="164"/>
      <c r="P169" s="164"/>
      <c r="Q169" s="164"/>
      <c r="R169" s="164"/>
      <c r="S169" s="164"/>
      <c r="T169" s="164"/>
      <c r="U169" s="164"/>
      <c r="V169" s="164"/>
      <c r="W169" s="164"/>
    </row>
    <row r="170" spans="11:23" x14ac:dyDescent="0.25">
      <c r="K170" s="163"/>
      <c r="L170" s="163"/>
      <c r="M170" s="164"/>
      <c r="N170" s="164"/>
      <c r="O170" s="164"/>
      <c r="P170" s="164"/>
      <c r="Q170" s="164"/>
      <c r="R170" s="164"/>
      <c r="S170" s="164"/>
      <c r="T170" s="164"/>
      <c r="U170" s="164"/>
      <c r="V170" s="164"/>
      <c r="W170" s="164"/>
    </row>
    <row r="171" spans="11:23" x14ac:dyDescent="0.25">
      <c r="K171" s="163"/>
      <c r="L171" s="163"/>
      <c r="M171" s="164"/>
      <c r="N171" s="164"/>
      <c r="O171" s="164"/>
      <c r="P171" s="164"/>
      <c r="Q171" s="164"/>
      <c r="R171" s="164"/>
      <c r="S171" s="164"/>
      <c r="T171" s="164"/>
      <c r="U171" s="164"/>
      <c r="V171" s="164"/>
      <c r="W171" s="164"/>
    </row>
    <row r="172" spans="11:23" x14ac:dyDescent="0.25">
      <c r="K172" s="163"/>
      <c r="L172" s="163"/>
      <c r="M172" s="164"/>
      <c r="N172" s="164"/>
      <c r="O172" s="164"/>
      <c r="P172" s="164"/>
      <c r="Q172" s="164"/>
      <c r="R172" s="164"/>
      <c r="S172" s="164"/>
      <c r="T172" s="164"/>
      <c r="U172" s="164"/>
      <c r="V172" s="164"/>
      <c r="W172" s="164"/>
    </row>
    <row r="173" spans="11:23" x14ac:dyDescent="0.25">
      <c r="K173" s="163"/>
      <c r="L173" s="163"/>
      <c r="M173" s="164"/>
      <c r="N173" s="164"/>
      <c r="O173" s="164"/>
      <c r="P173" s="164"/>
      <c r="Q173" s="164"/>
      <c r="R173" s="164"/>
      <c r="S173" s="164"/>
      <c r="T173" s="164"/>
      <c r="U173" s="164"/>
      <c r="V173" s="164"/>
      <c r="W173" s="164"/>
    </row>
    <row r="174" spans="11:23" x14ac:dyDescent="0.25">
      <c r="K174" s="163"/>
      <c r="L174" s="163"/>
      <c r="M174" s="164"/>
      <c r="N174" s="164"/>
      <c r="O174" s="164"/>
      <c r="P174" s="164"/>
      <c r="Q174" s="164"/>
      <c r="R174" s="164"/>
      <c r="S174" s="164"/>
      <c r="T174" s="164"/>
      <c r="U174" s="164"/>
      <c r="V174" s="164"/>
      <c r="W174" s="164"/>
    </row>
    <row r="175" spans="11:23" x14ac:dyDescent="0.25">
      <c r="K175" s="163"/>
      <c r="L175" s="163"/>
      <c r="M175" s="164"/>
      <c r="N175" s="164"/>
      <c r="O175" s="164"/>
      <c r="P175" s="164"/>
      <c r="Q175" s="164"/>
      <c r="R175" s="164"/>
      <c r="S175" s="164"/>
      <c r="T175" s="164"/>
      <c r="U175" s="164"/>
      <c r="V175" s="164"/>
      <c r="W175" s="164"/>
    </row>
    <row r="176" spans="11:23" x14ac:dyDescent="0.25">
      <c r="K176" s="163"/>
      <c r="L176" s="163"/>
      <c r="M176" s="164"/>
      <c r="N176" s="164"/>
      <c r="O176" s="164"/>
      <c r="P176" s="164"/>
      <c r="Q176" s="164"/>
      <c r="R176" s="164"/>
      <c r="S176" s="164"/>
      <c r="T176" s="164"/>
      <c r="U176" s="164"/>
      <c r="V176" s="164"/>
      <c r="W176" s="164"/>
    </row>
    <row r="177" spans="11:23" x14ac:dyDescent="0.25">
      <c r="K177" s="163"/>
      <c r="L177" s="163"/>
      <c r="M177" s="164"/>
      <c r="N177" s="164"/>
      <c r="O177" s="164"/>
      <c r="P177" s="164"/>
      <c r="Q177" s="164"/>
      <c r="R177" s="164"/>
      <c r="S177" s="164"/>
      <c r="T177" s="164"/>
      <c r="U177" s="164"/>
      <c r="V177" s="164"/>
      <c r="W177" s="164"/>
    </row>
    <row r="178" spans="11:23" x14ac:dyDescent="0.25">
      <c r="K178" s="163"/>
      <c r="L178" s="163"/>
      <c r="M178" s="164"/>
      <c r="N178" s="164"/>
      <c r="O178" s="164"/>
      <c r="P178" s="164"/>
      <c r="Q178" s="164"/>
      <c r="R178" s="164"/>
      <c r="S178" s="164"/>
      <c r="T178" s="164"/>
      <c r="U178" s="164"/>
      <c r="V178" s="164"/>
      <c r="W178" s="164"/>
    </row>
    <row r="179" spans="11:23" x14ac:dyDescent="0.25">
      <c r="K179" s="163"/>
      <c r="L179" s="163"/>
      <c r="M179" s="164"/>
      <c r="N179" s="164"/>
      <c r="O179" s="164"/>
      <c r="P179" s="164"/>
      <c r="Q179" s="164"/>
      <c r="R179" s="164"/>
      <c r="S179" s="164"/>
      <c r="T179" s="164"/>
      <c r="U179" s="164"/>
      <c r="V179" s="164"/>
      <c r="W179" s="164"/>
    </row>
    <row r="180" spans="11:23" x14ac:dyDescent="0.25">
      <c r="K180" s="163"/>
      <c r="L180" s="163"/>
      <c r="M180" s="164"/>
      <c r="N180" s="164"/>
      <c r="O180" s="164"/>
      <c r="P180" s="164"/>
      <c r="Q180" s="164"/>
      <c r="R180" s="164"/>
      <c r="S180" s="164"/>
      <c r="T180" s="164"/>
      <c r="U180" s="164"/>
      <c r="V180" s="164"/>
      <c r="W180" s="164"/>
    </row>
    <row r="181" spans="11:23" x14ac:dyDescent="0.25">
      <c r="K181" s="163"/>
      <c r="L181" s="163"/>
      <c r="M181" s="164"/>
      <c r="N181" s="164"/>
      <c r="O181" s="164"/>
      <c r="P181" s="164"/>
      <c r="Q181" s="164"/>
      <c r="R181" s="164"/>
      <c r="S181" s="164"/>
      <c r="T181" s="164"/>
      <c r="U181" s="164"/>
      <c r="V181" s="164"/>
      <c r="W181" s="164"/>
    </row>
    <row r="182" spans="11:23" x14ac:dyDescent="0.25">
      <c r="K182" s="163"/>
      <c r="L182" s="163"/>
      <c r="M182" s="164"/>
      <c r="N182" s="164"/>
      <c r="O182" s="164"/>
      <c r="P182" s="164"/>
      <c r="Q182" s="164"/>
      <c r="R182" s="164"/>
      <c r="S182" s="164"/>
      <c r="T182" s="164"/>
      <c r="U182" s="164"/>
      <c r="V182" s="164"/>
      <c r="W182" s="164"/>
    </row>
    <row r="183" spans="11:23" x14ac:dyDescent="0.25">
      <c r="K183" s="163"/>
      <c r="L183" s="163"/>
      <c r="M183" s="164"/>
      <c r="N183" s="164"/>
      <c r="O183" s="164"/>
      <c r="P183" s="164"/>
      <c r="Q183" s="164"/>
      <c r="R183" s="164"/>
      <c r="S183" s="164"/>
      <c r="T183" s="164"/>
      <c r="U183" s="164"/>
      <c r="V183" s="164"/>
      <c r="W183" s="164"/>
    </row>
    <row r="184" spans="11:23" x14ac:dyDescent="0.25">
      <c r="K184" s="163"/>
      <c r="L184" s="163"/>
      <c r="M184" s="164"/>
      <c r="N184" s="164"/>
      <c r="O184" s="164"/>
      <c r="P184" s="164"/>
      <c r="Q184" s="164"/>
      <c r="R184" s="164"/>
      <c r="S184" s="164"/>
      <c r="T184" s="164"/>
      <c r="U184" s="164"/>
      <c r="V184" s="164"/>
      <c r="W184" s="164"/>
    </row>
    <row r="185" spans="11:23" x14ac:dyDescent="0.25">
      <c r="K185" s="163"/>
      <c r="L185" s="163"/>
      <c r="M185" s="164"/>
      <c r="N185" s="164"/>
      <c r="O185" s="164"/>
      <c r="P185" s="164"/>
      <c r="Q185" s="164"/>
      <c r="R185" s="164"/>
      <c r="S185" s="164"/>
      <c r="T185" s="164"/>
      <c r="U185" s="164"/>
      <c r="V185" s="164"/>
      <c r="W185" s="164"/>
    </row>
    <row r="186" spans="11:23" x14ac:dyDescent="0.25">
      <c r="K186" s="163"/>
      <c r="L186" s="163"/>
      <c r="M186" s="164"/>
      <c r="N186" s="164"/>
      <c r="O186" s="164"/>
      <c r="P186" s="164"/>
      <c r="Q186" s="164"/>
      <c r="R186" s="164"/>
      <c r="S186" s="164"/>
      <c r="T186" s="164"/>
      <c r="U186" s="164"/>
      <c r="V186" s="164"/>
      <c r="W186" s="164"/>
    </row>
    <row r="187" spans="11:23" x14ac:dyDescent="0.25">
      <c r="K187" s="163"/>
      <c r="L187" s="163"/>
      <c r="M187" s="164"/>
      <c r="N187" s="164"/>
      <c r="O187" s="164"/>
      <c r="P187" s="164"/>
      <c r="Q187" s="164"/>
      <c r="R187" s="164"/>
      <c r="S187" s="164"/>
      <c r="T187" s="164"/>
      <c r="U187" s="164"/>
      <c r="V187" s="164"/>
      <c r="W187" s="164"/>
    </row>
    <row r="188" spans="11:23" x14ac:dyDescent="0.25">
      <c r="K188" s="163"/>
      <c r="L188" s="163"/>
      <c r="M188" s="164"/>
      <c r="N188" s="164"/>
      <c r="O188" s="164"/>
      <c r="P188" s="164"/>
      <c r="Q188" s="164"/>
      <c r="R188" s="164"/>
      <c r="S188" s="164"/>
      <c r="T188" s="164"/>
      <c r="U188" s="164"/>
      <c r="V188" s="164"/>
      <c r="W188" s="164"/>
    </row>
    <row r="189" spans="11:23" x14ac:dyDescent="0.25">
      <c r="K189" s="163"/>
      <c r="L189" s="163"/>
      <c r="M189" s="164"/>
      <c r="N189" s="164"/>
      <c r="O189" s="164"/>
      <c r="P189" s="164"/>
      <c r="Q189" s="164"/>
      <c r="R189" s="164"/>
      <c r="S189" s="164"/>
      <c r="T189" s="164"/>
      <c r="U189" s="164"/>
      <c r="V189" s="164"/>
      <c r="W189" s="164"/>
    </row>
    <row r="190" spans="11:23" x14ac:dyDescent="0.25">
      <c r="K190" s="163"/>
      <c r="L190" s="163"/>
      <c r="M190" s="164"/>
      <c r="N190" s="164"/>
      <c r="O190" s="164"/>
      <c r="P190" s="164"/>
      <c r="Q190" s="164"/>
      <c r="R190" s="164"/>
      <c r="S190" s="164"/>
      <c r="T190" s="164"/>
      <c r="U190" s="164"/>
      <c r="V190" s="164"/>
      <c r="W190" s="164"/>
    </row>
    <row r="191" spans="11:23" x14ac:dyDescent="0.25">
      <c r="K191" s="163"/>
      <c r="L191" s="163"/>
      <c r="M191" s="164"/>
      <c r="N191" s="164"/>
      <c r="O191" s="164"/>
      <c r="P191" s="164"/>
      <c r="Q191" s="164"/>
      <c r="R191" s="164"/>
      <c r="S191" s="164"/>
      <c r="T191" s="164"/>
      <c r="U191" s="164"/>
      <c r="V191" s="164"/>
      <c r="W191" s="164"/>
    </row>
    <row r="192" spans="11:23" x14ac:dyDescent="0.25">
      <c r="K192" s="163"/>
      <c r="L192" s="163"/>
      <c r="M192" s="164"/>
      <c r="N192" s="164"/>
      <c r="O192" s="164"/>
      <c r="P192" s="164"/>
      <c r="Q192" s="164"/>
      <c r="R192" s="164"/>
      <c r="S192" s="164"/>
      <c r="T192" s="164"/>
      <c r="U192" s="164"/>
      <c r="V192" s="164"/>
      <c r="W192" s="164"/>
    </row>
    <row r="193" spans="11:23" x14ac:dyDescent="0.25">
      <c r="K193" s="163"/>
      <c r="L193" s="163"/>
      <c r="M193" s="164"/>
      <c r="N193" s="164"/>
      <c r="O193" s="164"/>
      <c r="P193" s="164"/>
      <c r="Q193" s="164"/>
      <c r="R193" s="164"/>
      <c r="S193" s="164"/>
      <c r="T193" s="164"/>
      <c r="U193" s="164"/>
      <c r="V193" s="164"/>
      <c r="W193" s="164"/>
    </row>
    <row r="194" spans="11:23" x14ac:dyDescent="0.25">
      <c r="K194" s="163"/>
      <c r="L194" s="163"/>
      <c r="M194" s="164"/>
      <c r="N194" s="164"/>
      <c r="O194" s="164"/>
      <c r="P194" s="164"/>
      <c r="Q194" s="164"/>
      <c r="R194" s="164"/>
      <c r="S194" s="164"/>
      <c r="T194" s="164"/>
      <c r="U194" s="164"/>
      <c r="V194" s="164"/>
      <c r="W194" s="164"/>
    </row>
    <row r="195" spans="11:23" x14ac:dyDescent="0.25">
      <c r="K195" s="163"/>
      <c r="L195" s="163"/>
      <c r="M195" s="164"/>
      <c r="N195" s="164"/>
      <c r="O195" s="164"/>
      <c r="P195" s="164"/>
      <c r="Q195" s="164"/>
      <c r="R195" s="164"/>
      <c r="S195" s="164"/>
      <c r="T195" s="164"/>
      <c r="U195" s="164"/>
      <c r="V195" s="164"/>
      <c r="W195" s="164"/>
    </row>
    <row r="196" spans="11:23" x14ac:dyDescent="0.25">
      <c r="K196" s="163"/>
      <c r="L196" s="163"/>
      <c r="M196" s="164"/>
      <c r="N196" s="164"/>
      <c r="O196" s="164"/>
      <c r="P196" s="164"/>
      <c r="Q196" s="164"/>
      <c r="R196" s="164"/>
      <c r="S196" s="164"/>
      <c r="T196" s="164"/>
      <c r="U196" s="164"/>
      <c r="V196" s="164"/>
      <c r="W196" s="164"/>
    </row>
    <row r="197" spans="11:23" x14ac:dyDescent="0.25">
      <c r="K197" s="163"/>
      <c r="L197" s="163"/>
      <c r="M197" s="164"/>
      <c r="N197" s="164"/>
      <c r="O197" s="164"/>
      <c r="P197" s="164"/>
      <c r="Q197" s="164"/>
      <c r="R197" s="164"/>
      <c r="S197" s="164"/>
      <c r="T197" s="164"/>
      <c r="U197" s="164"/>
      <c r="V197" s="164"/>
      <c r="W197" s="164"/>
    </row>
    <row r="198" spans="11:23" x14ac:dyDescent="0.25">
      <c r="K198" s="163"/>
      <c r="L198" s="163"/>
      <c r="M198" s="164"/>
      <c r="N198" s="164"/>
      <c r="O198" s="164"/>
      <c r="P198" s="164"/>
      <c r="Q198" s="164"/>
      <c r="R198" s="164"/>
      <c r="S198" s="164"/>
      <c r="T198" s="164"/>
      <c r="U198" s="164"/>
      <c r="V198" s="164"/>
      <c r="W198" s="164"/>
    </row>
    <row r="199" spans="11:23" x14ac:dyDescent="0.25">
      <c r="K199" s="163"/>
      <c r="L199" s="163"/>
      <c r="M199" s="164"/>
      <c r="N199" s="164"/>
      <c r="O199" s="164"/>
      <c r="P199" s="164"/>
      <c r="Q199" s="164"/>
      <c r="R199" s="164"/>
      <c r="S199" s="164"/>
      <c r="T199" s="164"/>
      <c r="U199" s="164"/>
      <c r="V199" s="164"/>
      <c r="W199" s="164"/>
    </row>
    <row r="200" spans="11:23" x14ac:dyDescent="0.25">
      <c r="K200" s="163"/>
      <c r="L200" s="163"/>
      <c r="M200" s="164"/>
      <c r="N200" s="164"/>
      <c r="O200" s="164"/>
      <c r="P200" s="164"/>
      <c r="Q200" s="164"/>
      <c r="R200" s="164"/>
      <c r="S200" s="164"/>
      <c r="T200" s="164"/>
      <c r="U200" s="164"/>
      <c r="V200" s="164"/>
      <c r="W200" s="164"/>
    </row>
    <row r="201" spans="11:23" x14ac:dyDescent="0.25">
      <c r="K201" s="163"/>
      <c r="L201" s="163"/>
      <c r="M201" s="164"/>
      <c r="N201" s="164"/>
      <c r="O201" s="164"/>
      <c r="P201" s="164"/>
      <c r="Q201" s="164"/>
      <c r="R201" s="164"/>
      <c r="S201" s="164"/>
      <c r="T201" s="164"/>
      <c r="U201" s="164"/>
      <c r="V201" s="164"/>
      <c r="W201" s="164"/>
    </row>
    <row r="202" spans="11:23" x14ac:dyDescent="0.25">
      <c r="K202" s="163"/>
      <c r="L202" s="163"/>
      <c r="M202" s="164"/>
      <c r="N202" s="164"/>
      <c r="O202" s="164"/>
      <c r="P202" s="164"/>
      <c r="Q202" s="164"/>
      <c r="R202" s="164"/>
      <c r="S202" s="164"/>
      <c r="T202" s="164"/>
      <c r="U202" s="164"/>
      <c r="V202" s="164"/>
      <c r="W202" s="164"/>
    </row>
    <row r="203" spans="11:23" x14ac:dyDescent="0.25">
      <c r="K203" s="163"/>
      <c r="L203" s="163"/>
      <c r="M203" s="164"/>
      <c r="N203" s="164"/>
      <c r="O203" s="164"/>
      <c r="P203" s="164"/>
      <c r="Q203" s="164"/>
      <c r="R203" s="164"/>
      <c r="S203" s="164"/>
      <c r="T203" s="164"/>
      <c r="U203" s="164"/>
      <c r="V203" s="164"/>
      <c r="W203" s="164"/>
    </row>
    <row r="204" spans="11:23" x14ac:dyDescent="0.25">
      <c r="K204" s="163"/>
      <c r="L204" s="163"/>
      <c r="M204" s="164"/>
      <c r="N204" s="164"/>
      <c r="O204" s="164"/>
      <c r="P204" s="164"/>
      <c r="Q204" s="164"/>
      <c r="R204" s="164"/>
      <c r="S204" s="164"/>
      <c r="T204" s="164"/>
      <c r="U204" s="164"/>
      <c r="V204" s="164"/>
      <c r="W204" s="164"/>
    </row>
    <row r="205" spans="11:23" x14ac:dyDescent="0.25">
      <c r="K205" s="163"/>
      <c r="L205" s="163"/>
      <c r="M205" s="164"/>
      <c r="N205" s="164"/>
      <c r="O205" s="164"/>
      <c r="P205" s="164"/>
      <c r="Q205" s="164"/>
      <c r="R205" s="164"/>
      <c r="S205" s="164"/>
      <c r="T205" s="164"/>
      <c r="U205" s="164"/>
      <c r="V205" s="164"/>
      <c r="W205" s="164"/>
    </row>
    <row r="206" spans="11:23" x14ac:dyDescent="0.25">
      <c r="K206" s="163"/>
      <c r="L206" s="163"/>
      <c r="M206" s="164"/>
      <c r="N206" s="164"/>
      <c r="O206" s="164"/>
      <c r="P206" s="164"/>
      <c r="Q206" s="164"/>
      <c r="R206" s="164"/>
      <c r="S206" s="164"/>
      <c r="T206" s="164"/>
      <c r="U206" s="164"/>
      <c r="V206" s="164"/>
      <c r="W206" s="164"/>
    </row>
    <row r="207" spans="11:23" x14ac:dyDescent="0.25">
      <c r="K207" s="163"/>
      <c r="L207" s="163"/>
      <c r="M207" s="164"/>
      <c r="N207" s="164"/>
      <c r="O207" s="164"/>
      <c r="P207" s="164"/>
      <c r="Q207" s="164"/>
      <c r="R207" s="164"/>
      <c r="S207" s="164"/>
      <c r="T207" s="164"/>
      <c r="U207" s="164"/>
      <c r="V207" s="164"/>
      <c r="W207" s="164"/>
    </row>
    <row r="208" spans="11:23" x14ac:dyDescent="0.25">
      <c r="K208" s="163"/>
      <c r="L208" s="163"/>
      <c r="M208" s="164"/>
      <c r="N208" s="164"/>
      <c r="O208" s="164"/>
      <c r="P208" s="164"/>
      <c r="Q208" s="164"/>
      <c r="R208" s="164"/>
      <c r="S208" s="164"/>
      <c r="T208" s="164"/>
      <c r="U208" s="164"/>
      <c r="V208" s="164"/>
      <c r="W208" s="164"/>
    </row>
    <row r="209" spans="11:23" x14ac:dyDescent="0.25">
      <c r="K209" s="163"/>
      <c r="L209" s="163"/>
      <c r="M209" s="164"/>
      <c r="N209" s="164"/>
      <c r="O209" s="164"/>
      <c r="P209" s="164"/>
      <c r="Q209" s="164"/>
      <c r="R209" s="164"/>
      <c r="S209" s="164"/>
      <c r="T209" s="164"/>
      <c r="U209" s="164"/>
      <c r="V209" s="164"/>
      <c r="W209" s="164"/>
    </row>
    <row r="210" spans="11:23" x14ac:dyDescent="0.25">
      <c r="K210" s="163"/>
      <c r="L210" s="163"/>
      <c r="M210" s="164"/>
      <c r="N210" s="164"/>
      <c r="O210" s="164"/>
      <c r="P210" s="164"/>
      <c r="Q210" s="164"/>
      <c r="R210" s="164"/>
      <c r="S210" s="164"/>
      <c r="T210" s="164"/>
      <c r="U210" s="164"/>
      <c r="V210" s="164"/>
      <c r="W210" s="164"/>
    </row>
    <row r="211" spans="11:23" x14ac:dyDescent="0.25">
      <c r="K211" s="163"/>
      <c r="L211" s="163"/>
      <c r="M211" s="164"/>
      <c r="N211" s="164"/>
      <c r="O211" s="164"/>
      <c r="P211" s="164"/>
      <c r="Q211" s="164"/>
      <c r="R211" s="164"/>
      <c r="S211" s="164"/>
      <c r="T211" s="164"/>
      <c r="U211" s="164"/>
      <c r="V211" s="164"/>
      <c r="W211" s="164"/>
    </row>
    <row r="212" spans="11:23" x14ac:dyDescent="0.25">
      <c r="K212" s="163"/>
      <c r="L212" s="163"/>
      <c r="M212" s="164"/>
      <c r="N212" s="164"/>
      <c r="O212" s="164"/>
      <c r="P212" s="164"/>
      <c r="Q212" s="164"/>
      <c r="R212" s="164"/>
      <c r="S212" s="164"/>
      <c r="T212" s="164"/>
      <c r="U212" s="164"/>
      <c r="V212" s="164"/>
      <c r="W212" s="164"/>
    </row>
    <row r="213" spans="11:23" x14ac:dyDescent="0.25">
      <c r="K213" s="163"/>
      <c r="L213" s="163"/>
      <c r="M213" s="164"/>
      <c r="N213" s="164"/>
      <c r="O213" s="164"/>
      <c r="P213" s="164"/>
      <c r="Q213" s="164"/>
      <c r="R213" s="164"/>
      <c r="S213" s="164"/>
      <c r="T213" s="164"/>
      <c r="U213" s="164"/>
      <c r="V213" s="164"/>
      <c r="W213" s="164"/>
    </row>
    <row r="214" spans="11:23" x14ac:dyDescent="0.25">
      <c r="K214" s="163"/>
      <c r="L214" s="163"/>
      <c r="M214" s="164"/>
      <c r="N214" s="164"/>
      <c r="O214" s="164"/>
      <c r="P214" s="164"/>
      <c r="Q214" s="164"/>
      <c r="R214" s="164"/>
      <c r="S214" s="164"/>
      <c r="T214" s="164"/>
      <c r="U214" s="164"/>
      <c r="V214" s="164"/>
      <c r="W214" s="164"/>
    </row>
    <row r="215" spans="11:23" x14ac:dyDescent="0.25">
      <c r="K215" s="163"/>
      <c r="L215" s="163"/>
      <c r="M215" s="164"/>
      <c r="N215" s="164"/>
      <c r="O215" s="164"/>
      <c r="P215" s="164"/>
      <c r="Q215" s="164"/>
      <c r="R215" s="164"/>
      <c r="S215" s="164"/>
      <c r="T215" s="164"/>
      <c r="U215" s="164"/>
      <c r="V215" s="164"/>
      <c r="W215" s="164"/>
    </row>
    <row r="216" spans="11:23" x14ac:dyDescent="0.25">
      <c r="K216" s="163"/>
      <c r="L216" s="163"/>
      <c r="M216" s="164"/>
      <c r="N216" s="164"/>
      <c r="O216" s="164"/>
      <c r="P216" s="164"/>
      <c r="Q216" s="164"/>
      <c r="R216" s="164"/>
      <c r="S216" s="164"/>
      <c r="T216" s="164"/>
      <c r="U216" s="164"/>
      <c r="V216" s="164"/>
      <c r="W216" s="164"/>
    </row>
    <row r="217" spans="11:23" x14ac:dyDescent="0.25">
      <c r="K217" s="163"/>
      <c r="L217" s="163"/>
      <c r="M217" s="164"/>
      <c r="N217" s="164"/>
      <c r="O217" s="164"/>
      <c r="P217" s="164"/>
      <c r="Q217" s="164"/>
      <c r="R217" s="164"/>
      <c r="S217" s="164"/>
      <c r="T217" s="164"/>
      <c r="U217" s="164"/>
      <c r="V217" s="164"/>
      <c r="W217" s="164"/>
    </row>
    <row r="218" spans="11:23" x14ac:dyDescent="0.25">
      <c r="K218" s="163"/>
      <c r="L218" s="163"/>
      <c r="M218" s="164"/>
      <c r="N218" s="164"/>
      <c r="O218" s="164"/>
      <c r="P218" s="164"/>
      <c r="Q218" s="164"/>
      <c r="R218" s="164"/>
      <c r="S218" s="164"/>
      <c r="T218" s="164"/>
      <c r="U218" s="164"/>
      <c r="V218" s="164"/>
      <c r="W218" s="164"/>
    </row>
    <row r="219" spans="11:23" x14ac:dyDescent="0.25">
      <c r="K219" s="163"/>
      <c r="L219" s="163"/>
      <c r="M219" s="164"/>
      <c r="N219" s="164"/>
      <c r="O219" s="164"/>
      <c r="P219" s="164"/>
      <c r="Q219" s="164"/>
      <c r="R219" s="164"/>
      <c r="S219" s="164"/>
      <c r="T219" s="164"/>
      <c r="U219" s="164"/>
      <c r="V219" s="164"/>
      <c r="W219" s="164"/>
    </row>
    <row r="220" spans="11:23" x14ac:dyDescent="0.25">
      <c r="K220" s="163"/>
      <c r="L220" s="163"/>
      <c r="M220" s="164"/>
      <c r="N220" s="164"/>
      <c r="O220" s="164"/>
      <c r="P220" s="164"/>
      <c r="Q220" s="164"/>
      <c r="R220" s="164"/>
      <c r="S220" s="164"/>
      <c r="T220" s="164"/>
      <c r="U220" s="164"/>
      <c r="V220" s="164"/>
      <c r="W220" s="164"/>
    </row>
    <row r="221" spans="11:23" x14ac:dyDescent="0.25">
      <c r="K221" s="163"/>
      <c r="L221" s="163"/>
      <c r="M221" s="164"/>
      <c r="N221" s="164"/>
      <c r="O221" s="164"/>
      <c r="P221" s="164"/>
      <c r="Q221" s="164"/>
      <c r="R221" s="164"/>
      <c r="S221" s="164"/>
      <c r="T221" s="164"/>
      <c r="U221" s="164"/>
      <c r="V221" s="164"/>
      <c r="W221" s="164"/>
    </row>
    <row r="222" spans="11:23" x14ac:dyDescent="0.25">
      <c r="K222" s="163"/>
      <c r="L222" s="163"/>
      <c r="M222" s="164"/>
      <c r="N222" s="164"/>
      <c r="O222" s="164"/>
      <c r="P222" s="164"/>
      <c r="Q222" s="164"/>
      <c r="R222" s="164"/>
      <c r="S222" s="164"/>
      <c r="T222" s="164"/>
      <c r="U222" s="164"/>
      <c r="V222" s="164"/>
      <c r="W222" s="164"/>
    </row>
    <row r="223" spans="11:23" x14ac:dyDescent="0.25">
      <c r="K223" s="163"/>
      <c r="L223" s="163"/>
      <c r="M223" s="164"/>
      <c r="N223" s="164"/>
      <c r="O223" s="164"/>
      <c r="P223" s="164"/>
      <c r="Q223" s="164"/>
      <c r="R223" s="164"/>
      <c r="S223" s="164"/>
      <c r="T223" s="164"/>
      <c r="U223" s="164"/>
      <c r="V223" s="164"/>
      <c r="W223" s="164"/>
    </row>
    <row r="224" spans="11:23" x14ac:dyDescent="0.25">
      <c r="K224" s="163"/>
      <c r="L224" s="163"/>
      <c r="M224" s="164"/>
      <c r="N224" s="164"/>
      <c r="O224" s="164"/>
      <c r="P224" s="164"/>
      <c r="Q224" s="164"/>
      <c r="R224" s="164"/>
      <c r="S224" s="164"/>
      <c r="T224" s="164"/>
      <c r="U224" s="164"/>
      <c r="V224" s="164"/>
      <c r="W224" s="164"/>
    </row>
    <row r="225" spans="11:23" x14ac:dyDescent="0.25">
      <c r="K225" s="163"/>
      <c r="L225" s="163"/>
      <c r="M225" s="164"/>
      <c r="N225" s="164"/>
      <c r="O225" s="164"/>
      <c r="P225" s="164"/>
      <c r="Q225" s="164"/>
      <c r="R225" s="164"/>
      <c r="S225" s="164"/>
      <c r="T225" s="164"/>
      <c r="U225" s="164"/>
      <c r="V225" s="164"/>
      <c r="W225" s="164"/>
    </row>
    <row r="226" spans="11:23" x14ac:dyDescent="0.25">
      <c r="K226" s="163"/>
      <c r="L226" s="163"/>
      <c r="M226" s="164"/>
      <c r="N226" s="164"/>
      <c r="O226" s="164"/>
      <c r="P226" s="164"/>
      <c r="Q226" s="164"/>
      <c r="R226" s="164"/>
      <c r="S226" s="164"/>
      <c r="T226" s="164"/>
      <c r="U226" s="164"/>
      <c r="V226" s="164"/>
      <c r="W226" s="164"/>
    </row>
    <row r="227" spans="11:23" x14ac:dyDescent="0.25">
      <c r="K227" s="163"/>
      <c r="L227" s="163"/>
      <c r="M227" s="164"/>
      <c r="N227" s="164"/>
      <c r="O227" s="164"/>
      <c r="P227" s="164"/>
      <c r="Q227" s="164"/>
      <c r="R227" s="164"/>
      <c r="S227" s="164"/>
      <c r="T227" s="164"/>
      <c r="U227" s="164"/>
      <c r="V227" s="164"/>
      <c r="W227" s="164"/>
    </row>
    <row r="228" spans="11:23" x14ac:dyDescent="0.25">
      <c r="K228" s="163"/>
      <c r="L228" s="163"/>
      <c r="M228" s="164"/>
      <c r="N228" s="164"/>
      <c r="O228" s="164"/>
      <c r="P228" s="164"/>
      <c r="Q228" s="164"/>
      <c r="R228" s="164"/>
      <c r="S228" s="164"/>
      <c r="T228" s="164"/>
      <c r="U228" s="164"/>
      <c r="V228" s="164"/>
      <c r="W228" s="164"/>
    </row>
    <row r="229" spans="11:23" x14ac:dyDescent="0.25">
      <c r="K229" s="163"/>
      <c r="L229" s="163"/>
      <c r="M229" s="164"/>
      <c r="N229" s="164"/>
      <c r="O229" s="164"/>
      <c r="P229" s="164"/>
      <c r="Q229" s="164"/>
      <c r="R229" s="164"/>
      <c r="S229" s="164"/>
      <c r="T229" s="164"/>
      <c r="U229" s="164"/>
      <c r="V229" s="164"/>
      <c r="W229" s="164"/>
    </row>
    <row r="230" spans="11:23" x14ac:dyDescent="0.25">
      <c r="K230" s="163"/>
      <c r="L230" s="163"/>
      <c r="M230" s="164"/>
      <c r="N230" s="164"/>
      <c r="O230" s="164"/>
      <c r="P230" s="164"/>
      <c r="Q230" s="164"/>
      <c r="R230" s="164"/>
      <c r="S230" s="164"/>
      <c r="T230" s="164"/>
      <c r="U230" s="164"/>
      <c r="V230" s="164"/>
      <c r="W230" s="164"/>
    </row>
    <row r="231" spans="11:23" x14ac:dyDescent="0.25">
      <c r="K231" s="163"/>
      <c r="L231" s="163"/>
      <c r="M231" s="164"/>
      <c r="N231" s="164"/>
      <c r="O231" s="164"/>
      <c r="P231" s="164"/>
      <c r="Q231" s="164"/>
      <c r="R231" s="164"/>
      <c r="S231" s="164"/>
      <c r="T231" s="164"/>
      <c r="U231" s="164"/>
      <c r="V231" s="164"/>
      <c r="W231" s="164"/>
    </row>
    <row r="232" spans="11:23" x14ac:dyDescent="0.25">
      <c r="K232" s="163"/>
      <c r="L232" s="163"/>
      <c r="M232" s="164"/>
      <c r="N232" s="164"/>
      <c r="O232" s="164"/>
      <c r="P232" s="164"/>
      <c r="Q232" s="164"/>
      <c r="R232" s="164"/>
      <c r="S232" s="164"/>
      <c r="T232" s="164"/>
      <c r="U232" s="164"/>
      <c r="V232" s="164"/>
      <c r="W232" s="164"/>
    </row>
    <row r="233" spans="11:23" x14ac:dyDescent="0.25">
      <c r="K233" s="163"/>
      <c r="L233" s="163"/>
      <c r="M233" s="164"/>
      <c r="N233" s="164"/>
      <c r="O233" s="164"/>
      <c r="P233" s="164"/>
      <c r="Q233" s="164"/>
      <c r="R233" s="164"/>
      <c r="S233" s="164"/>
      <c r="T233" s="164"/>
      <c r="U233" s="164"/>
      <c r="V233" s="164"/>
      <c r="W233" s="164"/>
    </row>
    <row r="234" spans="11:23" x14ac:dyDescent="0.25">
      <c r="K234" s="163"/>
      <c r="L234" s="163"/>
      <c r="M234" s="164"/>
      <c r="N234" s="164"/>
      <c r="O234" s="164"/>
      <c r="P234" s="164"/>
      <c r="Q234" s="164"/>
      <c r="R234" s="164"/>
      <c r="S234" s="164"/>
      <c r="T234" s="164"/>
      <c r="U234" s="164"/>
      <c r="V234" s="164"/>
      <c r="W234" s="164"/>
    </row>
    <row r="235" spans="11:23" x14ac:dyDescent="0.25">
      <c r="K235" s="163"/>
      <c r="L235" s="163"/>
      <c r="M235" s="164"/>
      <c r="N235" s="164"/>
      <c r="O235" s="164"/>
      <c r="P235" s="164"/>
      <c r="Q235" s="164"/>
      <c r="R235" s="164"/>
      <c r="S235" s="164"/>
      <c r="T235" s="164"/>
      <c r="U235" s="164"/>
      <c r="V235" s="164"/>
      <c r="W235" s="164"/>
    </row>
    <row r="236" spans="11:23" x14ac:dyDescent="0.25">
      <c r="K236" s="163"/>
      <c r="L236" s="163"/>
      <c r="M236" s="164"/>
      <c r="N236" s="164"/>
      <c r="O236" s="164"/>
      <c r="P236" s="164"/>
      <c r="Q236" s="164"/>
      <c r="R236" s="164"/>
      <c r="S236" s="164"/>
      <c r="T236" s="164"/>
      <c r="U236" s="164"/>
      <c r="V236" s="164"/>
      <c r="W236" s="164"/>
    </row>
    <row r="237" spans="11:23" x14ac:dyDescent="0.25">
      <c r="K237" s="163"/>
      <c r="L237" s="163"/>
      <c r="M237" s="164"/>
      <c r="N237" s="164"/>
      <c r="O237" s="164"/>
      <c r="P237" s="164"/>
      <c r="Q237" s="164"/>
      <c r="R237" s="164"/>
      <c r="S237" s="164"/>
      <c r="T237" s="164"/>
      <c r="U237" s="164"/>
      <c r="V237" s="164"/>
      <c r="W237" s="164"/>
    </row>
    <row r="238" spans="11:23" x14ac:dyDescent="0.25">
      <c r="K238" s="163"/>
      <c r="L238" s="163"/>
      <c r="M238" s="164"/>
      <c r="N238" s="164"/>
      <c r="O238" s="164"/>
      <c r="P238" s="164"/>
      <c r="Q238" s="164"/>
      <c r="R238" s="164"/>
      <c r="S238" s="164"/>
      <c r="T238" s="164"/>
      <c r="U238" s="164"/>
      <c r="V238" s="164"/>
      <c r="W238" s="164"/>
    </row>
    <row r="239" spans="11:23" x14ac:dyDescent="0.25">
      <c r="K239" s="163"/>
      <c r="L239" s="163"/>
      <c r="M239" s="164"/>
      <c r="N239" s="164"/>
      <c r="O239" s="164"/>
      <c r="P239" s="164"/>
      <c r="Q239" s="164"/>
      <c r="R239" s="164"/>
      <c r="S239" s="164"/>
      <c r="T239" s="164"/>
      <c r="U239" s="164"/>
      <c r="V239" s="164"/>
      <c r="W239" s="164"/>
    </row>
    <row r="240" spans="11:23" x14ac:dyDescent="0.25">
      <c r="K240" s="163"/>
      <c r="L240" s="163"/>
      <c r="M240" s="164"/>
      <c r="N240" s="164"/>
      <c r="O240" s="164"/>
      <c r="P240" s="164"/>
      <c r="Q240" s="164"/>
      <c r="R240" s="164"/>
      <c r="S240" s="164"/>
      <c r="T240" s="164"/>
      <c r="U240" s="164"/>
      <c r="V240" s="164"/>
      <c r="W240" s="164"/>
    </row>
    <row r="241" spans="11:23" x14ac:dyDescent="0.25">
      <c r="K241" s="163"/>
      <c r="L241" s="163"/>
      <c r="M241" s="164"/>
      <c r="N241" s="164"/>
      <c r="O241" s="164"/>
      <c r="P241" s="164"/>
      <c r="Q241" s="164"/>
      <c r="R241" s="164"/>
      <c r="S241" s="164"/>
      <c r="T241" s="164"/>
      <c r="U241" s="164"/>
      <c r="V241" s="164"/>
      <c r="W241" s="164"/>
    </row>
    <row r="242" spans="11:23" x14ac:dyDescent="0.25">
      <c r="K242" s="163"/>
      <c r="L242" s="163"/>
      <c r="M242" s="164"/>
      <c r="N242" s="164"/>
      <c r="O242" s="164"/>
      <c r="P242" s="164"/>
      <c r="Q242" s="164"/>
      <c r="R242" s="164"/>
      <c r="S242" s="164"/>
      <c r="T242" s="164"/>
      <c r="U242" s="164"/>
      <c r="V242" s="164"/>
      <c r="W242" s="164"/>
    </row>
    <row r="243" spans="11:23" x14ac:dyDescent="0.25">
      <c r="K243" s="163"/>
      <c r="L243" s="163"/>
      <c r="M243" s="164"/>
      <c r="N243" s="164"/>
      <c r="O243" s="164"/>
      <c r="P243" s="164"/>
      <c r="Q243" s="164"/>
      <c r="R243" s="164"/>
      <c r="S243" s="164"/>
      <c r="T243" s="164"/>
      <c r="U243" s="164"/>
      <c r="V243" s="164"/>
      <c r="W243" s="164"/>
    </row>
    <row r="244" spans="11:23" x14ac:dyDescent="0.25">
      <c r="K244" s="163"/>
      <c r="L244" s="163"/>
      <c r="M244" s="164"/>
      <c r="N244" s="164"/>
      <c r="O244" s="164"/>
      <c r="P244" s="164"/>
      <c r="Q244" s="164"/>
      <c r="R244" s="164"/>
      <c r="S244" s="164"/>
      <c r="T244" s="164"/>
      <c r="U244" s="164"/>
      <c r="V244" s="164"/>
      <c r="W244" s="164"/>
    </row>
    <row r="245" spans="11:23" x14ac:dyDescent="0.25">
      <c r="K245" s="163"/>
      <c r="L245" s="163"/>
      <c r="M245" s="164"/>
      <c r="N245" s="164"/>
      <c r="O245" s="164"/>
      <c r="P245" s="164"/>
      <c r="Q245" s="164"/>
      <c r="R245" s="164"/>
      <c r="S245" s="164"/>
      <c r="T245" s="164"/>
      <c r="U245" s="164"/>
      <c r="V245" s="164"/>
      <c r="W245" s="164"/>
    </row>
    <row r="246" spans="11:23" x14ac:dyDescent="0.25">
      <c r="K246" s="163"/>
      <c r="L246" s="163"/>
      <c r="M246" s="164"/>
      <c r="N246" s="164"/>
      <c r="O246" s="164"/>
      <c r="P246" s="164"/>
      <c r="Q246" s="164"/>
      <c r="R246" s="164"/>
      <c r="S246" s="164"/>
      <c r="T246" s="164"/>
      <c r="U246" s="164"/>
      <c r="V246" s="164"/>
      <c r="W246" s="164"/>
    </row>
    <row r="247" spans="11:23" x14ac:dyDescent="0.25">
      <c r="K247" s="163"/>
      <c r="L247" s="163"/>
      <c r="M247" s="164"/>
      <c r="N247" s="164"/>
      <c r="O247" s="164"/>
      <c r="P247" s="164"/>
      <c r="Q247" s="164"/>
      <c r="R247" s="164"/>
      <c r="S247" s="164"/>
      <c r="T247" s="164"/>
      <c r="U247" s="164"/>
      <c r="V247" s="164"/>
      <c r="W247" s="164"/>
    </row>
    <row r="248" spans="11:23" x14ac:dyDescent="0.25">
      <c r="K248" s="163"/>
      <c r="L248" s="163"/>
      <c r="M248" s="164"/>
      <c r="N248" s="164"/>
      <c r="O248" s="164"/>
      <c r="P248" s="164"/>
      <c r="Q248" s="164"/>
      <c r="R248" s="164"/>
      <c r="S248" s="164"/>
      <c r="T248" s="164"/>
      <c r="U248" s="164"/>
      <c r="V248" s="164"/>
      <c r="W248" s="164"/>
    </row>
    <row r="249" spans="11:23" x14ac:dyDescent="0.25">
      <c r="K249" s="163"/>
      <c r="L249" s="163"/>
      <c r="M249" s="164"/>
      <c r="N249" s="164"/>
      <c r="O249" s="164"/>
      <c r="P249" s="164"/>
      <c r="Q249" s="164"/>
      <c r="R249" s="164"/>
      <c r="S249" s="164"/>
      <c r="T249" s="164"/>
      <c r="U249" s="164"/>
      <c r="V249" s="164"/>
      <c r="W249" s="164"/>
    </row>
    <row r="250" spans="11:23" x14ac:dyDescent="0.25">
      <c r="K250" s="163"/>
      <c r="L250" s="163"/>
      <c r="M250" s="164"/>
      <c r="N250" s="164"/>
      <c r="O250" s="164"/>
      <c r="P250" s="164"/>
      <c r="Q250" s="164"/>
      <c r="R250" s="164"/>
      <c r="S250" s="164"/>
      <c r="T250" s="164"/>
      <c r="U250" s="164"/>
      <c r="V250" s="164"/>
      <c r="W250" s="164"/>
    </row>
    <row r="251" spans="11:23" x14ac:dyDescent="0.25">
      <c r="K251" s="163"/>
      <c r="L251" s="163"/>
      <c r="M251" s="164"/>
      <c r="N251" s="164"/>
      <c r="O251" s="164"/>
      <c r="P251" s="164"/>
      <c r="Q251" s="164"/>
      <c r="R251" s="164"/>
      <c r="S251" s="164"/>
      <c r="T251" s="164"/>
      <c r="U251" s="164"/>
      <c r="V251" s="164"/>
      <c r="W251" s="164"/>
    </row>
    <row r="252" spans="11:23" x14ac:dyDescent="0.25">
      <c r="K252" s="163"/>
      <c r="L252" s="163"/>
      <c r="M252" s="164"/>
      <c r="N252" s="164"/>
      <c r="O252" s="164"/>
      <c r="P252" s="164"/>
      <c r="Q252" s="164"/>
      <c r="R252" s="164"/>
      <c r="S252" s="164"/>
      <c r="T252" s="164"/>
      <c r="U252" s="164"/>
      <c r="V252" s="164"/>
      <c r="W252" s="164"/>
    </row>
    <row r="253" spans="11:23" x14ac:dyDescent="0.25">
      <c r="K253" s="163"/>
      <c r="L253" s="163"/>
      <c r="M253" s="164"/>
      <c r="N253" s="164"/>
      <c r="O253" s="164"/>
      <c r="P253" s="164"/>
      <c r="Q253" s="164"/>
      <c r="R253" s="164"/>
      <c r="S253" s="164"/>
      <c r="T253" s="164"/>
      <c r="U253" s="164"/>
      <c r="V253" s="164"/>
      <c r="W253" s="164"/>
    </row>
    <row r="254" spans="11:23" x14ac:dyDescent="0.25">
      <c r="K254" s="163"/>
      <c r="L254" s="163"/>
      <c r="M254" s="164"/>
      <c r="N254" s="164"/>
      <c r="O254" s="164"/>
      <c r="P254" s="164"/>
      <c r="Q254" s="164"/>
      <c r="R254" s="164"/>
      <c r="S254" s="164"/>
      <c r="T254" s="164"/>
      <c r="U254" s="164"/>
      <c r="V254" s="164"/>
      <c r="W254" s="164"/>
    </row>
    <row r="255" spans="11:23" x14ac:dyDescent="0.25">
      <c r="K255" s="163"/>
      <c r="L255" s="163"/>
      <c r="M255" s="164"/>
      <c r="N255" s="164"/>
      <c r="O255" s="164"/>
      <c r="P255" s="164"/>
      <c r="Q255" s="164"/>
      <c r="R255" s="164"/>
      <c r="S255" s="164"/>
      <c r="T255" s="164"/>
      <c r="U255" s="164"/>
      <c r="V255" s="164"/>
      <c r="W255" s="164"/>
    </row>
    <row r="256" spans="11:23" x14ac:dyDescent="0.25">
      <c r="K256" s="163"/>
      <c r="L256" s="163"/>
      <c r="M256" s="164"/>
      <c r="N256" s="164"/>
      <c r="O256" s="164"/>
      <c r="P256" s="164"/>
      <c r="Q256" s="164"/>
      <c r="R256" s="164"/>
      <c r="S256" s="164"/>
      <c r="T256" s="164"/>
      <c r="U256" s="164"/>
      <c r="V256" s="164"/>
      <c r="W256" s="164"/>
    </row>
    <row r="257" spans="11:23" x14ac:dyDescent="0.25">
      <c r="K257" s="163"/>
      <c r="L257" s="163"/>
      <c r="M257" s="164"/>
      <c r="N257" s="164"/>
      <c r="O257" s="164"/>
      <c r="P257" s="164"/>
      <c r="Q257" s="164"/>
      <c r="R257" s="164"/>
      <c r="S257" s="164"/>
      <c r="T257" s="164"/>
      <c r="U257" s="164"/>
      <c r="V257" s="164"/>
      <c r="W257" s="164"/>
    </row>
    <row r="258" spans="11:23" x14ac:dyDescent="0.25">
      <c r="K258" s="163"/>
      <c r="L258" s="163"/>
      <c r="M258" s="164"/>
      <c r="N258" s="164"/>
      <c r="O258" s="164"/>
      <c r="P258" s="164"/>
      <c r="Q258" s="164"/>
      <c r="R258" s="164"/>
      <c r="S258" s="164"/>
      <c r="T258" s="164"/>
      <c r="U258" s="164"/>
      <c r="V258" s="164"/>
      <c r="W258" s="164"/>
    </row>
    <row r="259" spans="11:23" x14ac:dyDescent="0.25">
      <c r="K259" s="163"/>
      <c r="L259" s="163"/>
      <c r="M259" s="164"/>
      <c r="N259" s="164"/>
      <c r="O259" s="164"/>
      <c r="P259" s="164"/>
      <c r="Q259" s="164"/>
      <c r="R259" s="164"/>
      <c r="S259" s="164"/>
      <c r="T259" s="164"/>
      <c r="U259" s="164"/>
      <c r="V259" s="164"/>
      <c r="W259" s="164"/>
    </row>
    <row r="260" spans="11:23" x14ac:dyDescent="0.25">
      <c r="K260" s="163"/>
      <c r="L260" s="163"/>
      <c r="M260" s="164"/>
      <c r="N260" s="164"/>
      <c r="O260" s="164"/>
      <c r="P260" s="164"/>
      <c r="Q260" s="164"/>
      <c r="R260" s="164"/>
      <c r="S260" s="164"/>
      <c r="T260" s="164"/>
      <c r="U260" s="164"/>
      <c r="V260" s="164"/>
      <c r="W260" s="164"/>
    </row>
    <row r="261" spans="11:23" x14ac:dyDescent="0.25">
      <c r="K261" s="163"/>
      <c r="L261" s="163"/>
      <c r="M261" s="164"/>
      <c r="N261" s="164"/>
      <c r="O261" s="164"/>
      <c r="P261" s="164"/>
      <c r="Q261" s="164"/>
      <c r="R261" s="164"/>
      <c r="S261" s="164"/>
      <c r="T261" s="164"/>
      <c r="U261" s="164"/>
      <c r="V261" s="164"/>
      <c r="W261" s="164"/>
    </row>
    <row r="262" spans="11:23" x14ac:dyDescent="0.25">
      <c r="K262" s="163"/>
      <c r="L262" s="163"/>
      <c r="M262" s="164"/>
      <c r="N262" s="164"/>
      <c r="O262" s="164"/>
      <c r="P262" s="164"/>
      <c r="Q262" s="164"/>
      <c r="R262" s="164"/>
      <c r="S262" s="164"/>
      <c r="T262" s="164"/>
      <c r="U262" s="164"/>
      <c r="V262" s="164"/>
      <c r="W262" s="164"/>
    </row>
    <row r="263" spans="11:23" x14ac:dyDescent="0.25">
      <c r="K263" s="163"/>
      <c r="L263" s="163"/>
      <c r="M263" s="164"/>
      <c r="N263" s="164"/>
      <c r="O263" s="164"/>
      <c r="P263" s="164"/>
      <c r="Q263" s="164"/>
      <c r="R263" s="164"/>
      <c r="S263" s="164"/>
      <c r="T263" s="164"/>
      <c r="U263" s="164"/>
      <c r="V263" s="164"/>
      <c r="W263" s="164"/>
    </row>
    <row r="264" spans="11:23" x14ac:dyDescent="0.25">
      <c r="K264" s="163"/>
      <c r="L264" s="163"/>
      <c r="M264" s="164"/>
      <c r="N264" s="164"/>
      <c r="O264" s="164"/>
      <c r="P264" s="164"/>
      <c r="Q264" s="164"/>
      <c r="R264" s="164"/>
      <c r="S264" s="164"/>
      <c r="T264" s="164"/>
      <c r="U264" s="164"/>
      <c r="V264" s="164"/>
      <c r="W264" s="164"/>
    </row>
    <row r="265" spans="11:23" x14ac:dyDescent="0.25">
      <c r="K265" s="163"/>
      <c r="L265" s="163"/>
      <c r="M265" s="164"/>
      <c r="N265" s="164"/>
      <c r="O265" s="164"/>
      <c r="P265" s="164"/>
      <c r="Q265" s="164"/>
      <c r="R265" s="164"/>
      <c r="S265" s="164"/>
      <c r="T265" s="164"/>
      <c r="U265" s="164"/>
      <c r="V265" s="164"/>
      <c r="W265" s="164"/>
    </row>
    <row r="266" spans="11:23" x14ac:dyDescent="0.25">
      <c r="K266" s="163"/>
      <c r="L266" s="163"/>
      <c r="M266" s="164"/>
      <c r="N266" s="164"/>
      <c r="O266" s="164"/>
      <c r="P266" s="164"/>
      <c r="Q266" s="164"/>
      <c r="R266" s="164"/>
      <c r="S266" s="164"/>
      <c r="T266" s="164"/>
      <c r="U266" s="164"/>
      <c r="V266" s="164"/>
      <c r="W266" s="164"/>
    </row>
    <row r="267" spans="11:23" x14ac:dyDescent="0.25">
      <c r="K267" s="163"/>
      <c r="L267" s="163"/>
      <c r="M267" s="164"/>
      <c r="N267" s="164"/>
      <c r="O267" s="164"/>
      <c r="P267" s="164"/>
      <c r="Q267" s="164"/>
      <c r="R267" s="164"/>
      <c r="S267" s="164"/>
      <c r="T267" s="164"/>
      <c r="U267" s="164"/>
      <c r="V267" s="164"/>
      <c r="W267" s="164"/>
    </row>
    <row r="268" spans="11:23" x14ac:dyDescent="0.25">
      <c r="K268" s="163"/>
      <c r="L268" s="163"/>
      <c r="M268" s="164"/>
      <c r="N268" s="164"/>
      <c r="O268" s="164"/>
      <c r="P268" s="164"/>
      <c r="Q268" s="164"/>
      <c r="R268" s="164"/>
      <c r="S268" s="164"/>
      <c r="T268" s="164"/>
      <c r="U268" s="164"/>
      <c r="V268" s="164"/>
      <c r="W268" s="164"/>
    </row>
    <row r="269" spans="11:23" x14ac:dyDescent="0.25">
      <c r="K269" s="163"/>
      <c r="L269" s="163"/>
      <c r="M269" s="164"/>
      <c r="N269" s="164"/>
      <c r="O269" s="164"/>
      <c r="P269" s="164"/>
      <c r="Q269" s="164"/>
      <c r="R269" s="164"/>
      <c r="S269" s="164"/>
      <c r="T269" s="164"/>
      <c r="U269" s="164"/>
      <c r="V269" s="164"/>
      <c r="W269" s="164"/>
    </row>
    <row r="270" spans="11:23" x14ac:dyDescent="0.25">
      <c r="K270" s="163"/>
      <c r="L270" s="163"/>
      <c r="M270" s="164"/>
      <c r="N270" s="164"/>
      <c r="O270" s="164"/>
      <c r="P270" s="164"/>
      <c r="Q270" s="164"/>
      <c r="R270" s="164"/>
      <c r="S270" s="164"/>
      <c r="T270" s="164"/>
      <c r="U270" s="164"/>
      <c r="V270" s="164"/>
      <c r="W270" s="164"/>
    </row>
    <row r="271" spans="11:23" x14ac:dyDescent="0.25">
      <c r="K271" s="163"/>
      <c r="L271" s="163"/>
      <c r="M271" s="164"/>
      <c r="N271" s="164"/>
      <c r="O271" s="164"/>
      <c r="P271" s="164"/>
      <c r="Q271" s="164"/>
      <c r="R271" s="164"/>
      <c r="S271" s="164"/>
      <c r="T271" s="164"/>
      <c r="U271" s="164"/>
      <c r="V271" s="164"/>
      <c r="W271" s="164"/>
    </row>
    <row r="272" spans="11:23" x14ac:dyDescent="0.25">
      <c r="K272" s="163"/>
      <c r="L272" s="163"/>
      <c r="M272" s="164"/>
      <c r="N272" s="164"/>
      <c r="O272" s="164"/>
      <c r="P272" s="164"/>
      <c r="Q272" s="164"/>
      <c r="R272" s="164"/>
      <c r="S272" s="164"/>
      <c r="T272" s="164"/>
      <c r="U272" s="164"/>
      <c r="V272" s="164"/>
      <c r="W272" s="164"/>
    </row>
    <row r="273" spans="11:23" x14ac:dyDescent="0.25">
      <c r="K273" s="163"/>
      <c r="L273" s="163"/>
      <c r="M273" s="164"/>
      <c r="N273" s="164"/>
      <c r="O273" s="164"/>
      <c r="P273" s="164"/>
      <c r="Q273" s="164"/>
      <c r="R273" s="164"/>
      <c r="S273" s="164"/>
      <c r="T273" s="164"/>
      <c r="U273" s="164"/>
      <c r="V273" s="164"/>
      <c r="W273" s="164"/>
    </row>
    <row r="274" spans="11:23" x14ac:dyDescent="0.25">
      <c r="K274" s="163"/>
      <c r="L274" s="163"/>
      <c r="M274" s="164"/>
      <c r="N274" s="164"/>
      <c r="O274" s="164"/>
      <c r="P274" s="164"/>
      <c r="Q274" s="164"/>
      <c r="R274" s="164"/>
      <c r="S274" s="164"/>
      <c r="T274" s="164"/>
      <c r="U274" s="164"/>
      <c r="V274" s="164"/>
      <c r="W274" s="164"/>
    </row>
    <row r="275" spans="11:23" x14ac:dyDescent="0.25">
      <c r="K275" s="163"/>
      <c r="L275" s="163"/>
      <c r="M275" s="164"/>
      <c r="N275" s="164"/>
      <c r="O275" s="164"/>
      <c r="P275" s="164"/>
      <c r="Q275" s="164"/>
      <c r="R275" s="164"/>
      <c r="S275" s="164"/>
      <c r="T275" s="164"/>
      <c r="U275" s="164"/>
      <c r="V275" s="164"/>
      <c r="W275" s="164"/>
    </row>
    <row r="276" spans="11:23" x14ac:dyDescent="0.25">
      <c r="K276" s="163"/>
      <c r="L276" s="163"/>
      <c r="M276" s="164"/>
      <c r="N276" s="164"/>
      <c r="O276" s="164"/>
      <c r="P276" s="164"/>
      <c r="Q276" s="164"/>
      <c r="R276" s="164"/>
      <c r="S276" s="164"/>
      <c r="T276" s="164"/>
      <c r="U276" s="164"/>
      <c r="V276" s="164"/>
      <c r="W276" s="164"/>
    </row>
    <row r="277" spans="11:23" x14ac:dyDescent="0.25">
      <c r="K277" s="163"/>
      <c r="L277" s="163"/>
      <c r="M277" s="164"/>
      <c r="N277" s="164"/>
      <c r="O277" s="164"/>
      <c r="P277" s="164"/>
      <c r="Q277" s="164"/>
      <c r="R277" s="164"/>
      <c r="S277" s="164"/>
      <c r="T277" s="164"/>
      <c r="U277" s="164"/>
      <c r="V277" s="164"/>
      <c r="W277" s="164"/>
    </row>
    <row r="278" spans="11:23" x14ac:dyDescent="0.25">
      <c r="K278" s="163"/>
      <c r="L278" s="163"/>
      <c r="M278" s="164"/>
      <c r="N278" s="164"/>
      <c r="O278" s="164"/>
      <c r="P278" s="164"/>
      <c r="Q278" s="164"/>
      <c r="R278" s="164"/>
      <c r="S278" s="164"/>
      <c r="T278" s="164"/>
      <c r="U278" s="164"/>
      <c r="V278" s="164"/>
      <c r="W278" s="164"/>
    </row>
    <row r="279" spans="11:23" x14ac:dyDescent="0.25">
      <c r="K279" s="163"/>
      <c r="L279" s="163"/>
      <c r="M279" s="164"/>
      <c r="N279" s="164"/>
      <c r="O279" s="164"/>
      <c r="P279" s="164"/>
      <c r="Q279" s="164"/>
      <c r="R279" s="164"/>
      <c r="S279" s="164"/>
      <c r="T279" s="164"/>
      <c r="U279" s="164"/>
      <c r="V279" s="164"/>
      <c r="W279" s="164"/>
    </row>
    <row r="280" spans="11:23" x14ac:dyDescent="0.25">
      <c r="K280" s="163"/>
      <c r="L280" s="163"/>
      <c r="M280" s="164"/>
      <c r="N280" s="164"/>
      <c r="O280" s="164"/>
      <c r="P280" s="164"/>
      <c r="Q280" s="164"/>
      <c r="R280" s="164"/>
      <c r="S280" s="164"/>
      <c r="T280" s="164"/>
      <c r="U280" s="164"/>
      <c r="V280" s="164"/>
      <c r="W280" s="164"/>
    </row>
    <row r="281" spans="11:23" x14ac:dyDescent="0.25">
      <c r="K281" s="163"/>
      <c r="L281" s="163"/>
      <c r="M281" s="164"/>
      <c r="N281" s="164"/>
      <c r="O281" s="164"/>
      <c r="P281" s="164"/>
      <c r="Q281" s="164"/>
      <c r="R281" s="164"/>
      <c r="S281" s="164"/>
      <c r="T281" s="164"/>
      <c r="U281" s="164"/>
      <c r="V281" s="164"/>
      <c r="W281" s="164"/>
    </row>
    <row r="282" spans="11:23" x14ac:dyDescent="0.25">
      <c r="K282" s="163"/>
      <c r="L282" s="163"/>
      <c r="M282" s="164"/>
      <c r="N282" s="164"/>
      <c r="O282" s="164"/>
      <c r="P282" s="164"/>
      <c r="Q282" s="164"/>
      <c r="R282" s="164"/>
      <c r="S282" s="164"/>
      <c r="T282" s="164"/>
      <c r="U282" s="164"/>
      <c r="V282" s="164"/>
      <c r="W282" s="164"/>
    </row>
    <row r="283" spans="11:23" x14ac:dyDescent="0.25">
      <c r="K283" s="163"/>
      <c r="L283" s="163"/>
      <c r="M283" s="164"/>
      <c r="N283" s="164"/>
      <c r="O283" s="164"/>
      <c r="P283" s="164"/>
      <c r="Q283" s="164"/>
      <c r="R283" s="164"/>
      <c r="S283" s="164"/>
      <c r="T283" s="164"/>
      <c r="U283" s="164"/>
      <c r="V283" s="164"/>
      <c r="W283" s="164"/>
    </row>
    <row r="284" spans="11:23" x14ac:dyDescent="0.25">
      <c r="K284" s="163"/>
      <c r="L284" s="163"/>
      <c r="M284" s="164"/>
      <c r="N284" s="164"/>
      <c r="O284" s="164"/>
      <c r="P284" s="164"/>
      <c r="Q284" s="164"/>
      <c r="R284" s="164"/>
      <c r="S284" s="164"/>
      <c r="T284" s="164"/>
      <c r="U284" s="164"/>
      <c r="V284" s="164"/>
      <c r="W284" s="164"/>
    </row>
    <row r="285" spans="11:23" x14ac:dyDescent="0.25">
      <c r="K285" s="163"/>
      <c r="L285" s="163"/>
      <c r="M285" s="164"/>
      <c r="N285" s="164"/>
      <c r="O285" s="164"/>
      <c r="P285" s="164"/>
      <c r="Q285" s="164"/>
      <c r="R285" s="164"/>
      <c r="S285" s="164"/>
      <c r="T285" s="164"/>
      <c r="U285" s="164"/>
      <c r="V285" s="164"/>
      <c r="W285" s="164"/>
    </row>
    <row r="286" spans="11:23" x14ac:dyDescent="0.25">
      <c r="K286" s="163"/>
      <c r="L286" s="163"/>
      <c r="M286" s="164"/>
      <c r="N286" s="164"/>
      <c r="O286" s="164"/>
      <c r="P286" s="164"/>
      <c r="Q286" s="164"/>
      <c r="R286" s="164"/>
      <c r="S286" s="164"/>
      <c r="T286" s="164"/>
      <c r="U286" s="164"/>
      <c r="V286" s="164"/>
      <c r="W286" s="164"/>
    </row>
    <row r="287" spans="11:23" x14ac:dyDescent="0.25">
      <c r="K287" s="163"/>
      <c r="L287" s="163"/>
      <c r="M287" s="164"/>
      <c r="N287" s="164"/>
      <c r="O287" s="164"/>
      <c r="P287" s="164"/>
      <c r="Q287" s="164"/>
      <c r="R287" s="164"/>
      <c r="S287" s="164"/>
      <c r="T287" s="164"/>
      <c r="U287" s="164"/>
      <c r="V287" s="164"/>
      <c r="W287" s="164"/>
    </row>
    <row r="288" spans="11:23" x14ac:dyDescent="0.25">
      <c r="K288" s="163"/>
      <c r="L288" s="163"/>
      <c r="M288" s="164"/>
      <c r="N288" s="164"/>
      <c r="O288" s="164"/>
      <c r="P288" s="164"/>
      <c r="Q288" s="164"/>
      <c r="R288" s="164"/>
      <c r="S288" s="164"/>
      <c r="T288" s="164"/>
      <c r="U288" s="164"/>
      <c r="V288" s="164"/>
      <c r="W288" s="164"/>
    </row>
    <row r="289" spans="11:23" x14ac:dyDescent="0.25">
      <c r="K289" s="163"/>
      <c r="L289" s="163"/>
      <c r="M289" s="164"/>
      <c r="N289" s="164"/>
      <c r="O289" s="164"/>
      <c r="P289" s="164"/>
      <c r="Q289" s="164"/>
      <c r="R289" s="164"/>
      <c r="S289" s="164"/>
      <c r="T289" s="164"/>
      <c r="U289" s="164"/>
      <c r="V289" s="164"/>
      <c r="W289" s="164"/>
    </row>
    <row r="290" spans="11:23" x14ac:dyDescent="0.25">
      <c r="K290" s="163"/>
      <c r="L290" s="163"/>
      <c r="M290" s="164"/>
      <c r="N290" s="164"/>
      <c r="O290" s="164"/>
      <c r="P290" s="164"/>
      <c r="Q290" s="164"/>
      <c r="R290" s="164"/>
      <c r="S290" s="164"/>
      <c r="T290" s="164"/>
      <c r="U290" s="164"/>
      <c r="V290" s="164"/>
      <c r="W290" s="164"/>
    </row>
    <row r="291" spans="11:23" x14ac:dyDescent="0.25">
      <c r="K291" s="163"/>
      <c r="L291" s="163"/>
      <c r="M291" s="164"/>
      <c r="N291" s="164"/>
      <c r="O291" s="164"/>
      <c r="P291" s="164"/>
      <c r="Q291" s="164"/>
      <c r="R291" s="164"/>
      <c r="S291" s="164"/>
      <c r="T291" s="164"/>
      <c r="U291" s="164"/>
      <c r="V291" s="164"/>
      <c r="W291" s="164"/>
    </row>
    <row r="292" spans="11:23" x14ac:dyDescent="0.25">
      <c r="K292" s="163"/>
      <c r="L292" s="163"/>
      <c r="M292" s="164"/>
      <c r="N292" s="164"/>
      <c r="O292" s="164"/>
      <c r="P292" s="164"/>
      <c r="Q292" s="164"/>
      <c r="R292" s="164"/>
      <c r="S292" s="164"/>
      <c r="T292" s="164"/>
      <c r="U292" s="164"/>
      <c r="V292" s="164"/>
      <c r="W292" s="164"/>
    </row>
    <row r="293" spans="11:23" x14ac:dyDescent="0.25">
      <c r="K293" s="163"/>
      <c r="L293" s="163"/>
      <c r="M293" s="164"/>
      <c r="N293" s="164"/>
      <c r="O293" s="164"/>
      <c r="P293" s="164"/>
      <c r="Q293" s="164"/>
      <c r="R293" s="164"/>
      <c r="S293" s="164"/>
      <c r="T293" s="164"/>
      <c r="U293" s="164"/>
      <c r="V293" s="164"/>
      <c r="W293" s="164"/>
    </row>
    <row r="294" spans="11:23" x14ac:dyDescent="0.25">
      <c r="K294" s="163"/>
      <c r="L294" s="163"/>
      <c r="M294" s="164"/>
      <c r="N294" s="164"/>
      <c r="O294" s="164"/>
      <c r="P294" s="164"/>
      <c r="Q294" s="164"/>
      <c r="R294" s="164"/>
      <c r="S294" s="164"/>
      <c r="T294" s="164"/>
      <c r="U294" s="164"/>
      <c r="V294" s="164"/>
      <c r="W294" s="164"/>
    </row>
    <row r="295" spans="11:23" x14ac:dyDescent="0.25">
      <c r="K295" s="163"/>
      <c r="L295" s="163"/>
      <c r="M295" s="164"/>
      <c r="N295" s="164"/>
      <c r="O295" s="164"/>
      <c r="P295" s="164"/>
      <c r="Q295" s="164"/>
      <c r="R295" s="164"/>
      <c r="S295" s="164"/>
      <c r="T295" s="164"/>
      <c r="U295" s="164"/>
      <c r="V295" s="164"/>
      <c r="W295" s="164"/>
    </row>
    <row r="296" spans="11:23" x14ac:dyDescent="0.25">
      <c r="K296" s="163"/>
      <c r="L296" s="163"/>
      <c r="M296" s="164"/>
      <c r="N296" s="164"/>
      <c r="O296" s="164"/>
      <c r="P296" s="164"/>
      <c r="Q296" s="164"/>
      <c r="R296" s="164"/>
      <c r="S296" s="164"/>
      <c r="T296" s="164"/>
      <c r="U296" s="164"/>
      <c r="V296" s="164"/>
      <c r="W296" s="164"/>
    </row>
    <row r="297" spans="11:23" x14ac:dyDescent="0.25">
      <c r="K297" s="163"/>
      <c r="L297" s="163"/>
      <c r="M297" s="164"/>
      <c r="N297" s="164"/>
      <c r="O297" s="164"/>
      <c r="P297" s="164"/>
      <c r="Q297" s="164"/>
      <c r="R297" s="164"/>
      <c r="S297" s="164"/>
      <c r="T297" s="164"/>
      <c r="U297" s="164"/>
      <c r="V297" s="164"/>
      <c r="W297" s="164"/>
    </row>
    <row r="298" spans="11:23" x14ac:dyDescent="0.25">
      <c r="K298" s="163"/>
      <c r="L298" s="163"/>
      <c r="M298" s="164"/>
      <c r="N298" s="164"/>
      <c r="O298" s="164"/>
      <c r="P298" s="164"/>
      <c r="Q298" s="164"/>
      <c r="R298" s="164"/>
      <c r="S298" s="164"/>
      <c r="T298" s="164"/>
      <c r="U298" s="164"/>
      <c r="V298" s="164"/>
      <c r="W298" s="164"/>
    </row>
    <row r="299" spans="11:23" x14ac:dyDescent="0.25">
      <c r="K299" s="163"/>
      <c r="L299" s="163"/>
      <c r="M299" s="164"/>
      <c r="N299" s="164"/>
      <c r="O299" s="164"/>
      <c r="P299" s="164"/>
      <c r="Q299" s="164"/>
      <c r="R299" s="164"/>
      <c r="S299" s="164"/>
      <c r="T299" s="164"/>
      <c r="U299" s="164"/>
      <c r="V299" s="164"/>
      <c r="W299" s="164"/>
    </row>
    <row r="300" spans="11:23" x14ac:dyDescent="0.25">
      <c r="K300" s="163"/>
      <c r="L300" s="163"/>
      <c r="M300" s="164"/>
      <c r="N300" s="164"/>
      <c r="O300" s="164"/>
      <c r="P300" s="164"/>
      <c r="Q300" s="164"/>
      <c r="R300" s="164"/>
      <c r="S300" s="164"/>
      <c r="T300" s="164"/>
      <c r="U300" s="164"/>
      <c r="V300" s="164"/>
      <c r="W300" s="164"/>
    </row>
    <row r="301" spans="11:23" x14ac:dyDescent="0.25">
      <c r="K301" s="1"/>
      <c r="L301" s="1"/>
      <c r="M301" s="1"/>
      <c r="N301" s="1"/>
      <c r="O301" s="1"/>
      <c r="P301" s="1"/>
      <c r="Q301" s="1"/>
      <c r="R301" s="1"/>
      <c r="S301" s="1"/>
      <c r="T301" s="1"/>
      <c r="U301" s="1"/>
      <c r="V301" s="1"/>
      <c r="W301" s="1"/>
    </row>
    <row r="302" spans="11:23" x14ac:dyDescent="0.25">
      <c r="K302" s="2" t="s">
        <v>865</v>
      </c>
      <c r="L302" s="2" t="s">
        <v>1408</v>
      </c>
      <c r="M302" t="s">
        <v>0</v>
      </c>
      <c r="N302" t="s">
        <v>1491</v>
      </c>
      <c r="O302" t="s">
        <v>1492</v>
      </c>
      <c r="P302" t="s">
        <v>1493</v>
      </c>
      <c r="Q302" t="s">
        <v>1480</v>
      </c>
      <c r="R302" t="s">
        <v>1482</v>
      </c>
      <c r="S302" t="s">
        <v>1481</v>
      </c>
      <c r="T302" t="s">
        <v>1483</v>
      </c>
      <c r="U302" t="s">
        <v>1484</v>
      </c>
      <c r="V302" t="s">
        <v>1485</v>
      </c>
      <c r="W302" t="s">
        <v>1486</v>
      </c>
    </row>
    <row r="303" spans="11:23" x14ac:dyDescent="0.25">
      <c r="K303" s="2">
        <f>1+MAX(K1:K300)</f>
        <v>1</v>
      </c>
      <c r="L303" s="2" t="str">
        <f>D12</f>
        <v>Undecided</v>
      </c>
      <c r="M303" t="str">
        <f>IF(D15=0,"WildCard",D15)</f>
        <v>WildCard</v>
      </c>
      <c r="N303" s="2" t="str">
        <f>IF(M303="WildCard","",IF(D30=D15,H23,""))</f>
        <v/>
      </c>
      <c r="O303" s="2" t="str">
        <f ca="1">H15</f>
        <v/>
      </c>
      <c r="P303" s="2" t="str">
        <f>IF(M303="WildCard","",IF(D30=D15,H24,""))</f>
        <v/>
      </c>
      <c r="Q303" s="2" t="str">
        <f ca="1">H16</f>
        <v/>
      </c>
      <c r="R303" s="2" t="str">
        <f ca="1">H17</f>
        <v/>
      </c>
      <c r="S303" s="2" t="str">
        <f ca="1">H18</f>
        <v/>
      </c>
      <c r="T303" s="2" t="str">
        <f ca="1">H19</f>
        <v/>
      </c>
      <c r="U303" s="2" t="str">
        <f ca="1">H20</f>
        <v/>
      </c>
      <c r="V303" s="2" t="str">
        <f ca="1">H21</f>
        <v/>
      </c>
      <c r="W303" s="2" t="str">
        <f ca="1">H22</f>
        <v/>
      </c>
    </row>
    <row r="304" spans="11:23" x14ac:dyDescent="0.25">
      <c r="N304" s="2"/>
      <c r="O304" s="2"/>
      <c r="P304" s="2"/>
    </row>
    <row r="306" spans="13:23" x14ac:dyDescent="0.25">
      <c r="M306" s="2"/>
      <c r="N306" s="2"/>
      <c r="O306" s="2"/>
      <c r="P306" s="2"/>
      <c r="Q306" s="2"/>
      <c r="R306" s="2"/>
      <c r="S306" s="2"/>
      <c r="T306" s="2"/>
      <c r="U306" s="2"/>
      <c r="V306" s="2"/>
      <c r="W306" s="2"/>
    </row>
  </sheetData>
  <sheetProtection sheet="1" objects="1" scenarios="1"/>
  <sortState ref="K1:W300">
    <sortCondition ref="K30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J3002"/>
  <sheetViews>
    <sheetView workbookViewId="0">
      <pane xSplit="5" ySplit="46" topLeftCell="F2992" activePane="bottomRight" state="frozen"/>
      <selection pane="topRight" activeCell="F1" sqref="F1"/>
      <selection pane="bottomLeft" activeCell="A47" sqref="A47"/>
      <selection pane="bottomRight"/>
    </sheetView>
  </sheetViews>
  <sheetFormatPr defaultRowHeight="15" x14ac:dyDescent="0.25"/>
  <cols>
    <col min="1" max="1" width="9.140625" style="14"/>
    <col min="2" max="5" width="3.85546875" style="14" customWidth="1"/>
    <col min="6" max="6" width="6.28515625" style="132" bestFit="1" customWidth="1"/>
    <col min="7" max="7" width="6.28515625" style="134" customWidth="1"/>
    <col min="8" max="8" width="9.42578125" style="14" customWidth="1"/>
    <col min="9" max="10" width="9.42578125" style="15" customWidth="1"/>
    <col min="11" max="11" width="27.28515625" style="14" customWidth="1"/>
    <col min="12" max="17" width="9.42578125" style="14" customWidth="1"/>
    <col min="18" max="18" width="25" style="14" customWidth="1"/>
    <col min="19" max="20" width="8.140625" style="14" customWidth="1"/>
    <col min="21" max="21" width="14.7109375" style="14" bestFit="1" customWidth="1"/>
    <col min="22" max="35" width="8.140625" style="14" customWidth="1"/>
    <col min="36" max="36" width="9.140625" style="130"/>
    <col min="37" max="16384" width="9.140625" style="14"/>
  </cols>
  <sheetData>
    <row r="1" spans="1:35" x14ac:dyDescent="0.25">
      <c r="A1" s="176" t="s">
        <v>1066</v>
      </c>
      <c r="G1" s="158" t="str">
        <f>G3000</f>
        <v>#</v>
      </c>
      <c r="H1" s="158" t="str">
        <f t="shared" ref="H1:AI1" si="0">H3000</f>
        <v>Type</v>
      </c>
      <c r="I1" s="158" t="str">
        <f t="shared" si="0"/>
        <v>Start Time</v>
      </c>
      <c r="J1" s="158" t="str">
        <f t="shared" si="0"/>
        <v>End Time</v>
      </c>
      <c r="K1" s="158" t="str">
        <f t="shared" si="0"/>
        <v>Comment</v>
      </c>
      <c r="L1" s="158" t="str">
        <f t="shared" si="0"/>
        <v>Attacking From</v>
      </c>
      <c r="M1" s="158" t="str">
        <f t="shared" si="0"/>
        <v>Defending</v>
      </c>
      <c r="N1" s="158" t="str">
        <f t="shared" si="0"/>
        <v>Attacking Team</v>
      </c>
      <c r="O1" s="158" t="str">
        <f t="shared" si="0"/>
        <v>Defending Team</v>
      </c>
      <c r="P1" s="158">
        <f t="shared" si="0"/>
        <v>0</v>
      </c>
      <c r="Q1" s="158">
        <f t="shared" si="0"/>
        <v>0</v>
      </c>
      <c r="R1" s="158" t="str">
        <f t="shared" si="0"/>
        <v>Penalty</v>
      </c>
      <c r="S1" s="158" t="str">
        <f t="shared" si="0"/>
        <v>Conspiracy</v>
      </c>
      <c r="T1" s="158" t="str">
        <f t="shared" si="0"/>
        <v>Hero</v>
      </c>
      <c r="U1" s="158" t="str">
        <f t="shared" si="0"/>
        <v>Vanguard Prize</v>
      </c>
      <c r="V1" s="158" t="str">
        <f t="shared" si="0"/>
        <v>Attacker1</v>
      </c>
      <c r="W1" s="158" t="str">
        <f t="shared" si="0"/>
        <v>Attacker2</v>
      </c>
      <c r="X1" s="158" t="str">
        <f t="shared" si="0"/>
        <v>Defender1</v>
      </c>
      <c r="Y1" s="158" t="str">
        <f t="shared" si="0"/>
        <v>Defender2</v>
      </c>
      <c r="Z1" s="158" t="str">
        <f t="shared" si="0"/>
        <v>Winner1</v>
      </c>
      <c r="AA1" s="158" t="str">
        <f t="shared" si="0"/>
        <v>Winner2</v>
      </c>
      <c r="AB1" s="158" t="str">
        <f t="shared" si="0"/>
        <v>Loser1</v>
      </c>
      <c r="AC1" s="158" t="str">
        <f t="shared" si="0"/>
        <v>Loser2</v>
      </c>
      <c r="AD1" s="158" t="str">
        <f t="shared" si="0"/>
        <v>Risk Card</v>
      </c>
      <c r="AE1" s="158" t="str">
        <f t="shared" si="0"/>
        <v>Defense Plane</v>
      </c>
      <c r="AF1" s="158" t="str">
        <f t="shared" si="0"/>
        <v>Winning Player</v>
      </c>
      <c r="AG1" s="158" t="str">
        <f t="shared" si="0"/>
        <v>Losing Player</v>
      </c>
      <c r="AH1" s="158" t="str">
        <f t="shared" si="0"/>
        <v>Defended Attack</v>
      </c>
      <c r="AI1" s="158" t="str">
        <f t="shared" si="0"/>
        <v>Game Time</v>
      </c>
    </row>
    <row r="2" spans="1:35" x14ac:dyDescent="0.25">
      <c r="F2" s="132">
        <v>1</v>
      </c>
      <c r="G2" s="165"/>
      <c r="H2" s="166"/>
      <c r="I2" s="167"/>
      <c r="J2" s="167"/>
      <c r="K2" s="166"/>
      <c r="L2" s="166"/>
      <c r="M2" s="166"/>
      <c r="N2" s="166"/>
      <c r="O2" s="166"/>
      <c r="P2" s="166"/>
      <c r="Q2" s="166"/>
      <c r="R2" s="166"/>
      <c r="S2" s="166"/>
      <c r="T2" s="166"/>
      <c r="U2" s="166"/>
      <c r="V2" s="166"/>
      <c r="W2" s="166"/>
      <c r="X2" s="166"/>
      <c r="Y2" s="166"/>
      <c r="Z2" s="166"/>
      <c r="AA2" s="166"/>
      <c r="AB2" s="166"/>
      <c r="AC2" s="166"/>
      <c r="AD2" s="166"/>
      <c r="AE2" s="166"/>
      <c r="AF2" s="166"/>
      <c r="AG2" s="166"/>
      <c r="AH2" s="166"/>
      <c r="AI2" s="166"/>
    </row>
    <row r="3" spans="1:35" x14ac:dyDescent="0.25">
      <c r="F3" s="132">
        <v>2</v>
      </c>
      <c r="G3" s="165"/>
      <c r="H3" s="166"/>
      <c r="I3" s="167"/>
      <c r="J3" s="167"/>
      <c r="K3" s="166"/>
      <c r="L3" s="166"/>
      <c r="M3" s="166"/>
      <c r="N3" s="166"/>
      <c r="O3" s="166"/>
      <c r="P3" s="166"/>
      <c r="Q3" s="166"/>
      <c r="R3" s="166"/>
      <c r="S3" s="166"/>
      <c r="T3" s="166"/>
      <c r="U3" s="166"/>
      <c r="V3" s="166"/>
      <c r="W3" s="166"/>
      <c r="X3" s="166"/>
      <c r="Y3" s="166"/>
      <c r="Z3" s="166"/>
      <c r="AA3" s="166"/>
      <c r="AB3" s="166"/>
      <c r="AC3" s="166"/>
      <c r="AD3" s="166"/>
      <c r="AE3" s="166"/>
      <c r="AF3" s="166"/>
      <c r="AG3" s="166"/>
      <c r="AH3" s="166"/>
      <c r="AI3" s="166"/>
    </row>
    <row r="4" spans="1:35" x14ac:dyDescent="0.25">
      <c r="F4" s="132">
        <v>3</v>
      </c>
      <c r="G4" s="165"/>
      <c r="H4" s="166"/>
      <c r="I4" s="167"/>
      <c r="J4" s="167"/>
      <c r="K4" s="166"/>
      <c r="L4" s="166"/>
      <c r="M4" s="166"/>
      <c r="N4" s="166"/>
      <c r="O4" s="166"/>
      <c r="P4" s="166"/>
      <c r="Q4" s="166"/>
      <c r="R4" s="166"/>
      <c r="S4" s="166"/>
      <c r="T4" s="166"/>
      <c r="U4" s="166"/>
      <c r="V4" s="166"/>
      <c r="W4" s="166"/>
      <c r="X4" s="166"/>
      <c r="Y4" s="166"/>
      <c r="Z4" s="166"/>
      <c r="AA4" s="166"/>
      <c r="AB4" s="166"/>
      <c r="AC4" s="166"/>
      <c r="AD4" s="166"/>
      <c r="AE4" s="166"/>
      <c r="AF4" s="166"/>
      <c r="AG4" s="166"/>
      <c r="AH4" s="166"/>
      <c r="AI4" s="166"/>
    </row>
    <row r="5" spans="1:35" x14ac:dyDescent="0.25">
      <c r="F5" s="132">
        <v>4</v>
      </c>
      <c r="G5" s="165"/>
      <c r="H5" s="166"/>
      <c r="I5" s="167"/>
      <c r="J5" s="167"/>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row>
    <row r="6" spans="1:35" x14ac:dyDescent="0.25">
      <c r="F6" s="132">
        <v>5</v>
      </c>
      <c r="G6" s="165"/>
      <c r="H6" s="166"/>
      <c r="I6" s="167"/>
      <c r="J6" s="167"/>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row>
    <row r="7" spans="1:35" x14ac:dyDescent="0.25">
      <c r="F7" s="132">
        <v>6</v>
      </c>
      <c r="G7" s="165"/>
      <c r="H7" s="166"/>
      <c r="I7" s="167"/>
      <c r="J7" s="167"/>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row>
    <row r="8" spans="1:35" x14ac:dyDescent="0.25">
      <c r="F8" s="132">
        <v>7</v>
      </c>
      <c r="G8" s="165"/>
      <c r="H8" s="166"/>
      <c r="I8" s="167"/>
      <c r="J8" s="167"/>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row>
    <row r="9" spans="1:35" x14ac:dyDescent="0.25">
      <c r="F9" s="132">
        <v>8</v>
      </c>
      <c r="G9" s="165"/>
      <c r="H9" s="166"/>
      <c r="I9" s="167"/>
      <c r="J9" s="167"/>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row>
    <row r="10" spans="1:35" x14ac:dyDescent="0.25">
      <c r="F10" s="132">
        <v>9</v>
      </c>
      <c r="G10" s="165"/>
      <c r="H10" s="166"/>
      <c r="I10" s="167"/>
      <c r="J10" s="167"/>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row>
    <row r="11" spans="1:35" x14ac:dyDescent="0.25">
      <c r="F11" s="132">
        <v>10</v>
      </c>
      <c r="G11" s="165"/>
      <c r="H11" s="166"/>
      <c r="I11" s="167"/>
      <c r="J11" s="167"/>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row>
    <row r="12" spans="1:35" x14ac:dyDescent="0.25">
      <c r="F12" s="132">
        <v>11</v>
      </c>
      <c r="G12" s="165"/>
      <c r="H12" s="166"/>
      <c r="I12" s="167"/>
      <c r="J12" s="167"/>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row>
    <row r="13" spans="1:35" x14ac:dyDescent="0.25">
      <c r="F13" s="132">
        <v>12</v>
      </c>
      <c r="G13" s="165"/>
      <c r="H13" s="166"/>
      <c r="I13" s="167"/>
      <c r="J13" s="167"/>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row>
    <row r="14" spans="1:35" x14ac:dyDescent="0.25">
      <c r="F14" s="132">
        <v>13</v>
      </c>
      <c r="G14" s="165"/>
      <c r="H14" s="166"/>
      <c r="I14" s="167"/>
      <c r="J14" s="167"/>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row>
    <row r="15" spans="1:35" x14ac:dyDescent="0.25">
      <c r="F15" s="132">
        <v>14</v>
      </c>
      <c r="G15" s="165"/>
      <c r="H15" s="166"/>
      <c r="I15" s="167"/>
      <c r="J15" s="167"/>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row>
    <row r="16" spans="1:35" x14ac:dyDescent="0.25">
      <c r="F16" s="132">
        <v>15</v>
      </c>
      <c r="G16" s="165"/>
      <c r="H16" s="166"/>
      <c r="I16" s="167"/>
      <c r="J16" s="167"/>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row>
    <row r="17" spans="6:35" x14ac:dyDescent="0.25">
      <c r="F17" s="132">
        <v>16</v>
      </c>
      <c r="G17" s="165"/>
      <c r="H17" s="166"/>
      <c r="I17" s="167"/>
      <c r="J17" s="167"/>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row>
    <row r="18" spans="6:35" x14ac:dyDescent="0.25">
      <c r="F18" s="132">
        <v>17</v>
      </c>
      <c r="G18" s="165"/>
      <c r="H18" s="166"/>
      <c r="I18" s="167"/>
      <c r="J18" s="167"/>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row>
    <row r="19" spans="6:35" x14ac:dyDescent="0.25">
      <c r="F19" s="132">
        <v>18</v>
      </c>
      <c r="G19" s="165"/>
      <c r="H19" s="166"/>
      <c r="I19" s="167"/>
      <c r="J19" s="167"/>
      <c r="K19" s="166"/>
      <c r="L19" s="166"/>
      <c r="M19" s="166"/>
      <c r="N19" s="166"/>
      <c r="O19" s="166"/>
      <c r="P19" s="166"/>
      <c r="Q19" s="166"/>
      <c r="R19" s="166"/>
      <c r="S19" s="166"/>
      <c r="T19" s="166"/>
      <c r="U19" s="166"/>
      <c r="V19" s="166"/>
      <c r="W19" s="166"/>
      <c r="X19" s="166"/>
      <c r="Y19" s="166"/>
      <c r="Z19" s="166"/>
      <c r="AA19" s="166"/>
      <c r="AB19" s="166"/>
      <c r="AC19" s="166"/>
      <c r="AD19" s="166"/>
      <c r="AE19" s="166"/>
      <c r="AF19" s="166"/>
      <c r="AG19" s="166"/>
      <c r="AH19" s="166"/>
      <c r="AI19" s="166"/>
    </row>
    <row r="20" spans="6:35" x14ac:dyDescent="0.25">
      <c r="F20" s="132">
        <v>19</v>
      </c>
      <c r="G20" s="165"/>
      <c r="H20" s="166"/>
      <c r="I20" s="167"/>
      <c r="J20" s="167"/>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row>
    <row r="21" spans="6:35" x14ac:dyDescent="0.25">
      <c r="F21" s="132">
        <v>20</v>
      </c>
      <c r="G21" s="165"/>
      <c r="H21" s="166"/>
      <c r="I21" s="167"/>
      <c r="J21" s="167"/>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row>
    <row r="22" spans="6:35" x14ac:dyDescent="0.25">
      <c r="F22" s="132">
        <v>21</v>
      </c>
      <c r="G22" s="165"/>
      <c r="H22" s="166"/>
      <c r="I22" s="167"/>
      <c r="J22" s="167"/>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row>
    <row r="23" spans="6:35" x14ac:dyDescent="0.25">
      <c r="F23" s="132">
        <v>22</v>
      </c>
      <c r="G23" s="165"/>
      <c r="H23" s="166"/>
      <c r="I23" s="167"/>
      <c r="J23" s="167"/>
      <c r="K23" s="166"/>
      <c r="L23" s="166"/>
      <c r="M23" s="166"/>
      <c r="N23" s="166"/>
      <c r="O23" s="166"/>
      <c r="P23" s="166"/>
      <c r="Q23" s="166"/>
      <c r="R23" s="166"/>
      <c r="S23" s="166"/>
      <c r="T23" s="166"/>
      <c r="U23" s="166"/>
      <c r="V23" s="166"/>
      <c r="W23" s="166"/>
      <c r="X23" s="166"/>
      <c r="Y23" s="166"/>
      <c r="Z23" s="166"/>
      <c r="AA23" s="166"/>
      <c r="AB23" s="166"/>
      <c r="AC23" s="166"/>
      <c r="AD23" s="166"/>
      <c r="AE23" s="166"/>
      <c r="AF23" s="166"/>
      <c r="AG23" s="166"/>
      <c r="AH23" s="166"/>
      <c r="AI23" s="166"/>
    </row>
    <row r="24" spans="6:35" x14ac:dyDescent="0.25">
      <c r="F24" s="132">
        <v>23</v>
      </c>
      <c r="G24" s="165"/>
      <c r="H24" s="166"/>
      <c r="I24" s="167"/>
      <c r="J24" s="167"/>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row>
    <row r="25" spans="6:35" x14ac:dyDescent="0.25">
      <c r="F25" s="132">
        <v>24</v>
      </c>
      <c r="G25" s="165"/>
      <c r="H25" s="166"/>
      <c r="I25" s="167"/>
      <c r="J25" s="167"/>
      <c r="K25" s="166"/>
      <c r="L25" s="166"/>
      <c r="M25" s="166"/>
      <c r="N25" s="166"/>
      <c r="O25" s="166"/>
      <c r="P25" s="166"/>
      <c r="Q25" s="166"/>
      <c r="R25" s="166"/>
      <c r="S25" s="166"/>
      <c r="T25" s="166"/>
      <c r="U25" s="166"/>
      <c r="V25" s="166"/>
      <c r="W25" s="166"/>
      <c r="X25" s="166"/>
      <c r="Y25" s="166"/>
      <c r="Z25" s="166"/>
      <c r="AA25" s="166"/>
      <c r="AB25" s="166"/>
      <c r="AC25" s="166"/>
      <c r="AD25" s="166"/>
      <c r="AE25" s="166"/>
      <c r="AF25" s="166"/>
      <c r="AG25" s="166"/>
      <c r="AH25" s="166"/>
      <c r="AI25" s="166"/>
    </row>
    <row r="26" spans="6:35" x14ac:dyDescent="0.25">
      <c r="F26" s="132">
        <v>25</v>
      </c>
      <c r="G26" s="165"/>
      <c r="H26" s="166"/>
      <c r="I26" s="167"/>
      <c r="J26" s="167"/>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row>
    <row r="27" spans="6:35" x14ac:dyDescent="0.25">
      <c r="F27" s="132">
        <v>26</v>
      </c>
      <c r="G27" s="165"/>
      <c r="H27" s="166"/>
      <c r="I27" s="167"/>
      <c r="J27" s="167"/>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row>
    <row r="28" spans="6:35" x14ac:dyDescent="0.25">
      <c r="F28" s="132">
        <v>27</v>
      </c>
      <c r="G28" s="165"/>
      <c r="H28" s="166"/>
      <c r="I28" s="167"/>
      <c r="J28" s="167"/>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row>
    <row r="29" spans="6:35" x14ac:dyDescent="0.25">
      <c r="G29" s="165"/>
      <c r="H29" s="166"/>
      <c r="I29" s="167"/>
      <c r="J29" s="167"/>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row>
    <row r="30" spans="6:35" x14ac:dyDescent="0.25">
      <c r="G30" s="165"/>
      <c r="H30" s="166"/>
      <c r="I30" s="167"/>
      <c r="J30" s="167"/>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row>
    <row r="31" spans="6:35" x14ac:dyDescent="0.25">
      <c r="G31" s="165"/>
      <c r="H31" s="166"/>
      <c r="I31" s="167"/>
      <c r="J31" s="167"/>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row>
    <row r="32" spans="6:35" x14ac:dyDescent="0.25">
      <c r="G32" s="165"/>
      <c r="H32" s="166"/>
      <c r="I32" s="167"/>
      <c r="J32" s="167"/>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row>
    <row r="33" spans="7:35" x14ac:dyDescent="0.25">
      <c r="G33" s="165"/>
      <c r="H33" s="166"/>
      <c r="I33" s="167"/>
      <c r="J33" s="167"/>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row>
    <row r="34" spans="7:35" x14ac:dyDescent="0.25">
      <c r="G34" s="165"/>
      <c r="H34" s="166"/>
      <c r="I34" s="167"/>
      <c r="J34" s="167"/>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row>
    <row r="35" spans="7:35" x14ac:dyDescent="0.25">
      <c r="G35" s="165"/>
      <c r="H35" s="166"/>
      <c r="I35" s="167"/>
      <c r="J35" s="167"/>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row>
    <row r="36" spans="7:35" x14ac:dyDescent="0.25">
      <c r="G36" s="165"/>
      <c r="H36" s="166"/>
      <c r="I36" s="167"/>
      <c r="J36" s="167"/>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row>
    <row r="37" spans="7:35" x14ac:dyDescent="0.25">
      <c r="G37" s="165"/>
      <c r="H37" s="166"/>
      <c r="I37" s="167"/>
      <c r="J37" s="167"/>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row>
    <row r="38" spans="7:35" x14ac:dyDescent="0.25">
      <c r="G38" s="165"/>
      <c r="H38" s="166"/>
      <c r="I38" s="167"/>
      <c r="J38" s="167"/>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row>
    <row r="39" spans="7:35" x14ac:dyDescent="0.25">
      <c r="G39" s="165"/>
      <c r="H39" s="166"/>
      <c r="I39" s="167"/>
      <c r="J39" s="167"/>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row>
    <row r="40" spans="7:35" x14ac:dyDescent="0.25">
      <c r="G40" s="165"/>
      <c r="H40" s="166"/>
      <c r="I40" s="167"/>
      <c r="J40" s="167"/>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row>
    <row r="41" spans="7:35" x14ac:dyDescent="0.25">
      <c r="G41" s="165"/>
      <c r="H41" s="166"/>
      <c r="I41" s="167"/>
      <c r="J41" s="167"/>
      <c r="K41" s="166"/>
      <c r="L41" s="166"/>
      <c r="M41" s="166"/>
      <c r="N41" s="166"/>
      <c r="O41" s="166"/>
      <c r="P41" s="166"/>
      <c r="Q41" s="166"/>
      <c r="R41" s="166"/>
      <c r="S41" s="166"/>
      <c r="T41" s="166"/>
      <c r="U41" s="166"/>
      <c r="V41" s="166"/>
      <c r="W41" s="166"/>
      <c r="X41" s="166"/>
      <c r="Y41" s="166"/>
      <c r="Z41" s="166"/>
      <c r="AA41" s="166"/>
      <c r="AB41" s="166"/>
      <c r="AC41" s="166"/>
      <c r="AD41" s="166"/>
      <c r="AE41" s="166"/>
      <c r="AF41" s="166"/>
      <c r="AG41" s="166"/>
      <c r="AH41" s="166"/>
      <c r="AI41" s="166"/>
    </row>
    <row r="42" spans="7:35" x14ac:dyDescent="0.25">
      <c r="G42" s="165"/>
      <c r="H42" s="166"/>
      <c r="I42" s="167"/>
      <c r="J42" s="167"/>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row>
    <row r="43" spans="7:35" x14ac:dyDescent="0.25">
      <c r="G43" s="165"/>
      <c r="H43" s="166"/>
      <c r="I43" s="167"/>
      <c r="J43" s="167"/>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row>
    <row r="44" spans="7:35" x14ac:dyDescent="0.25">
      <c r="G44" s="165"/>
      <c r="H44" s="166"/>
      <c r="I44" s="167"/>
      <c r="J44" s="167"/>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row>
    <row r="45" spans="7:35" x14ac:dyDescent="0.25">
      <c r="G45" s="165"/>
      <c r="H45" s="166"/>
      <c r="I45" s="167"/>
      <c r="J45" s="167"/>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row>
    <row r="46" spans="7:35" x14ac:dyDescent="0.25">
      <c r="G46" s="165"/>
      <c r="H46" s="166"/>
      <c r="I46" s="167"/>
      <c r="J46" s="167"/>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row>
    <row r="47" spans="7:35" x14ac:dyDescent="0.25">
      <c r="G47" s="165"/>
      <c r="H47" s="166"/>
      <c r="I47" s="167"/>
      <c r="J47" s="167"/>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row>
    <row r="48" spans="7:35" x14ac:dyDescent="0.25">
      <c r="G48" s="165"/>
      <c r="H48" s="166"/>
      <c r="I48" s="167"/>
      <c r="J48" s="167"/>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row>
    <row r="49" spans="7:35" x14ac:dyDescent="0.25">
      <c r="G49" s="165"/>
      <c r="H49" s="166"/>
      <c r="I49" s="167"/>
      <c r="J49" s="167"/>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row>
    <row r="50" spans="7:35" x14ac:dyDescent="0.25">
      <c r="G50" s="165"/>
      <c r="H50" s="166"/>
      <c r="I50" s="167"/>
      <c r="J50" s="167"/>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row>
    <row r="51" spans="7:35" x14ac:dyDescent="0.25">
      <c r="G51" s="165"/>
      <c r="H51" s="166"/>
      <c r="I51" s="167"/>
      <c r="J51" s="167"/>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row>
    <row r="52" spans="7:35" x14ac:dyDescent="0.25">
      <c r="G52" s="165"/>
      <c r="H52" s="166"/>
      <c r="I52" s="167"/>
      <c r="J52" s="167"/>
      <c r="K52" s="166"/>
      <c r="L52" s="166"/>
      <c r="M52" s="166"/>
      <c r="N52" s="166"/>
      <c r="O52" s="166"/>
      <c r="P52" s="166"/>
      <c r="Q52" s="166"/>
      <c r="R52" s="166"/>
      <c r="S52" s="166"/>
      <c r="T52" s="166"/>
      <c r="U52" s="166"/>
      <c r="V52" s="166"/>
      <c r="W52" s="166"/>
      <c r="X52" s="166"/>
      <c r="Y52" s="166"/>
      <c r="Z52" s="166"/>
      <c r="AA52" s="166"/>
      <c r="AB52" s="166"/>
      <c r="AC52" s="166"/>
      <c r="AD52" s="166"/>
      <c r="AE52" s="166"/>
      <c r="AF52" s="166"/>
      <c r="AG52" s="166"/>
      <c r="AH52" s="166"/>
      <c r="AI52" s="166"/>
    </row>
    <row r="53" spans="7:35" x14ac:dyDescent="0.25">
      <c r="G53" s="165"/>
      <c r="H53" s="166"/>
      <c r="I53" s="167"/>
      <c r="J53" s="167"/>
      <c r="K53" s="166"/>
      <c r="L53" s="166"/>
      <c r="M53" s="166"/>
      <c r="N53" s="166"/>
      <c r="O53" s="166"/>
      <c r="P53" s="166"/>
      <c r="Q53" s="166"/>
      <c r="R53" s="166"/>
      <c r="S53" s="166"/>
      <c r="T53" s="166"/>
      <c r="U53" s="166"/>
      <c r="V53" s="166"/>
      <c r="W53" s="166"/>
      <c r="X53" s="166"/>
      <c r="Y53" s="166"/>
      <c r="Z53" s="166"/>
      <c r="AA53" s="166"/>
      <c r="AB53" s="166"/>
      <c r="AC53" s="166"/>
      <c r="AD53" s="166"/>
      <c r="AE53" s="166"/>
      <c r="AF53" s="166"/>
      <c r="AG53" s="166"/>
      <c r="AH53" s="166"/>
      <c r="AI53" s="166"/>
    </row>
    <row r="54" spans="7:35" x14ac:dyDescent="0.25">
      <c r="G54" s="165"/>
      <c r="H54" s="166"/>
      <c r="I54" s="167"/>
      <c r="J54" s="167"/>
      <c r="K54" s="166"/>
      <c r="L54" s="166"/>
      <c r="M54" s="166"/>
      <c r="N54" s="166"/>
      <c r="O54" s="166"/>
      <c r="P54" s="166"/>
      <c r="Q54" s="166"/>
      <c r="R54" s="166"/>
      <c r="S54" s="166"/>
      <c r="T54" s="166"/>
      <c r="U54" s="166"/>
      <c r="V54" s="166"/>
      <c r="W54" s="166"/>
      <c r="X54" s="166"/>
      <c r="Y54" s="166"/>
      <c r="Z54" s="166"/>
      <c r="AA54" s="166"/>
      <c r="AB54" s="166"/>
      <c r="AC54" s="166"/>
      <c r="AD54" s="166"/>
      <c r="AE54" s="166"/>
      <c r="AF54" s="166"/>
      <c r="AG54" s="166"/>
      <c r="AH54" s="166"/>
      <c r="AI54" s="166"/>
    </row>
    <row r="55" spans="7:35" x14ac:dyDescent="0.25">
      <c r="G55" s="165"/>
      <c r="H55" s="166"/>
      <c r="I55" s="167"/>
      <c r="J55" s="167"/>
      <c r="K55" s="166"/>
      <c r="L55" s="166"/>
      <c r="M55" s="166"/>
      <c r="N55" s="166"/>
      <c r="O55" s="166"/>
      <c r="P55" s="166"/>
      <c r="Q55" s="166"/>
      <c r="R55" s="166"/>
      <c r="S55" s="166"/>
      <c r="T55" s="166"/>
      <c r="U55" s="166"/>
      <c r="V55" s="166"/>
      <c r="W55" s="166"/>
      <c r="X55" s="166"/>
      <c r="Y55" s="166"/>
      <c r="Z55" s="166"/>
      <c r="AA55" s="166"/>
      <c r="AB55" s="166"/>
      <c r="AC55" s="166"/>
      <c r="AD55" s="166"/>
      <c r="AE55" s="166"/>
      <c r="AF55" s="166"/>
      <c r="AG55" s="166"/>
      <c r="AH55" s="166"/>
      <c r="AI55" s="166"/>
    </row>
    <row r="56" spans="7:35" x14ac:dyDescent="0.25">
      <c r="G56" s="165"/>
      <c r="H56" s="166"/>
      <c r="I56" s="167"/>
      <c r="J56" s="167"/>
      <c r="K56" s="166"/>
      <c r="L56" s="166"/>
      <c r="M56" s="166"/>
      <c r="N56" s="166"/>
      <c r="O56" s="166"/>
      <c r="P56" s="166"/>
      <c r="Q56" s="166"/>
      <c r="R56" s="166"/>
      <c r="S56" s="166"/>
      <c r="T56" s="166"/>
      <c r="U56" s="166"/>
      <c r="V56" s="166"/>
      <c r="W56" s="166"/>
      <c r="X56" s="166"/>
      <c r="Y56" s="166"/>
      <c r="Z56" s="166"/>
      <c r="AA56" s="166"/>
      <c r="AB56" s="166"/>
      <c r="AC56" s="166"/>
      <c r="AD56" s="166"/>
      <c r="AE56" s="166"/>
      <c r="AF56" s="166"/>
      <c r="AG56" s="166"/>
      <c r="AH56" s="166"/>
      <c r="AI56" s="166"/>
    </row>
    <row r="57" spans="7:35" x14ac:dyDescent="0.25">
      <c r="G57" s="165"/>
      <c r="H57" s="166"/>
      <c r="I57" s="167"/>
      <c r="J57" s="167"/>
      <c r="K57" s="166"/>
      <c r="L57" s="166"/>
      <c r="M57" s="166"/>
      <c r="N57" s="166"/>
      <c r="O57" s="166"/>
      <c r="P57" s="166"/>
      <c r="Q57" s="166"/>
      <c r="R57" s="166"/>
      <c r="S57" s="166"/>
      <c r="T57" s="166"/>
      <c r="U57" s="166"/>
      <c r="V57" s="166"/>
      <c r="W57" s="166"/>
      <c r="X57" s="166"/>
      <c r="Y57" s="166"/>
      <c r="Z57" s="166"/>
      <c r="AA57" s="166"/>
      <c r="AB57" s="166"/>
      <c r="AC57" s="166"/>
      <c r="AD57" s="166"/>
      <c r="AE57" s="166"/>
      <c r="AF57" s="166"/>
      <c r="AG57" s="166"/>
      <c r="AH57" s="166"/>
      <c r="AI57" s="166"/>
    </row>
    <row r="58" spans="7:35" x14ac:dyDescent="0.25">
      <c r="G58" s="165"/>
      <c r="H58" s="166"/>
      <c r="I58" s="167"/>
      <c r="J58" s="167"/>
      <c r="K58" s="166"/>
      <c r="L58" s="166"/>
      <c r="M58" s="166"/>
      <c r="N58" s="166"/>
      <c r="O58" s="166"/>
      <c r="P58" s="166"/>
      <c r="Q58" s="166"/>
      <c r="R58" s="166"/>
      <c r="S58" s="166"/>
      <c r="T58" s="166"/>
      <c r="U58" s="166"/>
      <c r="V58" s="166"/>
      <c r="W58" s="166"/>
      <c r="X58" s="166"/>
      <c r="Y58" s="166"/>
      <c r="Z58" s="166"/>
      <c r="AA58" s="166"/>
      <c r="AB58" s="166"/>
      <c r="AC58" s="166"/>
      <c r="AD58" s="166"/>
      <c r="AE58" s="166"/>
      <c r="AF58" s="166"/>
      <c r="AG58" s="166"/>
      <c r="AH58" s="166"/>
      <c r="AI58" s="166"/>
    </row>
    <row r="59" spans="7:35" x14ac:dyDescent="0.25">
      <c r="G59" s="165"/>
      <c r="H59" s="166"/>
      <c r="I59" s="167"/>
      <c r="J59" s="167"/>
      <c r="K59" s="166"/>
      <c r="L59" s="166"/>
      <c r="M59" s="166"/>
      <c r="N59" s="166"/>
      <c r="O59" s="166"/>
      <c r="P59" s="166"/>
      <c r="Q59" s="166"/>
      <c r="R59" s="166"/>
      <c r="S59" s="166"/>
      <c r="T59" s="166"/>
      <c r="U59" s="166"/>
      <c r="V59" s="166"/>
      <c r="W59" s="166"/>
      <c r="X59" s="166"/>
      <c r="Y59" s="166"/>
      <c r="Z59" s="166"/>
      <c r="AA59" s="166"/>
      <c r="AB59" s="166"/>
      <c r="AC59" s="166"/>
      <c r="AD59" s="166"/>
      <c r="AE59" s="166"/>
      <c r="AF59" s="166"/>
      <c r="AG59" s="166"/>
      <c r="AH59" s="166"/>
      <c r="AI59" s="166"/>
    </row>
    <row r="60" spans="7:35" x14ac:dyDescent="0.25">
      <c r="G60" s="165"/>
      <c r="H60" s="166"/>
      <c r="I60" s="167"/>
      <c r="J60" s="167"/>
      <c r="K60" s="166"/>
      <c r="L60" s="166"/>
      <c r="M60" s="166"/>
      <c r="N60" s="166"/>
      <c r="O60" s="166"/>
      <c r="P60" s="166"/>
      <c r="Q60" s="166"/>
      <c r="R60" s="166"/>
      <c r="S60" s="166"/>
      <c r="T60" s="166"/>
      <c r="U60" s="166"/>
      <c r="V60" s="166"/>
      <c r="W60" s="166"/>
      <c r="X60" s="166"/>
      <c r="Y60" s="166"/>
      <c r="Z60" s="166"/>
      <c r="AA60" s="166"/>
      <c r="AB60" s="166"/>
      <c r="AC60" s="166"/>
      <c r="AD60" s="166"/>
      <c r="AE60" s="166"/>
      <c r="AF60" s="166"/>
      <c r="AG60" s="166"/>
      <c r="AH60" s="166"/>
      <c r="AI60" s="166"/>
    </row>
    <row r="61" spans="7:35" x14ac:dyDescent="0.25">
      <c r="G61" s="165"/>
      <c r="H61" s="166"/>
      <c r="I61" s="167"/>
      <c r="J61" s="167"/>
      <c r="K61" s="166"/>
      <c r="L61" s="166"/>
      <c r="M61" s="166"/>
      <c r="N61" s="166"/>
      <c r="O61" s="166"/>
      <c r="P61" s="166"/>
      <c r="Q61" s="166"/>
      <c r="R61" s="166"/>
      <c r="S61" s="166"/>
      <c r="T61" s="166"/>
      <c r="U61" s="166"/>
      <c r="V61" s="166"/>
      <c r="W61" s="166"/>
      <c r="X61" s="166"/>
      <c r="Y61" s="166"/>
      <c r="Z61" s="166"/>
      <c r="AA61" s="166"/>
      <c r="AB61" s="166"/>
      <c r="AC61" s="166"/>
      <c r="AD61" s="166"/>
      <c r="AE61" s="166"/>
      <c r="AF61" s="166"/>
      <c r="AG61" s="166"/>
      <c r="AH61" s="166"/>
      <c r="AI61" s="166"/>
    </row>
    <row r="62" spans="7:35" x14ac:dyDescent="0.25">
      <c r="G62" s="165"/>
      <c r="H62" s="166"/>
      <c r="I62" s="167"/>
      <c r="J62" s="167"/>
      <c r="K62" s="166"/>
      <c r="L62" s="166"/>
      <c r="M62" s="166"/>
      <c r="N62" s="166"/>
      <c r="O62" s="166"/>
      <c r="P62" s="166"/>
      <c r="Q62" s="166"/>
      <c r="R62" s="166"/>
      <c r="S62" s="166"/>
      <c r="T62" s="166"/>
      <c r="U62" s="166"/>
      <c r="V62" s="166"/>
      <c r="W62" s="166"/>
      <c r="X62" s="166"/>
      <c r="Y62" s="166"/>
      <c r="Z62" s="166"/>
      <c r="AA62" s="166"/>
      <c r="AB62" s="166"/>
      <c r="AC62" s="166"/>
      <c r="AD62" s="166"/>
      <c r="AE62" s="166"/>
      <c r="AF62" s="166"/>
      <c r="AG62" s="166"/>
      <c r="AH62" s="166"/>
      <c r="AI62" s="166"/>
    </row>
    <row r="63" spans="7:35" x14ac:dyDescent="0.25">
      <c r="G63" s="165"/>
      <c r="H63" s="166"/>
      <c r="I63" s="167"/>
      <c r="J63" s="167"/>
      <c r="K63" s="166"/>
      <c r="L63" s="166"/>
      <c r="M63" s="166"/>
      <c r="N63" s="166"/>
      <c r="O63" s="166"/>
      <c r="P63" s="166"/>
      <c r="Q63" s="166"/>
      <c r="R63" s="166"/>
      <c r="S63" s="166"/>
      <c r="T63" s="166"/>
      <c r="U63" s="166"/>
      <c r="V63" s="166"/>
      <c r="W63" s="166"/>
      <c r="X63" s="166"/>
      <c r="Y63" s="166"/>
      <c r="Z63" s="166"/>
      <c r="AA63" s="166"/>
      <c r="AB63" s="166"/>
      <c r="AC63" s="166"/>
      <c r="AD63" s="166"/>
      <c r="AE63" s="166"/>
      <c r="AF63" s="166"/>
      <c r="AG63" s="166"/>
      <c r="AH63" s="166"/>
      <c r="AI63" s="166"/>
    </row>
    <row r="64" spans="7:35" x14ac:dyDescent="0.25">
      <c r="G64" s="165"/>
      <c r="H64" s="166"/>
      <c r="I64" s="167"/>
      <c r="J64" s="167"/>
      <c r="K64" s="166"/>
      <c r="L64" s="166"/>
      <c r="M64" s="166"/>
      <c r="N64" s="166"/>
      <c r="O64" s="166"/>
      <c r="P64" s="166"/>
      <c r="Q64" s="166"/>
      <c r="R64" s="166"/>
      <c r="S64" s="166"/>
      <c r="T64" s="166"/>
      <c r="U64" s="166"/>
      <c r="V64" s="166"/>
      <c r="W64" s="166"/>
      <c r="X64" s="166"/>
      <c r="Y64" s="166"/>
      <c r="Z64" s="166"/>
      <c r="AA64" s="166"/>
      <c r="AB64" s="166"/>
      <c r="AC64" s="166"/>
      <c r="AD64" s="166"/>
      <c r="AE64" s="166"/>
      <c r="AF64" s="166"/>
      <c r="AG64" s="166"/>
      <c r="AH64" s="166"/>
      <c r="AI64" s="166"/>
    </row>
    <row r="65" spans="7:35" x14ac:dyDescent="0.25">
      <c r="G65" s="165"/>
      <c r="H65" s="166"/>
      <c r="I65" s="167"/>
      <c r="J65" s="167"/>
      <c r="K65" s="166"/>
      <c r="L65" s="166"/>
      <c r="M65" s="166"/>
      <c r="N65" s="166"/>
      <c r="O65" s="166"/>
      <c r="P65" s="166"/>
      <c r="Q65" s="166"/>
      <c r="R65" s="166"/>
      <c r="S65" s="166"/>
      <c r="T65" s="166"/>
      <c r="U65" s="166"/>
      <c r="V65" s="166"/>
      <c r="W65" s="166"/>
      <c r="X65" s="166"/>
      <c r="Y65" s="166"/>
      <c r="Z65" s="166"/>
      <c r="AA65" s="166"/>
      <c r="AB65" s="166"/>
      <c r="AC65" s="166"/>
      <c r="AD65" s="166"/>
      <c r="AE65" s="166"/>
      <c r="AF65" s="166"/>
      <c r="AG65" s="166"/>
      <c r="AH65" s="166"/>
      <c r="AI65" s="166"/>
    </row>
    <row r="66" spans="7:35" x14ac:dyDescent="0.25">
      <c r="G66" s="165"/>
      <c r="H66" s="166"/>
      <c r="I66" s="167"/>
      <c r="J66" s="167"/>
      <c r="K66" s="166"/>
      <c r="L66" s="166"/>
      <c r="M66" s="166"/>
      <c r="N66" s="166"/>
      <c r="O66" s="166"/>
      <c r="P66" s="166"/>
      <c r="Q66" s="166"/>
      <c r="R66" s="166"/>
      <c r="S66" s="166"/>
      <c r="T66" s="166"/>
      <c r="U66" s="166"/>
      <c r="V66" s="166"/>
      <c r="W66" s="166"/>
      <c r="X66" s="166"/>
      <c r="Y66" s="166"/>
      <c r="Z66" s="166"/>
      <c r="AA66" s="166"/>
      <c r="AB66" s="166"/>
      <c r="AC66" s="166"/>
      <c r="AD66" s="166"/>
      <c r="AE66" s="166"/>
      <c r="AF66" s="166"/>
      <c r="AG66" s="166"/>
      <c r="AH66" s="166"/>
      <c r="AI66" s="166"/>
    </row>
    <row r="67" spans="7:35" x14ac:dyDescent="0.25">
      <c r="G67" s="165"/>
      <c r="H67" s="166"/>
      <c r="I67" s="167"/>
      <c r="J67" s="167"/>
      <c r="K67" s="166"/>
      <c r="L67" s="166"/>
      <c r="M67" s="166"/>
      <c r="N67" s="166"/>
      <c r="O67" s="166"/>
      <c r="P67" s="166"/>
      <c r="Q67" s="166"/>
      <c r="R67" s="166"/>
      <c r="S67" s="166"/>
      <c r="T67" s="166"/>
      <c r="U67" s="166"/>
      <c r="V67" s="166"/>
      <c r="W67" s="166"/>
      <c r="X67" s="166"/>
      <c r="Y67" s="166"/>
      <c r="Z67" s="166"/>
      <c r="AA67" s="166"/>
      <c r="AB67" s="166"/>
      <c r="AC67" s="166"/>
      <c r="AD67" s="166"/>
      <c r="AE67" s="166"/>
      <c r="AF67" s="166"/>
      <c r="AG67" s="166"/>
      <c r="AH67" s="166"/>
      <c r="AI67" s="166"/>
    </row>
    <row r="68" spans="7:35" x14ac:dyDescent="0.25">
      <c r="G68" s="165"/>
      <c r="H68" s="166"/>
      <c r="I68" s="167"/>
      <c r="J68" s="167"/>
      <c r="K68" s="166"/>
      <c r="L68" s="166"/>
      <c r="M68" s="166"/>
      <c r="N68" s="166"/>
      <c r="O68" s="166"/>
      <c r="P68" s="166"/>
      <c r="Q68" s="166"/>
      <c r="R68" s="166"/>
      <c r="S68" s="166"/>
      <c r="T68" s="166"/>
      <c r="U68" s="166"/>
      <c r="V68" s="166"/>
      <c r="W68" s="166"/>
      <c r="X68" s="166"/>
      <c r="Y68" s="166"/>
      <c r="Z68" s="166"/>
      <c r="AA68" s="166"/>
      <c r="AB68" s="166"/>
      <c r="AC68" s="166"/>
      <c r="AD68" s="166"/>
      <c r="AE68" s="166"/>
      <c r="AF68" s="166"/>
      <c r="AG68" s="166"/>
      <c r="AH68" s="166"/>
      <c r="AI68" s="166"/>
    </row>
    <row r="69" spans="7:35" x14ac:dyDescent="0.25">
      <c r="G69" s="165"/>
      <c r="H69" s="166"/>
      <c r="I69" s="167"/>
      <c r="J69" s="167"/>
      <c r="K69" s="166"/>
      <c r="L69" s="166"/>
      <c r="M69" s="166"/>
      <c r="N69" s="166"/>
      <c r="O69" s="166"/>
      <c r="P69" s="166"/>
      <c r="Q69" s="166"/>
      <c r="R69" s="166"/>
      <c r="S69" s="166"/>
      <c r="T69" s="166"/>
      <c r="U69" s="166"/>
      <c r="V69" s="166"/>
      <c r="W69" s="166"/>
      <c r="X69" s="166"/>
      <c r="Y69" s="166"/>
      <c r="Z69" s="166"/>
      <c r="AA69" s="166"/>
      <c r="AB69" s="166"/>
      <c r="AC69" s="166"/>
      <c r="AD69" s="166"/>
      <c r="AE69" s="166"/>
      <c r="AF69" s="166"/>
      <c r="AG69" s="166"/>
      <c r="AH69" s="166"/>
      <c r="AI69" s="166"/>
    </row>
    <row r="70" spans="7:35" x14ac:dyDescent="0.25">
      <c r="G70" s="165"/>
      <c r="H70" s="166"/>
      <c r="I70" s="167"/>
      <c r="J70" s="167"/>
      <c r="K70" s="166"/>
      <c r="L70" s="166"/>
      <c r="M70" s="166"/>
      <c r="N70" s="166"/>
      <c r="O70" s="166"/>
      <c r="P70" s="166"/>
      <c r="Q70" s="166"/>
      <c r="R70" s="166"/>
      <c r="S70" s="166"/>
      <c r="T70" s="166"/>
      <c r="U70" s="166"/>
      <c r="V70" s="166"/>
      <c r="W70" s="166"/>
      <c r="X70" s="166"/>
      <c r="Y70" s="166"/>
      <c r="Z70" s="166"/>
      <c r="AA70" s="166"/>
      <c r="AB70" s="166"/>
      <c r="AC70" s="166"/>
      <c r="AD70" s="166"/>
      <c r="AE70" s="166"/>
      <c r="AF70" s="166"/>
      <c r="AG70" s="166"/>
      <c r="AH70" s="166"/>
      <c r="AI70" s="166"/>
    </row>
    <row r="71" spans="7:35" x14ac:dyDescent="0.25">
      <c r="G71" s="165"/>
      <c r="H71" s="166"/>
      <c r="I71" s="167"/>
      <c r="J71" s="167"/>
      <c r="K71" s="166"/>
      <c r="L71" s="166"/>
      <c r="M71" s="166"/>
      <c r="N71" s="166"/>
      <c r="O71" s="166"/>
      <c r="P71" s="166"/>
      <c r="Q71" s="166"/>
      <c r="R71" s="166"/>
      <c r="S71" s="166"/>
      <c r="T71" s="166"/>
      <c r="U71" s="166"/>
      <c r="V71" s="166"/>
      <c r="W71" s="166"/>
      <c r="X71" s="166"/>
      <c r="Y71" s="166"/>
      <c r="Z71" s="166"/>
      <c r="AA71" s="166"/>
      <c r="AB71" s="166"/>
      <c r="AC71" s="166"/>
      <c r="AD71" s="166"/>
      <c r="AE71" s="166"/>
      <c r="AF71" s="166"/>
      <c r="AG71" s="166"/>
      <c r="AH71" s="166"/>
      <c r="AI71" s="166"/>
    </row>
    <row r="72" spans="7:35" x14ac:dyDescent="0.25">
      <c r="G72" s="165"/>
      <c r="H72" s="166"/>
      <c r="I72" s="167"/>
      <c r="J72" s="167"/>
      <c r="K72" s="166"/>
      <c r="L72" s="166"/>
      <c r="M72" s="166"/>
      <c r="N72" s="166"/>
      <c r="O72" s="166"/>
      <c r="P72" s="166"/>
      <c r="Q72" s="166"/>
      <c r="R72" s="166"/>
      <c r="S72" s="166"/>
      <c r="T72" s="166"/>
      <c r="U72" s="166"/>
      <c r="V72" s="166"/>
      <c r="W72" s="166"/>
      <c r="X72" s="166"/>
      <c r="Y72" s="166"/>
      <c r="Z72" s="166"/>
      <c r="AA72" s="166"/>
      <c r="AB72" s="166"/>
      <c r="AC72" s="166"/>
      <c r="AD72" s="166"/>
      <c r="AE72" s="166"/>
      <c r="AF72" s="166"/>
      <c r="AG72" s="166"/>
      <c r="AH72" s="166"/>
      <c r="AI72" s="166"/>
    </row>
    <row r="73" spans="7:35" x14ac:dyDescent="0.25">
      <c r="G73" s="165"/>
      <c r="H73" s="166"/>
      <c r="I73" s="167"/>
      <c r="J73" s="167"/>
      <c r="K73" s="166"/>
      <c r="L73" s="166"/>
      <c r="M73" s="166"/>
      <c r="N73" s="166"/>
      <c r="O73" s="166"/>
      <c r="P73" s="166"/>
      <c r="Q73" s="166"/>
      <c r="R73" s="166"/>
      <c r="S73" s="166"/>
      <c r="T73" s="166"/>
      <c r="U73" s="166"/>
      <c r="V73" s="166"/>
      <c r="W73" s="166"/>
      <c r="X73" s="166"/>
      <c r="Y73" s="166"/>
      <c r="Z73" s="166"/>
      <c r="AA73" s="166"/>
      <c r="AB73" s="166"/>
      <c r="AC73" s="166"/>
      <c r="AD73" s="166"/>
      <c r="AE73" s="166"/>
      <c r="AF73" s="166"/>
      <c r="AG73" s="166"/>
      <c r="AH73" s="166"/>
      <c r="AI73" s="166"/>
    </row>
    <row r="74" spans="7:35" x14ac:dyDescent="0.25">
      <c r="G74" s="165"/>
      <c r="H74" s="166"/>
      <c r="I74" s="167"/>
      <c r="J74" s="167"/>
      <c r="K74" s="166"/>
      <c r="L74" s="166"/>
      <c r="M74" s="166"/>
      <c r="N74" s="166"/>
      <c r="O74" s="166"/>
      <c r="P74" s="166"/>
      <c r="Q74" s="166"/>
      <c r="R74" s="166"/>
      <c r="S74" s="166"/>
      <c r="T74" s="166"/>
      <c r="U74" s="166"/>
      <c r="V74" s="166"/>
      <c r="W74" s="166"/>
      <c r="X74" s="166"/>
      <c r="Y74" s="166"/>
      <c r="Z74" s="166"/>
      <c r="AA74" s="166"/>
      <c r="AB74" s="166"/>
      <c r="AC74" s="166"/>
      <c r="AD74" s="166"/>
      <c r="AE74" s="166"/>
      <c r="AF74" s="166"/>
      <c r="AG74" s="166"/>
      <c r="AH74" s="166"/>
      <c r="AI74" s="166"/>
    </row>
    <row r="75" spans="7:35" x14ac:dyDescent="0.25">
      <c r="G75" s="165"/>
      <c r="H75" s="166"/>
      <c r="I75" s="167"/>
      <c r="J75" s="167"/>
      <c r="K75" s="166"/>
      <c r="L75" s="166"/>
      <c r="M75" s="166"/>
      <c r="N75" s="166"/>
      <c r="O75" s="166"/>
      <c r="P75" s="166"/>
      <c r="Q75" s="166"/>
      <c r="R75" s="166"/>
      <c r="S75" s="166"/>
      <c r="T75" s="166"/>
      <c r="U75" s="166"/>
      <c r="V75" s="166"/>
      <c r="W75" s="166"/>
      <c r="X75" s="166"/>
      <c r="Y75" s="166"/>
      <c r="Z75" s="166"/>
      <c r="AA75" s="166"/>
      <c r="AB75" s="166"/>
      <c r="AC75" s="166"/>
      <c r="AD75" s="166"/>
      <c r="AE75" s="166"/>
      <c r="AF75" s="166"/>
      <c r="AG75" s="166"/>
      <c r="AH75" s="166"/>
      <c r="AI75" s="166"/>
    </row>
    <row r="76" spans="7:35" x14ac:dyDescent="0.25">
      <c r="G76" s="165"/>
      <c r="H76" s="166"/>
      <c r="I76" s="167"/>
      <c r="J76" s="167"/>
      <c r="K76" s="166"/>
      <c r="L76" s="166"/>
      <c r="M76" s="166"/>
      <c r="N76" s="166"/>
      <c r="O76" s="166"/>
      <c r="P76" s="166"/>
      <c r="Q76" s="166"/>
      <c r="R76" s="166"/>
      <c r="S76" s="166"/>
      <c r="T76" s="166"/>
      <c r="U76" s="166"/>
      <c r="V76" s="166"/>
      <c r="W76" s="166"/>
      <c r="X76" s="166"/>
      <c r="Y76" s="166"/>
      <c r="Z76" s="166"/>
      <c r="AA76" s="166"/>
      <c r="AB76" s="166"/>
      <c r="AC76" s="166"/>
      <c r="AD76" s="166"/>
      <c r="AE76" s="166"/>
      <c r="AF76" s="166"/>
      <c r="AG76" s="166"/>
      <c r="AH76" s="166"/>
      <c r="AI76" s="166"/>
    </row>
    <row r="77" spans="7:35" x14ac:dyDescent="0.25">
      <c r="G77" s="165"/>
      <c r="H77" s="166"/>
      <c r="I77" s="167"/>
      <c r="J77" s="167"/>
      <c r="K77" s="166"/>
      <c r="L77" s="166"/>
      <c r="M77" s="166"/>
      <c r="N77" s="166"/>
      <c r="O77" s="166"/>
      <c r="P77" s="166"/>
      <c r="Q77" s="166"/>
      <c r="R77" s="166"/>
      <c r="S77" s="166"/>
      <c r="T77" s="166"/>
      <c r="U77" s="166"/>
      <c r="V77" s="166"/>
      <c r="W77" s="166"/>
      <c r="X77" s="166"/>
      <c r="Y77" s="166"/>
      <c r="Z77" s="166"/>
      <c r="AA77" s="166"/>
      <c r="AB77" s="166"/>
      <c r="AC77" s="166"/>
      <c r="AD77" s="166"/>
      <c r="AE77" s="166"/>
      <c r="AF77" s="166"/>
      <c r="AG77" s="166"/>
      <c r="AH77" s="166"/>
      <c r="AI77" s="166"/>
    </row>
    <row r="78" spans="7:35" x14ac:dyDescent="0.25">
      <c r="G78" s="165"/>
      <c r="H78" s="166"/>
      <c r="I78" s="167"/>
      <c r="J78" s="167"/>
      <c r="K78" s="166"/>
      <c r="L78" s="166"/>
      <c r="M78" s="166"/>
      <c r="N78" s="166"/>
      <c r="O78" s="166"/>
      <c r="P78" s="166"/>
      <c r="Q78" s="166"/>
      <c r="R78" s="166"/>
      <c r="S78" s="166"/>
      <c r="T78" s="166"/>
      <c r="U78" s="166"/>
      <c r="V78" s="166"/>
      <c r="W78" s="166"/>
      <c r="X78" s="166"/>
      <c r="Y78" s="166"/>
      <c r="Z78" s="166"/>
      <c r="AA78" s="166"/>
      <c r="AB78" s="166"/>
      <c r="AC78" s="166"/>
      <c r="AD78" s="166"/>
      <c r="AE78" s="166"/>
      <c r="AF78" s="166"/>
      <c r="AG78" s="166"/>
      <c r="AH78" s="166"/>
      <c r="AI78" s="166"/>
    </row>
    <row r="79" spans="7:35" x14ac:dyDescent="0.25">
      <c r="G79" s="165"/>
      <c r="H79" s="166"/>
      <c r="I79" s="167"/>
      <c r="J79" s="167"/>
      <c r="K79" s="166"/>
      <c r="L79" s="166"/>
      <c r="M79" s="166"/>
      <c r="N79" s="166"/>
      <c r="O79" s="166"/>
      <c r="P79" s="166"/>
      <c r="Q79" s="166"/>
      <c r="R79" s="166"/>
      <c r="S79" s="166"/>
      <c r="T79" s="166"/>
      <c r="U79" s="166"/>
      <c r="V79" s="166"/>
      <c r="W79" s="166"/>
      <c r="X79" s="166"/>
      <c r="Y79" s="166"/>
      <c r="Z79" s="166"/>
      <c r="AA79" s="166"/>
      <c r="AB79" s="166"/>
      <c r="AC79" s="166"/>
      <c r="AD79" s="166"/>
      <c r="AE79" s="166"/>
      <c r="AF79" s="166"/>
      <c r="AG79" s="166"/>
      <c r="AH79" s="166"/>
      <c r="AI79" s="166"/>
    </row>
    <row r="80" spans="7:35" x14ac:dyDescent="0.25">
      <c r="G80" s="165"/>
      <c r="H80" s="166"/>
      <c r="I80" s="167"/>
      <c r="J80" s="167"/>
      <c r="K80" s="166"/>
      <c r="L80" s="166"/>
      <c r="M80" s="166"/>
      <c r="N80" s="166"/>
      <c r="O80" s="166"/>
      <c r="P80" s="166"/>
      <c r="Q80" s="166"/>
      <c r="R80" s="166"/>
      <c r="S80" s="166"/>
      <c r="T80" s="166"/>
      <c r="U80" s="166"/>
      <c r="V80" s="166"/>
      <c r="W80" s="166"/>
      <c r="X80" s="166"/>
      <c r="Y80" s="166"/>
      <c r="Z80" s="166"/>
      <c r="AA80" s="166"/>
      <c r="AB80" s="166"/>
      <c r="AC80" s="166"/>
      <c r="AD80" s="166"/>
      <c r="AE80" s="166"/>
      <c r="AF80" s="166"/>
      <c r="AG80" s="166"/>
      <c r="AH80" s="166"/>
      <c r="AI80" s="166"/>
    </row>
    <row r="81" spans="7:35" x14ac:dyDescent="0.25">
      <c r="G81" s="165"/>
      <c r="H81" s="166"/>
      <c r="I81" s="167"/>
      <c r="J81" s="167"/>
      <c r="K81" s="166"/>
      <c r="L81" s="166"/>
      <c r="M81" s="166"/>
      <c r="N81" s="166"/>
      <c r="O81" s="166"/>
      <c r="P81" s="166"/>
      <c r="Q81" s="166"/>
      <c r="R81" s="166"/>
      <c r="S81" s="166"/>
      <c r="T81" s="166"/>
      <c r="U81" s="166"/>
      <c r="V81" s="166"/>
      <c r="W81" s="166"/>
      <c r="X81" s="166"/>
      <c r="Y81" s="166"/>
      <c r="Z81" s="166"/>
      <c r="AA81" s="166"/>
      <c r="AB81" s="166"/>
      <c r="AC81" s="166"/>
      <c r="AD81" s="166"/>
      <c r="AE81" s="166"/>
      <c r="AF81" s="166"/>
      <c r="AG81" s="166"/>
      <c r="AH81" s="166"/>
      <c r="AI81" s="166"/>
    </row>
    <row r="82" spans="7:35" x14ac:dyDescent="0.25">
      <c r="G82" s="165"/>
      <c r="H82" s="166"/>
      <c r="I82" s="167"/>
      <c r="J82" s="167"/>
      <c r="K82" s="166"/>
      <c r="L82" s="166"/>
      <c r="M82" s="166"/>
      <c r="N82" s="166"/>
      <c r="O82" s="166"/>
      <c r="P82" s="166"/>
      <c r="Q82" s="166"/>
      <c r="R82" s="166"/>
      <c r="S82" s="166"/>
      <c r="T82" s="166"/>
      <c r="U82" s="166"/>
      <c r="V82" s="166"/>
      <c r="W82" s="166"/>
      <c r="X82" s="166"/>
      <c r="Y82" s="166"/>
      <c r="Z82" s="166"/>
      <c r="AA82" s="166"/>
      <c r="AB82" s="166"/>
      <c r="AC82" s="166"/>
      <c r="AD82" s="166"/>
      <c r="AE82" s="166"/>
      <c r="AF82" s="166"/>
      <c r="AG82" s="166"/>
      <c r="AH82" s="166"/>
      <c r="AI82" s="166"/>
    </row>
    <row r="83" spans="7:35" x14ac:dyDescent="0.25">
      <c r="G83" s="165"/>
      <c r="H83" s="166"/>
      <c r="I83" s="167"/>
      <c r="J83" s="167"/>
      <c r="K83" s="166"/>
      <c r="L83" s="166"/>
      <c r="M83" s="166"/>
      <c r="N83" s="166"/>
      <c r="O83" s="166"/>
      <c r="P83" s="166"/>
      <c r="Q83" s="166"/>
      <c r="R83" s="166"/>
      <c r="S83" s="166"/>
      <c r="T83" s="166"/>
      <c r="U83" s="166"/>
      <c r="V83" s="166"/>
      <c r="W83" s="166"/>
      <c r="X83" s="166"/>
      <c r="Y83" s="166"/>
      <c r="Z83" s="166"/>
      <c r="AA83" s="166"/>
      <c r="AB83" s="166"/>
      <c r="AC83" s="166"/>
      <c r="AD83" s="166"/>
      <c r="AE83" s="166"/>
      <c r="AF83" s="166"/>
      <c r="AG83" s="166"/>
      <c r="AH83" s="166"/>
      <c r="AI83" s="166"/>
    </row>
    <row r="84" spans="7:35" x14ac:dyDescent="0.25">
      <c r="G84" s="165"/>
      <c r="H84" s="166"/>
      <c r="I84" s="167"/>
      <c r="J84" s="167"/>
      <c r="K84" s="166"/>
      <c r="L84" s="166"/>
      <c r="M84" s="166"/>
      <c r="N84" s="166"/>
      <c r="O84" s="166"/>
      <c r="P84" s="166"/>
      <c r="Q84" s="166"/>
      <c r="R84" s="166"/>
      <c r="S84" s="166"/>
      <c r="T84" s="166"/>
      <c r="U84" s="166"/>
      <c r="V84" s="166"/>
      <c r="W84" s="166"/>
      <c r="X84" s="166"/>
      <c r="Y84" s="166"/>
      <c r="Z84" s="166"/>
      <c r="AA84" s="166"/>
      <c r="AB84" s="166"/>
      <c r="AC84" s="166"/>
      <c r="AD84" s="166"/>
      <c r="AE84" s="166"/>
      <c r="AF84" s="166"/>
      <c r="AG84" s="166"/>
      <c r="AH84" s="166"/>
      <c r="AI84" s="166"/>
    </row>
    <row r="85" spans="7:35" x14ac:dyDescent="0.25">
      <c r="G85" s="165"/>
      <c r="H85" s="166"/>
      <c r="I85" s="167"/>
      <c r="J85" s="167"/>
      <c r="K85" s="166"/>
      <c r="L85" s="166"/>
      <c r="M85" s="166"/>
      <c r="N85" s="166"/>
      <c r="O85" s="166"/>
      <c r="P85" s="166"/>
      <c r="Q85" s="166"/>
      <c r="R85" s="166"/>
      <c r="S85" s="166"/>
      <c r="T85" s="166"/>
      <c r="U85" s="166"/>
      <c r="V85" s="166"/>
      <c r="W85" s="166"/>
      <c r="X85" s="166"/>
      <c r="Y85" s="166"/>
      <c r="Z85" s="166"/>
      <c r="AA85" s="166"/>
      <c r="AB85" s="166"/>
      <c r="AC85" s="166"/>
      <c r="AD85" s="166"/>
      <c r="AE85" s="166"/>
      <c r="AF85" s="166"/>
      <c r="AG85" s="166"/>
      <c r="AH85" s="166"/>
      <c r="AI85" s="166"/>
    </row>
    <row r="86" spans="7:35" x14ac:dyDescent="0.25">
      <c r="G86" s="165"/>
      <c r="H86" s="166"/>
      <c r="I86" s="167"/>
      <c r="J86" s="167"/>
      <c r="K86" s="166"/>
      <c r="L86" s="166"/>
      <c r="M86" s="166"/>
      <c r="N86" s="166"/>
      <c r="O86" s="166"/>
      <c r="P86" s="166"/>
      <c r="Q86" s="166"/>
      <c r="R86" s="166"/>
      <c r="S86" s="166"/>
      <c r="T86" s="166"/>
      <c r="U86" s="166"/>
      <c r="V86" s="166"/>
      <c r="W86" s="166"/>
      <c r="X86" s="166"/>
      <c r="Y86" s="166"/>
      <c r="Z86" s="166"/>
      <c r="AA86" s="166"/>
      <c r="AB86" s="166"/>
      <c r="AC86" s="166"/>
      <c r="AD86" s="166"/>
      <c r="AE86" s="166"/>
      <c r="AF86" s="166"/>
      <c r="AG86" s="166"/>
      <c r="AH86" s="166"/>
      <c r="AI86" s="166"/>
    </row>
    <row r="87" spans="7:35" x14ac:dyDescent="0.25">
      <c r="G87" s="165"/>
      <c r="H87" s="166"/>
      <c r="I87" s="167"/>
      <c r="J87" s="167"/>
      <c r="K87" s="166"/>
      <c r="L87" s="166"/>
      <c r="M87" s="166"/>
      <c r="N87" s="166"/>
      <c r="O87" s="166"/>
      <c r="P87" s="166"/>
      <c r="Q87" s="166"/>
      <c r="R87" s="166"/>
      <c r="S87" s="166"/>
      <c r="T87" s="166"/>
      <c r="U87" s="166"/>
      <c r="V87" s="166"/>
      <c r="W87" s="166"/>
      <c r="X87" s="166"/>
      <c r="Y87" s="166"/>
      <c r="Z87" s="166"/>
      <c r="AA87" s="166"/>
      <c r="AB87" s="166"/>
      <c r="AC87" s="166"/>
      <c r="AD87" s="166"/>
      <c r="AE87" s="166"/>
      <c r="AF87" s="166"/>
      <c r="AG87" s="166"/>
      <c r="AH87" s="166"/>
      <c r="AI87" s="166"/>
    </row>
    <row r="88" spans="7:35" x14ac:dyDescent="0.25">
      <c r="G88" s="165"/>
      <c r="H88" s="166"/>
      <c r="I88" s="167"/>
      <c r="J88" s="167"/>
      <c r="K88" s="166"/>
      <c r="L88" s="166"/>
      <c r="M88" s="166"/>
      <c r="N88" s="166"/>
      <c r="O88" s="166"/>
      <c r="P88" s="166"/>
      <c r="Q88" s="166"/>
      <c r="R88" s="166"/>
      <c r="S88" s="166"/>
      <c r="T88" s="166"/>
      <c r="U88" s="166"/>
      <c r="V88" s="166"/>
      <c r="W88" s="166"/>
      <c r="X88" s="166"/>
      <c r="Y88" s="166"/>
      <c r="Z88" s="166"/>
      <c r="AA88" s="166"/>
      <c r="AB88" s="166"/>
      <c r="AC88" s="166"/>
      <c r="AD88" s="166"/>
      <c r="AE88" s="166"/>
      <c r="AF88" s="166"/>
      <c r="AG88" s="166"/>
      <c r="AH88" s="166"/>
      <c r="AI88" s="166"/>
    </row>
    <row r="89" spans="7:35" x14ac:dyDescent="0.25">
      <c r="G89" s="165"/>
      <c r="H89" s="166"/>
      <c r="I89" s="167"/>
      <c r="J89" s="167"/>
      <c r="K89" s="166"/>
      <c r="L89" s="166"/>
      <c r="M89" s="166"/>
      <c r="N89" s="166"/>
      <c r="O89" s="166"/>
      <c r="P89" s="166"/>
      <c r="Q89" s="166"/>
      <c r="R89" s="166"/>
      <c r="S89" s="166"/>
      <c r="T89" s="166"/>
      <c r="U89" s="166"/>
      <c r="V89" s="166"/>
      <c r="W89" s="166"/>
      <c r="X89" s="166"/>
      <c r="Y89" s="166"/>
      <c r="Z89" s="166"/>
      <c r="AA89" s="166"/>
      <c r="AB89" s="166"/>
      <c r="AC89" s="166"/>
      <c r="AD89" s="166"/>
      <c r="AE89" s="166"/>
      <c r="AF89" s="166"/>
      <c r="AG89" s="166"/>
      <c r="AH89" s="166"/>
      <c r="AI89" s="166"/>
    </row>
    <row r="90" spans="7:35" x14ac:dyDescent="0.25">
      <c r="G90" s="165"/>
      <c r="H90" s="166"/>
      <c r="I90" s="167"/>
      <c r="J90" s="167"/>
      <c r="K90" s="166"/>
      <c r="L90" s="166"/>
      <c r="M90" s="166"/>
      <c r="N90" s="166"/>
      <c r="O90" s="166"/>
      <c r="P90" s="166"/>
      <c r="Q90" s="166"/>
      <c r="R90" s="166"/>
      <c r="S90" s="166"/>
      <c r="T90" s="166"/>
      <c r="U90" s="166"/>
      <c r="V90" s="166"/>
      <c r="W90" s="166"/>
      <c r="X90" s="166"/>
      <c r="Y90" s="166"/>
      <c r="Z90" s="166"/>
      <c r="AA90" s="166"/>
      <c r="AB90" s="166"/>
      <c r="AC90" s="166"/>
      <c r="AD90" s="166"/>
      <c r="AE90" s="166"/>
      <c r="AF90" s="166"/>
      <c r="AG90" s="166"/>
      <c r="AH90" s="166"/>
      <c r="AI90" s="166"/>
    </row>
    <row r="91" spans="7:35" x14ac:dyDescent="0.25">
      <c r="G91" s="165"/>
      <c r="H91" s="166"/>
      <c r="I91" s="167"/>
      <c r="J91" s="167"/>
      <c r="K91" s="166"/>
      <c r="L91" s="166"/>
      <c r="M91" s="166"/>
      <c r="N91" s="166"/>
      <c r="O91" s="166"/>
      <c r="P91" s="166"/>
      <c r="Q91" s="166"/>
      <c r="R91" s="166"/>
      <c r="S91" s="166"/>
      <c r="T91" s="166"/>
      <c r="U91" s="166"/>
      <c r="V91" s="166"/>
      <c r="W91" s="166"/>
      <c r="X91" s="166"/>
      <c r="Y91" s="166"/>
      <c r="Z91" s="166"/>
      <c r="AA91" s="166"/>
      <c r="AB91" s="166"/>
      <c r="AC91" s="166"/>
      <c r="AD91" s="166"/>
      <c r="AE91" s="166"/>
      <c r="AF91" s="166"/>
      <c r="AG91" s="166"/>
      <c r="AH91" s="166"/>
      <c r="AI91" s="166"/>
    </row>
    <row r="92" spans="7:35" x14ac:dyDescent="0.25">
      <c r="G92" s="165"/>
      <c r="H92" s="166"/>
      <c r="I92" s="167"/>
      <c r="J92" s="167"/>
      <c r="K92" s="166"/>
      <c r="L92" s="166"/>
      <c r="M92" s="166"/>
      <c r="N92" s="166"/>
      <c r="O92" s="166"/>
      <c r="P92" s="166"/>
      <c r="Q92" s="166"/>
      <c r="R92" s="166"/>
      <c r="S92" s="166"/>
      <c r="T92" s="166"/>
      <c r="U92" s="166"/>
      <c r="V92" s="166"/>
      <c r="W92" s="166"/>
      <c r="X92" s="166"/>
      <c r="Y92" s="166"/>
      <c r="Z92" s="166"/>
      <c r="AA92" s="166"/>
      <c r="AB92" s="166"/>
      <c r="AC92" s="166"/>
      <c r="AD92" s="166"/>
      <c r="AE92" s="166"/>
      <c r="AF92" s="166"/>
      <c r="AG92" s="166"/>
      <c r="AH92" s="166"/>
      <c r="AI92" s="166"/>
    </row>
    <row r="93" spans="7:35" x14ac:dyDescent="0.25">
      <c r="G93" s="165"/>
      <c r="H93" s="166"/>
      <c r="I93" s="167"/>
      <c r="J93" s="167"/>
      <c r="K93" s="166"/>
      <c r="L93" s="166"/>
      <c r="M93" s="166"/>
      <c r="N93" s="166"/>
      <c r="O93" s="166"/>
      <c r="P93" s="166"/>
      <c r="Q93" s="166"/>
      <c r="R93" s="166"/>
      <c r="S93" s="166"/>
      <c r="T93" s="166"/>
      <c r="U93" s="166"/>
      <c r="V93" s="166"/>
      <c r="W93" s="166"/>
      <c r="X93" s="166"/>
      <c r="Y93" s="166"/>
      <c r="Z93" s="166"/>
      <c r="AA93" s="166"/>
      <c r="AB93" s="166"/>
      <c r="AC93" s="166"/>
      <c r="AD93" s="166"/>
      <c r="AE93" s="166"/>
      <c r="AF93" s="166"/>
      <c r="AG93" s="166"/>
      <c r="AH93" s="166"/>
      <c r="AI93" s="166"/>
    </row>
    <row r="94" spans="7:35" x14ac:dyDescent="0.25">
      <c r="G94" s="165"/>
      <c r="H94" s="166"/>
      <c r="I94" s="167"/>
      <c r="J94" s="167"/>
      <c r="K94" s="166"/>
      <c r="L94" s="166"/>
      <c r="M94" s="166"/>
      <c r="N94" s="166"/>
      <c r="O94" s="166"/>
      <c r="P94" s="166"/>
      <c r="Q94" s="166"/>
      <c r="R94" s="166"/>
      <c r="S94" s="166"/>
      <c r="T94" s="166"/>
      <c r="U94" s="166"/>
      <c r="V94" s="166"/>
      <c r="W94" s="166"/>
      <c r="X94" s="166"/>
      <c r="Y94" s="166"/>
      <c r="Z94" s="166"/>
      <c r="AA94" s="166"/>
      <c r="AB94" s="166"/>
      <c r="AC94" s="166"/>
      <c r="AD94" s="166"/>
      <c r="AE94" s="166"/>
      <c r="AF94" s="166"/>
      <c r="AG94" s="166"/>
      <c r="AH94" s="166"/>
      <c r="AI94" s="166"/>
    </row>
    <row r="95" spans="7:35" x14ac:dyDescent="0.25">
      <c r="G95" s="165"/>
      <c r="H95" s="166"/>
      <c r="I95" s="167"/>
      <c r="J95" s="167"/>
      <c r="K95" s="166"/>
      <c r="L95" s="166"/>
      <c r="M95" s="166"/>
      <c r="N95" s="166"/>
      <c r="O95" s="166"/>
      <c r="P95" s="166"/>
      <c r="Q95" s="166"/>
      <c r="R95" s="166"/>
      <c r="S95" s="166"/>
      <c r="T95" s="166"/>
      <c r="U95" s="166"/>
      <c r="V95" s="166"/>
      <c r="W95" s="166"/>
      <c r="X95" s="166"/>
      <c r="Y95" s="166"/>
      <c r="Z95" s="166"/>
      <c r="AA95" s="166"/>
      <c r="AB95" s="166"/>
      <c r="AC95" s="166"/>
      <c r="AD95" s="166"/>
      <c r="AE95" s="166"/>
      <c r="AF95" s="166"/>
      <c r="AG95" s="166"/>
      <c r="AH95" s="166"/>
      <c r="AI95" s="166"/>
    </row>
    <row r="96" spans="7:35" x14ac:dyDescent="0.25">
      <c r="G96" s="165"/>
      <c r="H96" s="166"/>
      <c r="I96" s="167"/>
      <c r="J96" s="167"/>
      <c r="K96" s="166"/>
      <c r="L96" s="166"/>
      <c r="M96" s="166"/>
      <c r="N96" s="166"/>
      <c r="O96" s="166"/>
      <c r="P96" s="166"/>
      <c r="Q96" s="166"/>
      <c r="R96" s="166"/>
      <c r="S96" s="166"/>
      <c r="T96" s="166"/>
      <c r="U96" s="166"/>
      <c r="V96" s="166"/>
      <c r="W96" s="166"/>
      <c r="X96" s="166"/>
      <c r="Y96" s="166"/>
      <c r="Z96" s="166"/>
      <c r="AA96" s="166"/>
      <c r="AB96" s="166"/>
      <c r="AC96" s="166"/>
      <c r="AD96" s="166"/>
      <c r="AE96" s="166"/>
      <c r="AF96" s="166"/>
      <c r="AG96" s="166"/>
      <c r="AH96" s="166"/>
      <c r="AI96" s="166"/>
    </row>
    <row r="97" spans="7:35" x14ac:dyDescent="0.25">
      <c r="G97" s="165"/>
      <c r="H97" s="166"/>
      <c r="I97" s="167"/>
      <c r="J97" s="167"/>
      <c r="K97" s="166"/>
      <c r="L97" s="166"/>
      <c r="M97" s="166"/>
      <c r="N97" s="166"/>
      <c r="O97" s="166"/>
      <c r="P97" s="166"/>
      <c r="Q97" s="166"/>
      <c r="R97" s="166"/>
      <c r="S97" s="166"/>
      <c r="T97" s="166"/>
      <c r="U97" s="166"/>
      <c r="V97" s="166"/>
      <c r="W97" s="166"/>
      <c r="X97" s="166"/>
      <c r="Y97" s="166"/>
      <c r="Z97" s="166"/>
      <c r="AA97" s="166"/>
      <c r="AB97" s="166"/>
      <c r="AC97" s="166"/>
      <c r="AD97" s="166"/>
      <c r="AE97" s="166"/>
      <c r="AF97" s="166"/>
      <c r="AG97" s="166"/>
      <c r="AH97" s="166"/>
      <c r="AI97" s="166"/>
    </row>
    <row r="98" spans="7:35" x14ac:dyDescent="0.25">
      <c r="G98" s="165"/>
      <c r="H98" s="166"/>
      <c r="I98" s="167"/>
      <c r="J98" s="167"/>
      <c r="K98" s="166"/>
      <c r="L98" s="166"/>
      <c r="M98" s="166"/>
      <c r="N98" s="166"/>
      <c r="O98" s="166"/>
      <c r="P98" s="166"/>
      <c r="Q98" s="166"/>
      <c r="R98" s="166"/>
      <c r="S98" s="166"/>
      <c r="T98" s="166"/>
      <c r="U98" s="166"/>
      <c r="V98" s="166"/>
      <c r="W98" s="166"/>
      <c r="X98" s="166"/>
      <c r="Y98" s="166"/>
      <c r="Z98" s="166"/>
      <c r="AA98" s="166"/>
      <c r="AB98" s="166"/>
      <c r="AC98" s="166"/>
      <c r="AD98" s="166"/>
      <c r="AE98" s="166"/>
      <c r="AF98" s="166"/>
      <c r="AG98" s="166"/>
      <c r="AH98" s="166"/>
      <c r="AI98" s="166"/>
    </row>
    <row r="99" spans="7:35" x14ac:dyDescent="0.25">
      <c r="G99" s="165"/>
      <c r="H99" s="166"/>
      <c r="I99" s="167"/>
      <c r="J99" s="167"/>
      <c r="K99" s="166"/>
      <c r="L99" s="166"/>
      <c r="M99" s="166"/>
      <c r="N99" s="166"/>
      <c r="O99" s="166"/>
      <c r="P99" s="166"/>
      <c r="Q99" s="166"/>
      <c r="R99" s="166"/>
      <c r="S99" s="166"/>
      <c r="T99" s="166"/>
      <c r="U99" s="166"/>
      <c r="V99" s="166"/>
      <c r="W99" s="166"/>
      <c r="X99" s="166"/>
      <c r="Y99" s="166"/>
      <c r="Z99" s="166"/>
      <c r="AA99" s="166"/>
      <c r="AB99" s="166"/>
      <c r="AC99" s="166"/>
      <c r="AD99" s="166"/>
      <c r="AE99" s="166"/>
      <c r="AF99" s="166"/>
      <c r="AG99" s="166"/>
      <c r="AH99" s="166"/>
      <c r="AI99" s="166"/>
    </row>
    <row r="100" spans="7:35" x14ac:dyDescent="0.25">
      <c r="G100" s="165"/>
      <c r="H100" s="166"/>
      <c r="I100" s="167"/>
      <c r="J100" s="167"/>
      <c r="K100" s="166"/>
      <c r="L100" s="166"/>
      <c r="M100" s="166"/>
      <c r="N100" s="166"/>
      <c r="O100" s="166"/>
      <c r="P100" s="166"/>
      <c r="Q100" s="166"/>
      <c r="R100" s="166"/>
      <c r="S100" s="166"/>
      <c r="T100" s="166"/>
      <c r="U100" s="166"/>
      <c r="V100" s="166"/>
      <c r="W100" s="166"/>
      <c r="X100" s="166"/>
      <c r="Y100" s="166"/>
      <c r="Z100" s="166"/>
      <c r="AA100" s="166"/>
      <c r="AB100" s="166"/>
      <c r="AC100" s="166"/>
      <c r="AD100" s="166"/>
      <c r="AE100" s="166"/>
      <c r="AF100" s="166"/>
      <c r="AG100" s="166"/>
      <c r="AH100" s="166"/>
      <c r="AI100" s="166"/>
    </row>
    <row r="101" spans="7:35" x14ac:dyDescent="0.25">
      <c r="G101" s="165"/>
      <c r="H101" s="166"/>
      <c r="I101" s="167"/>
      <c r="J101" s="167"/>
      <c r="K101" s="166"/>
      <c r="L101" s="166"/>
      <c r="M101" s="166"/>
      <c r="N101" s="166"/>
      <c r="O101" s="166"/>
      <c r="P101" s="166"/>
      <c r="Q101" s="166"/>
      <c r="R101" s="166"/>
      <c r="S101" s="166"/>
      <c r="T101" s="166"/>
      <c r="U101" s="166"/>
      <c r="V101" s="166"/>
      <c r="W101" s="166"/>
      <c r="X101" s="166"/>
      <c r="Y101" s="166"/>
      <c r="Z101" s="166"/>
      <c r="AA101" s="166"/>
      <c r="AB101" s="166"/>
      <c r="AC101" s="166"/>
      <c r="AD101" s="166"/>
      <c r="AE101" s="166"/>
      <c r="AF101" s="166"/>
      <c r="AG101" s="166"/>
      <c r="AH101" s="166"/>
      <c r="AI101" s="166"/>
    </row>
    <row r="102" spans="7:35" x14ac:dyDescent="0.25">
      <c r="G102" s="165"/>
      <c r="H102" s="166"/>
      <c r="I102" s="167"/>
      <c r="J102" s="167"/>
      <c r="K102" s="166"/>
      <c r="L102" s="166"/>
      <c r="M102" s="166"/>
      <c r="N102" s="166"/>
      <c r="O102" s="166"/>
      <c r="P102" s="166"/>
      <c r="Q102" s="166"/>
      <c r="R102" s="166"/>
      <c r="S102" s="166"/>
      <c r="T102" s="166"/>
      <c r="U102" s="166"/>
      <c r="V102" s="166"/>
      <c r="W102" s="166"/>
      <c r="X102" s="166"/>
      <c r="Y102" s="166"/>
      <c r="Z102" s="166"/>
      <c r="AA102" s="166"/>
      <c r="AB102" s="166"/>
      <c r="AC102" s="166"/>
      <c r="AD102" s="166"/>
      <c r="AE102" s="166"/>
      <c r="AF102" s="166"/>
      <c r="AG102" s="166"/>
      <c r="AH102" s="166"/>
      <c r="AI102" s="166"/>
    </row>
    <row r="103" spans="7:35" x14ac:dyDescent="0.25">
      <c r="G103" s="165"/>
      <c r="H103" s="166"/>
      <c r="I103" s="167"/>
      <c r="J103" s="167"/>
      <c r="K103" s="166"/>
      <c r="L103" s="166"/>
      <c r="M103" s="166"/>
      <c r="N103" s="166"/>
      <c r="O103" s="166"/>
      <c r="P103" s="166"/>
      <c r="Q103" s="166"/>
      <c r="R103" s="166"/>
      <c r="S103" s="166"/>
      <c r="T103" s="166"/>
      <c r="U103" s="166"/>
      <c r="V103" s="166"/>
      <c r="W103" s="166"/>
      <c r="X103" s="166"/>
      <c r="Y103" s="166"/>
      <c r="Z103" s="166"/>
      <c r="AA103" s="166"/>
      <c r="AB103" s="166"/>
      <c r="AC103" s="166"/>
      <c r="AD103" s="166"/>
      <c r="AE103" s="166"/>
      <c r="AF103" s="166"/>
      <c r="AG103" s="166"/>
      <c r="AH103" s="166"/>
      <c r="AI103" s="166"/>
    </row>
    <row r="104" spans="7:35" x14ac:dyDescent="0.25">
      <c r="G104" s="165"/>
      <c r="H104" s="166"/>
      <c r="I104" s="167"/>
      <c r="J104" s="167"/>
      <c r="K104" s="166"/>
      <c r="L104" s="166"/>
      <c r="M104" s="166"/>
      <c r="N104" s="166"/>
      <c r="O104" s="166"/>
      <c r="P104" s="166"/>
      <c r="Q104" s="166"/>
      <c r="R104" s="166"/>
      <c r="S104" s="166"/>
      <c r="T104" s="166"/>
      <c r="U104" s="166"/>
      <c r="V104" s="166"/>
      <c r="W104" s="166"/>
      <c r="X104" s="166"/>
      <c r="Y104" s="166"/>
      <c r="Z104" s="166"/>
      <c r="AA104" s="166"/>
      <c r="AB104" s="166"/>
      <c r="AC104" s="166"/>
      <c r="AD104" s="166"/>
      <c r="AE104" s="166"/>
      <c r="AF104" s="166"/>
      <c r="AG104" s="166"/>
      <c r="AH104" s="166"/>
      <c r="AI104" s="166"/>
    </row>
    <row r="105" spans="7:35" x14ac:dyDescent="0.25">
      <c r="G105" s="165"/>
      <c r="H105" s="166"/>
      <c r="I105" s="167"/>
      <c r="J105" s="167"/>
      <c r="K105" s="166"/>
      <c r="L105" s="166"/>
      <c r="M105" s="166"/>
      <c r="N105" s="166"/>
      <c r="O105" s="166"/>
      <c r="P105" s="166"/>
      <c r="Q105" s="166"/>
      <c r="R105" s="166"/>
      <c r="S105" s="166"/>
      <c r="T105" s="166"/>
      <c r="U105" s="166"/>
      <c r="V105" s="166"/>
      <c r="W105" s="166"/>
      <c r="X105" s="166"/>
      <c r="Y105" s="166"/>
      <c r="Z105" s="166"/>
      <c r="AA105" s="166"/>
      <c r="AB105" s="166"/>
      <c r="AC105" s="166"/>
      <c r="AD105" s="166"/>
      <c r="AE105" s="166"/>
      <c r="AF105" s="166"/>
      <c r="AG105" s="166"/>
      <c r="AH105" s="166"/>
      <c r="AI105" s="166"/>
    </row>
    <row r="106" spans="7:35" x14ac:dyDescent="0.25">
      <c r="G106" s="165"/>
      <c r="H106" s="166"/>
      <c r="I106" s="167"/>
      <c r="J106" s="167"/>
      <c r="K106" s="166"/>
      <c r="L106" s="166"/>
      <c r="M106" s="166"/>
      <c r="N106" s="166"/>
      <c r="O106" s="166"/>
      <c r="P106" s="166"/>
      <c r="Q106" s="166"/>
      <c r="R106" s="166"/>
      <c r="S106" s="166"/>
      <c r="T106" s="166"/>
      <c r="U106" s="166"/>
      <c r="V106" s="166"/>
      <c r="W106" s="166"/>
      <c r="X106" s="166"/>
      <c r="Y106" s="166"/>
      <c r="Z106" s="166"/>
      <c r="AA106" s="166"/>
      <c r="AB106" s="166"/>
      <c r="AC106" s="166"/>
      <c r="AD106" s="166"/>
      <c r="AE106" s="166"/>
      <c r="AF106" s="166"/>
      <c r="AG106" s="166"/>
      <c r="AH106" s="166"/>
      <c r="AI106" s="166"/>
    </row>
    <row r="107" spans="7:35" x14ac:dyDescent="0.25">
      <c r="G107" s="165"/>
      <c r="H107" s="166"/>
      <c r="I107" s="167"/>
      <c r="J107" s="167"/>
      <c r="K107" s="166"/>
      <c r="L107" s="166"/>
      <c r="M107" s="166"/>
      <c r="N107" s="166"/>
      <c r="O107" s="166"/>
      <c r="P107" s="166"/>
      <c r="Q107" s="166"/>
      <c r="R107" s="166"/>
      <c r="S107" s="166"/>
      <c r="T107" s="166"/>
      <c r="U107" s="166"/>
      <c r="V107" s="166"/>
      <c r="W107" s="166"/>
      <c r="X107" s="166"/>
      <c r="Y107" s="166"/>
      <c r="Z107" s="166"/>
      <c r="AA107" s="166"/>
      <c r="AB107" s="166"/>
      <c r="AC107" s="166"/>
      <c r="AD107" s="166"/>
      <c r="AE107" s="166"/>
      <c r="AF107" s="166"/>
      <c r="AG107" s="166"/>
      <c r="AH107" s="166"/>
      <c r="AI107" s="166"/>
    </row>
    <row r="108" spans="7:35" x14ac:dyDescent="0.25">
      <c r="G108" s="165"/>
      <c r="H108" s="166"/>
      <c r="I108" s="167"/>
      <c r="J108" s="167"/>
      <c r="K108" s="166"/>
      <c r="L108" s="166"/>
      <c r="M108" s="166"/>
      <c r="N108" s="166"/>
      <c r="O108" s="166"/>
      <c r="P108" s="166"/>
      <c r="Q108" s="166"/>
      <c r="R108" s="166"/>
      <c r="S108" s="166"/>
      <c r="T108" s="166"/>
      <c r="U108" s="166"/>
      <c r="V108" s="166"/>
      <c r="W108" s="166"/>
      <c r="X108" s="166"/>
      <c r="Y108" s="166"/>
      <c r="Z108" s="166"/>
      <c r="AA108" s="166"/>
      <c r="AB108" s="166"/>
      <c r="AC108" s="166"/>
      <c r="AD108" s="166"/>
      <c r="AE108" s="166"/>
      <c r="AF108" s="166"/>
      <c r="AG108" s="166"/>
      <c r="AH108" s="166"/>
      <c r="AI108" s="166"/>
    </row>
    <row r="109" spans="7:35" x14ac:dyDescent="0.25">
      <c r="G109" s="165"/>
      <c r="H109" s="166"/>
      <c r="I109" s="167"/>
      <c r="J109" s="167"/>
      <c r="K109" s="166"/>
      <c r="L109" s="166"/>
      <c r="M109" s="166"/>
      <c r="N109" s="166"/>
      <c r="O109" s="166"/>
      <c r="P109" s="166"/>
      <c r="Q109" s="166"/>
      <c r="R109" s="166"/>
      <c r="S109" s="166"/>
      <c r="T109" s="166"/>
      <c r="U109" s="166"/>
      <c r="V109" s="166"/>
      <c r="W109" s="166"/>
      <c r="X109" s="166"/>
      <c r="Y109" s="166"/>
      <c r="Z109" s="166"/>
      <c r="AA109" s="166"/>
      <c r="AB109" s="166"/>
      <c r="AC109" s="166"/>
      <c r="AD109" s="166"/>
      <c r="AE109" s="166"/>
      <c r="AF109" s="166"/>
      <c r="AG109" s="166"/>
      <c r="AH109" s="166"/>
      <c r="AI109" s="166"/>
    </row>
    <row r="110" spans="7:35" x14ac:dyDescent="0.25">
      <c r="G110" s="165"/>
      <c r="H110" s="166"/>
      <c r="I110" s="167"/>
      <c r="J110" s="167"/>
      <c r="K110" s="166"/>
      <c r="L110" s="166"/>
      <c r="M110" s="166"/>
      <c r="N110" s="166"/>
      <c r="O110" s="166"/>
      <c r="P110" s="166"/>
      <c r="Q110" s="166"/>
      <c r="R110" s="166"/>
      <c r="S110" s="166"/>
      <c r="T110" s="166"/>
      <c r="U110" s="166"/>
      <c r="V110" s="166"/>
      <c r="W110" s="166"/>
      <c r="X110" s="166"/>
      <c r="Y110" s="166"/>
      <c r="Z110" s="166"/>
      <c r="AA110" s="166"/>
      <c r="AB110" s="166"/>
      <c r="AC110" s="166"/>
      <c r="AD110" s="166"/>
      <c r="AE110" s="166"/>
      <c r="AF110" s="166"/>
      <c r="AG110" s="166"/>
      <c r="AH110" s="166"/>
      <c r="AI110" s="166"/>
    </row>
    <row r="111" spans="7:35" x14ac:dyDescent="0.25">
      <c r="G111" s="165"/>
      <c r="H111" s="166"/>
      <c r="I111" s="167"/>
      <c r="J111" s="167"/>
      <c r="K111" s="166"/>
      <c r="L111" s="166"/>
      <c r="M111" s="166"/>
      <c r="N111" s="166"/>
      <c r="O111" s="166"/>
      <c r="P111" s="166"/>
      <c r="Q111" s="166"/>
      <c r="R111" s="166"/>
      <c r="S111" s="166"/>
      <c r="T111" s="166"/>
      <c r="U111" s="166"/>
      <c r="V111" s="166"/>
      <c r="W111" s="166"/>
      <c r="X111" s="166"/>
      <c r="Y111" s="166"/>
      <c r="Z111" s="166"/>
      <c r="AA111" s="166"/>
      <c r="AB111" s="166"/>
      <c r="AC111" s="166"/>
      <c r="AD111" s="166"/>
      <c r="AE111" s="166"/>
      <c r="AF111" s="166"/>
      <c r="AG111" s="166"/>
      <c r="AH111" s="166"/>
      <c r="AI111" s="166"/>
    </row>
    <row r="112" spans="7:35" x14ac:dyDescent="0.25">
      <c r="G112" s="165"/>
      <c r="H112" s="166"/>
      <c r="I112" s="167"/>
      <c r="J112" s="167"/>
      <c r="K112" s="166"/>
      <c r="L112" s="166"/>
      <c r="M112" s="166"/>
      <c r="N112" s="166"/>
      <c r="O112" s="166"/>
      <c r="P112" s="166"/>
      <c r="Q112" s="166"/>
      <c r="R112" s="166"/>
      <c r="S112" s="166"/>
      <c r="T112" s="166"/>
      <c r="U112" s="166"/>
      <c r="V112" s="166"/>
      <c r="W112" s="166"/>
      <c r="X112" s="166"/>
      <c r="Y112" s="166"/>
      <c r="Z112" s="166"/>
      <c r="AA112" s="166"/>
      <c r="AB112" s="166"/>
      <c r="AC112" s="166"/>
      <c r="AD112" s="166"/>
      <c r="AE112" s="166"/>
      <c r="AF112" s="166"/>
      <c r="AG112" s="166"/>
      <c r="AH112" s="166"/>
      <c r="AI112" s="166"/>
    </row>
    <row r="113" spans="7:35" x14ac:dyDescent="0.25">
      <c r="G113" s="165"/>
      <c r="H113" s="166"/>
      <c r="I113" s="167"/>
      <c r="J113" s="167"/>
      <c r="K113" s="166"/>
      <c r="L113" s="166"/>
      <c r="M113" s="166"/>
      <c r="N113" s="166"/>
      <c r="O113" s="166"/>
      <c r="P113" s="166"/>
      <c r="Q113" s="166"/>
      <c r="R113" s="166"/>
      <c r="S113" s="166"/>
      <c r="T113" s="166"/>
      <c r="U113" s="166"/>
      <c r="V113" s="166"/>
      <c r="W113" s="166"/>
      <c r="X113" s="166"/>
      <c r="Y113" s="166"/>
      <c r="Z113" s="166"/>
      <c r="AA113" s="166"/>
      <c r="AB113" s="166"/>
      <c r="AC113" s="166"/>
      <c r="AD113" s="166"/>
      <c r="AE113" s="166"/>
      <c r="AF113" s="166"/>
      <c r="AG113" s="166"/>
      <c r="AH113" s="166"/>
      <c r="AI113" s="166"/>
    </row>
    <row r="114" spans="7:35" x14ac:dyDescent="0.25">
      <c r="G114" s="165"/>
      <c r="H114" s="166"/>
      <c r="I114" s="167"/>
      <c r="J114" s="167"/>
      <c r="K114" s="166"/>
      <c r="L114" s="166"/>
      <c r="M114" s="166"/>
      <c r="N114" s="166"/>
      <c r="O114" s="166"/>
      <c r="P114" s="166"/>
      <c r="Q114" s="166"/>
      <c r="R114" s="166"/>
      <c r="S114" s="166"/>
      <c r="T114" s="166"/>
      <c r="U114" s="166"/>
      <c r="V114" s="166"/>
      <c r="W114" s="166"/>
      <c r="X114" s="166"/>
      <c r="Y114" s="166"/>
      <c r="Z114" s="166"/>
      <c r="AA114" s="166"/>
      <c r="AB114" s="166"/>
      <c r="AC114" s="166"/>
      <c r="AD114" s="166"/>
      <c r="AE114" s="166"/>
      <c r="AF114" s="166"/>
      <c r="AG114" s="166"/>
      <c r="AH114" s="166"/>
      <c r="AI114" s="166"/>
    </row>
    <row r="115" spans="7:35" x14ac:dyDescent="0.25">
      <c r="G115" s="165"/>
      <c r="H115" s="166"/>
      <c r="I115" s="167"/>
      <c r="J115" s="167"/>
      <c r="K115" s="166"/>
      <c r="L115" s="166"/>
      <c r="M115" s="166"/>
      <c r="N115" s="166"/>
      <c r="O115" s="166"/>
      <c r="P115" s="166"/>
      <c r="Q115" s="166"/>
      <c r="R115" s="166"/>
      <c r="S115" s="166"/>
      <c r="T115" s="166"/>
      <c r="U115" s="166"/>
      <c r="V115" s="166"/>
      <c r="W115" s="166"/>
      <c r="X115" s="166"/>
      <c r="Y115" s="166"/>
      <c r="Z115" s="166"/>
      <c r="AA115" s="166"/>
      <c r="AB115" s="166"/>
      <c r="AC115" s="166"/>
      <c r="AD115" s="166"/>
      <c r="AE115" s="166"/>
      <c r="AF115" s="166"/>
      <c r="AG115" s="166"/>
      <c r="AH115" s="166"/>
      <c r="AI115" s="166"/>
    </row>
    <row r="116" spans="7:35" x14ac:dyDescent="0.25">
      <c r="G116" s="165"/>
      <c r="H116" s="166"/>
      <c r="I116" s="167"/>
      <c r="J116" s="167"/>
      <c r="K116" s="166"/>
      <c r="L116" s="166"/>
      <c r="M116" s="166"/>
      <c r="N116" s="166"/>
      <c r="O116" s="166"/>
      <c r="P116" s="166"/>
      <c r="Q116" s="166"/>
      <c r="R116" s="166"/>
      <c r="S116" s="166"/>
      <c r="T116" s="166"/>
      <c r="U116" s="166"/>
      <c r="V116" s="166"/>
      <c r="W116" s="166"/>
      <c r="X116" s="166"/>
      <c r="Y116" s="166"/>
      <c r="Z116" s="166"/>
      <c r="AA116" s="166"/>
      <c r="AB116" s="166"/>
      <c r="AC116" s="166"/>
      <c r="AD116" s="166"/>
      <c r="AE116" s="166"/>
      <c r="AF116" s="166"/>
      <c r="AG116" s="166"/>
      <c r="AH116" s="166"/>
      <c r="AI116" s="166"/>
    </row>
    <row r="117" spans="7:35" x14ac:dyDescent="0.25">
      <c r="G117" s="165"/>
      <c r="H117" s="166"/>
      <c r="I117" s="167"/>
      <c r="J117" s="167"/>
      <c r="K117" s="166"/>
      <c r="L117" s="166"/>
      <c r="M117" s="166"/>
      <c r="N117" s="166"/>
      <c r="O117" s="166"/>
      <c r="P117" s="166"/>
      <c r="Q117" s="166"/>
      <c r="R117" s="166"/>
      <c r="S117" s="166"/>
      <c r="T117" s="166"/>
      <c r="U117" s="166"/>
      <c r="V117" s="166"/>
      <c r="W117" s="166"/>
      <c r="X117" s="166"/>
      <c r="Y117" s="166"/>
      <c r="Z117" s="166"/>
      <c r="AA117" s="166"/>
      <c r="AB117" s="166"/>
      <c r="AC117" s="166"/>
      <c r="AD117" s="166"/>
      <c r="AE117" s="166"/>
      <c r="AF117" s="166"/>
      <c r="AG117" s="166"/>
      <c r="AH117" s="166"/>
      <c r="AI117" s="166"/>
    </row>
    <row r="118" spans="7:35" x14ac:dyDescent="0.25">
      <c r="G118" s="165"/>
      <c r="H118" s="166"/>
      <c r="I118" s="167"/>
      <c r="J118" s="167"/>
      <c r="K118" s="166"/>
      <c r="L118" s="166"/>
      <c r="M118" s="166"/>
      <c r="N118" s="166"/>
      <c r="O118" s="166"/>
      <c r="P118" s="166"/>
      <c r="Q118" s="166"/>
      <c r="R118" s="166"/>
      <c r="S118" s="166"/>
      <c r="T118" s="166"/>
      <c r="U118" s="166"/>
      <c r="V118" s="166"/>
      <c r="W118" s="166"/>
      <c r="X118" s="166"/>
      <c r="Y118" s="166"/>
      <c r="Z118" s="166"/>
      <c r="AA118" s="166"/>
      <c r="AB118" s="166"/>
      <c r="AC118" s="166"/>
      <c r="AD118" s="166"/>
      <c r="AE118" s="166"/>
      <c r="AF118" s="166"/>
      <c r="AG118" s="166"/>
      <c r="AH118" s="166"/>
      <c r="AI118" s="166"/>
    </row>
    <row r="119" spans="7:35" x14ac:dyDescent="0.25">
      <c r="G119" s="165"/>
      <c r="H119" s="166"/>
      <c r="I119" s="167"/>
      <c r="J119" s="167"/>
      <c r="K119" s="166"/>
      <c r="L119" s="166"/>
      <c r="M119" s="166"/>
      <c r="N119" s="166"/>
      <c r="O119" s="166"/>
      <c r="P119" s="166"/>
      <c r="Q119" s="166"/>
      <c r="R119" s="166"/>
      <c r="S119" s="166"/>
      <c r="T119" s="166"/>
      <c r="U119" s="166"/>
      <c r="V119" s="166"/>
      <c r="W119" s="166"/>
      <c r="X119" s="166"/>
      <c r="Y119" s="166"/>
      <c r="Z119" s="166"/>
      <c r="AA119" s="166"/>
      <c r="AB119" s="166"/>
      <c r="AC119" s="166"/>
      <c r="AD119" s="166"/>
      <c r="AE119" s="166"/>
      <c r="AF119" s="166"/>
      <c r="AG119" s="166"/>
      <c r="AH119" s="166"/>
      <c r="AI119" s="166"/>
    </row>
    <row r="120" spans="7:35" x14ac:dyDescent="0.25">
      <c r="G120" s="165"/>
      <c r="H120" s="166"/>
      <c r="I120" s="167"/>
      <c r="J120" s="167"/>
      <c r="K120" s="166"/>
      <c r="L120" s="166"/>
      <c r="M120" s="166"/>
      <c r="N120" s="166"/>
      <c r="O120" s="166"/>
      <c r="P120" s="166"/>
      <c r="Q120" s="166"/>
      <c r="R120" s="166"/>
      <c r="S120" s="166"/>
      <c r="T120" s="166"/>
      <c r="U120" s="166"/>
      <c r="V120" s="166"/>
      <c r="W120" s="166"/>
      <c r="X120" s="166"/>
      <c r="Y120" s="166"/>
      <c r="Z120" s="166"/>
      <c r="AA120" s="166"/>
      <c r="AB120" s="166"/>
      <c r="AC120" s="166"/>
      <c r="AD120" s="166"/>
      <c r="AE120" s="166"/>
      <c r="AF120" s="166"/>
      <c r="AG120" s="166"/>
      <c r="AH120" s="166"/>
      <c r="AI120" s="166"/>
    </row>
    <row r="121" spans="7:35" x14ac:dyDescent="0.25">
      <c r="G121" s="165"/>
      <c r="H121" s="166"/>
      <c r="I121" s="167"/>
      <c r="J121" s="167"/>
      <c r="K121" s="166"/>
      <c r="L121" s="166"/>
      <c r="M121" s="166"/>
      <c r="N121" s="166"/>
      <c r="O121" s="166"/>
      <c r="P121" s="166"/>
      <c r="Q121" s="166"/>
      <c r="R121" s="166"/>
      <c r="S121" s="166"/>
      <c r="T121" s="166"/>
      <c r="U121" s="166"/>
      <c r="V121" s="166"/>
      <c r="W121" s="166"/>
      <c r="X121" s="166"/>
      <c r="Y121" s="166"/>
      <c r="Z121" s="166"/>
      <c r="AA121" s="166"/>
      <c r="AB121" s="166"/>
      <c r="AC121" s="166"/>
      <c r="AD121" s="166"/>
      <c r="AE121" s="166"/>
      <c r="AF121" s="166"/>
      <c r="AG121" s="166"/>
      <c r="AH121" s="166"/>
      <c r="AI121" s="166"/>
    </row>
    <row r="122" spans="7:35" x14ac:dyDescent="0.25">
      <c r="G122" s="165"/>
      <c r="H122" s="166"/>
      <c r="I122" s="167"/>
      <c r="J122" s="167"/>
      <c r="K122" s="166"/>
      <c r="L122" s="166"/>
      <c r="M122" s="166"/>
      <c r="N122" s="166"/>
      <c r="O122" s="166"/>
      <c r="P122" s="166"/>
      <c r="Q122" s="166"/>
      <c r="R122" s="166"/>
      <c r="S122" s="166"/>
      <c r="T122" s="166"/>
      <c r="U122" s="166"/>
      <c r="V122" s="166"/>
      <c r="W122" s="166"/>
      <c r="X122" s="166"/>
      <c r="Y122" s="166"/>
      <c r="Z122" s="166"/>
      <c r="AA122" s="166"/>
      <c r="AB122" s="166"/>
      <c r="AC122" s="166"/>
      <c r="AD122" s="166"/>
      <c r="AE122" s="166"/>
      <c r="AF122" s="166"/>
      <c r="AG122" s="166"/>
      <c r="AH122" s="166"/>
      <c r="AI122" s="166"/>
    </row>
    <row r="123" spans="7:35" x14ac:dyDescent="0.25">
      <c r="G123" s="165"/>
      <c r="H123" s="166"/>
      <c r="I123" s="167"/>
      <c r="J123" s="167"/>
      <c r="K123" s="166"/>
      <c r="L123" s="166"/>
      <c r="M123" s="166"/>
      <c r="N123" s="166"/>
      <c r="O123" s="166"/>
      <c r="P123" s="166"/>
      <c r="Q123" s="166"/>
      <c r="R123" s="166"/>
      <c r="S123" s="166"/>
      <c r="T123" s="166"/>
      <c r="U123" s="166"/>
      <c r="V123" s="166"/>
      <c r="W123" s="166"/>
      <c r="X123" s="166"/>
      <c r="Y123" s="166"/>
      <c r="Z123" s="166"/>
      <c r="AA123" s="166"/>
      <c r="AB123" s="166"/>
      <c r="AC123" s="166"/>
      <c r="AD123" s="166"/>
      <c r="AE123" s="166"/>
      <c r="AF123" s="166"/>
      <c r="AG123" s="166"/>
      <c r="AH123" s="166"/>
      <c r="AI123" s="166"/>
    </row>
    <row r="124" spans="7:35" x14ac:dyDescent="0.25">
      <c r="G124" s="165"/>
      <c r="H124" s="166"/>
      <c r="I124" s="167"/>
      <c r="J124" s="167"/>
      <c r="K124" s="166"/>
      <c r="L124" s="166"/>
      <c r="M124" s="166"/>
      <c r="N124" s="166"/>
      <c r="O124" s="166"/>
      <c r="P124" s="166"/>
      <c r="Q124" s="166"/>
      <c r="R124" s="166"/>
      <c r="S124" s="166"/>
      <c r="T124" s="166"/>
      <c r="U124" s="166"/>
      <c r="V124" s="166"/>
      <c r="W124" s="166"/>
      <c r="X124" s="166"/>
      <c r="Y124" s="166"/>
      <c r="Z124" s="166"/>
      <c r="AA124" s="166"/>
      <c r="AB124" s="166"/>
      <c r="AC124" s="166"/>
      <c r="AD124" s="166"/>
      <c r="AE124" s="166"/>
      <c r="AF124" s="166"/>
      <c r="AG124" s="166"/>
      <c r="AH124" s="166"/>
      <c r="AI124" s="166"/>
    </row>
    <row r="125" spans="7:35" x14ac:dyDescent="0.25">
      <c r="G125" s="165"/>
      <c r="H125" s="166"/>
      <c r="I125" s="167"/>
      <c r="J125" s="167"/>
      <c r="K125" s="166"/>
      <c r="L125" s="166"/>
      <c r="M125" s="166"/>
      <c r="N125" s="166"/>
      <c r="O125" s="166"/>
      <c r="P125" s="166"/>
      <c r="Q125" s="166"/>
      <c r="R125" s="166"/>
      <c r="S125" s="166"/>
      <c r="T125" s="166"/>
      <c r="U125" s="166"/>
      <c r="V125" s="166"/>
      <c r="W125" s="166"/>
      <c r="X125" s="166"/>
      <c r="Y125" s="166"/>
      <c r="Z125" s="166"/>
      <c r="AA125" s="166"/>
      <c r="AB125" s="166"/>
      <c r="AC125" s="166"/>
      <c r="AD125" s="166"/>
      <c r="AE125" s="166"/>
      <c r="AF125" s="166"/>
      <c r="AG125" s="166"/>
      <c r="AH125" s="166"/>
      <c r="AI125" s="166"/>
    </row>
    <row r="126" spans="7:35" x14ac:dyDescent="0.25">
      <c r="G126" s="165"/>
      <c r="H126" s="166"/>
      <c r="I126" s="167"/>
      <c r="J126" s="167"/>
      <c r="K126" s="166"/>
      <c r="L126" s="166"/>
      <c r="M126" s="166"/>
      <c r="N126" s="166"/>
      <c r="O126" s="166"/>
      <c r="P126" s="166"/>
      <c r="Q126" s="166"/>
      <c r="R126" s="166"/>
      <c r="S126" s="166"/>
      <c r="T126" s="166"/>
      <c r="U126" s="166"/>
      <c r="V126" s="166"/>
      <c r="W126" s="166"/>
      <c r="X126" s="166"/>
      <c r="Y126" s="166"/>
      <c r="Z126" s="166"/>
      <c r="AA126" s="166"/>
      <c r="AB126" s="166"/>
      <c r="AC126" s="166"/>
      <c r="AD126" s="166"/>
      <c r="AE126" s="166"/>
      <c r="AF126" s="166"/>
      <c r="AG126" s="166"/>
      <c r="AH126" s="166"/>
      <c r="AI126" s="166"/>
    </row>
    <row r="127" spans="7:35" x14ac:dyDescent="0.25">
      <c r="G127" s="165"/>
      <c r="H127" s="166"/>
      <c r="I127" s="167"/>
      <c r="J127" s="167"/>
      <c r="K127" s="166"/>
      <c r="L127" s="166"/>
      <c r="M127" s="166"/>
      <c r="N127" s="166"/>
      <c r="O127" s="166"/>
      <c r="P127" s="166"/>
      <c r="Q127" s="166"/>
      <c r="R127" s="166"/>
      <c r="S127" s="166"/>
      <c r="T127" s="166"/>
      <c r="U127" s="166"/>
      <c r="V127" s="166"/>
      <c r="W127" s="166"/>
      <c r="X127" s="166"/>
      <c r="Y127" s="166"/>
      <c r="Z127" s="166"/>
      <c r="AA127" s="166"/>
      <c r="AB127" s="166"/>
      <c r="AC127" s="166"/>
      <c r="AD127" s="166"/>
      <c r="AE127" s="166"/>
      <c r="AF127" s="166"/>
      <c r="AG127" s="166"/>
      <c r="AH127" s="166"/>
      <c r="AI127" s="166"/>
    </row>
    <row r="128" spans="7:35" x14ac:dyDescent="0.25">
      <c r="G128" s="165"/>
      <c r="H128" s="166"/>
      <c r="I128" s="167"/>
      <c r="J128" s="167"/>
      <c r="K128" s="166"/>
      <c r="L128" s="166"/>
      <c r="M128" s="166"/>
      <c r="N128" s="166"/>
      <c r="O128" s="166"/>
      <c r="P128" s="166"/>
      <c r="Q128" s="166"/>
      <c r="R128" s="166"/>
      <c r="S128" s="166"/>
      <c r="T128" s="166"/>
      <c r="U128" s="166"/>
      <c r="V128" s="166"/>
      <c r="W128" s="166"/>
      <c r="X128" s="166"/>
      <c r="Y128" s="166"/>
      <c r="Z128" s="166"/>
      <c r="AA128" s="166"/>
      <c r="AB128" s="166"/>
      <c r="AC128" s="166"/>
      <c r="AD128" s="166"/>
      <c r="AE128" s="166"/>
      <c r="AF128" s="166"/>
      <c r="AG128" s="166"/>
      <c r="AH128" s="166"/>
      <c r="AI128" s="166"/>
    </row>
    <row r="129" spans="7:35" x14ac:dyDescent="0.25">
      <c r="G129" s="165"/>
      <c r="H129" s="166"/>
      <c r="I129" s="167"/>
      <c r="J129" s="167"/>
      <c r="K129" s="166"/>
      <c r="L129" s="166"/>
      <c r="M129" s="166"/>
      <c r="N129" s="166"/>
      <c r="O129" s="166"/>
      <c r="P129" s="166"/>
      <c r="Q129" s="166"/>
      <c r="R129" s="166"/>
      <c r="S129" s="166"/>
      <c r="T129" s="166"/>
      <c r="U129" s="166"/>
      <c r="V129" s="166"/>
      <c r="W129" s="166"/>
      <c r="X129" s="166"/>
      <c r="Y129" s="166"/>
      <c r="Z129" s="166"/>
      <c r="AA129" s="166"/>
      <c r="AB129" s="166"/>
      <c r="AC129" s="166"/>
      <c r="AD129" s="166"/>
      <c r="AE129" s="166"/>
      <c r="AF129" s="166"/>
      <c r="AG129" s="166"/>
      <c r="AH129" s="166"/>
      <c r="AI129" s="166"/>
    </row>
    <row r="130" spans="7:35" x14ac:dyDescent="0.25">
      <c r="G130" s="165"/>
      <c r="H130" s="166"/>
      <c r="I130" s="167"/>
      <c r="J130" s="167"/>
      <c r="K130" s="166"/>
      <c r="L130" s="166"/>
      <c r="M130" s="166"/>
      <c r="N130" s="166"/>
      <c r="O130" s="166"/>
      <c r="P130" s="166"/>
      <c r="Q130" s="166"/>
      <c r="R130" s="166"/>
      <c r="S130" s="166"/>
      <c r="T130" s="166"/>
      <c r="U130" s="166"/>
      <c r="V130" s="166"/>
      <c r="W130" s="166"/>
      <c r="X130" s="166"/>
      <c r="Y130" s="166"/>
      <c r="Z130" s="166"/>
      <c r="AA130" s="166"/>
      <c r="AB130" s="166"/>
      <c r="AC130" s="166"/>
      <c r="AD130" s="166"/>
      <c r="AE130" s="166"/>
      <c r="AF130" s="166"/>
      <c r="AG130" s="166"/>
      <c r="AH130" s="166"/>
      <c r="AI130" s="166"/>
    </row>
    <row r="131" spans="7:35" x14ac:dyDescent="0.25">
      <c r="G131" s="165"/>
      <c r="H131" s="166"/>
      <c r="I131" s="167"/>
      <c r="J131" s="167"/>
      <c r="K131" s="166"/>
      <c r="L131" s="166"/>
      <c r="M131" s="166"/>
      <c r="N131" s="166"/>
      <c r="O131" s="166"/>
      <c r="P131" s="166"/>
      <c r="Q131" s="166"/>
      <c r="R131" s="166"/>
      <c r="S131" s="166"/>
      <c r="T131" s="166"/>
      <c r="U131" s="166"/>
      <c r="V131" s="166"/>
      <c r="W131" s="166"/>
      <c r="X131" s="166"/>
      <c r="Y131" s="166"/>
      <c r="Z131" s="166"/>
      <c r="AA131" s="166"/>
      <c r="AB131" s="166"/>
      <c r="AC131" s="166"/>
      <c r="AD131" s="166"/>
      <c r="AE131" s="166"/>
      <c r="AF131" s="166"/>
      <c r="AG131" s="166"/>
      <c r="AH131" s="166"/>
      <c r="AI131" s="166"/>
    </row>
    <row r="132" spans="7:35" x14ac:dyDescent="0.25">
      <c r="G132" s="165"/>
      <c r="H132" s="166"/>
      <c r="I132" s="167"/>
      <c r="J132" s="167"/>
      <c r="K132" s="166"/>
      <c r="L132" s="166"/>
      <c r="M132" s="166"/>
      <c r="N132" s="166"/>
      <c r="O132" s="166"/>
      <c r="P132" s="166"/>
      <c r="Q132" s="166"/>
      <c r="R132" s="166"/>
      <c r="S132" s="166"/>
      <c r="T132" s="166"/>
      <c r="U132" s="166"/>
      <c r="V132" s="166"/>
      <c r="W132" s="166"/>
      <c r="X132" s="166"/>
      <c r="Y132" s="166"/>
      <c r="Z132" s="166"/>
      <c r="AA132" s="166"/>
      <c r="AB132" s="166"/>
      <c r="AC132" s="166"/>
      <c r="AD132" s="166"/>
      <c r="AE132" s="166"/>
      <c r="AF132" s="166"/>
      <c r="AG132" s="166"/>
      <c r="AH132" s="166"/>
      <c r="AI132" s="166"/>
    </row>
    <row r="133" spans="7:35" x14ac:dyDescent="0.25">
      <c r="G133" s="165"/>
      <c r="H133" s="166"/>
      <c r="I133" s="167"/>
      <c r="J133" s="167"/>
      <c r="K133" s="166"/>
      <c r="L133" s="166"/>
      <c r="M133" s="166"/>
      <c r="N133" s="166"/>
      <c r="O133" s="166"/>
      <c r="P133" s="166"/>
      <c r="Q133" s="166"/>
      <c r="R133" s="166"/>
      <c r="S133" s="166"/>
      <c r="T133" s="166"/>
      <c r="U133" s="166"/>
      <c r="V133" s="166"/>
      <c r="W133" s="166"/>
      <c r="X133" s="166"/>
      <c r="Y133" s="166"/>
      <c r="Z133" s="166"/>
      <c r="AA133" s="166"/>
      <c r="AB133" s="166"/>
      <c r="AC133" s="166"/>
      <c r="AD133" s="166"/>
      <c r="AE133" s="166"/>
      <c r="AF133" s="166"/>
      <c r="AG133" s="166"/>
      <c r="AH133" s="166"/>
      <c r="AI133" s="166"/>
    </row>
    <row r="134" spans="7:35" x14ac:dyDescent="0.25">
      <c r="G134" s="165"/>
      <c r="H134" s="166"/>
      <c r="I134" s="167"/>
      <c r="J134" s="167"/>
      <c r="K134" s="166"/>
      <c r="L134" s="166"/>
      <c r="M134" s="166"/>
      <c r="N134" s="166"/>
      <c r="O134" s="166"/>
      <c r="P134" s="166"/>
      <c r="Q134" s="166"/>
      <c r="R134" s="166"/>
      <c r="S134" s="166"/>
      <c r="T134" s="166"/>
      <c r="U134" s="166"/>
      <c r="V134" s="166"/>
      <c r="W134" s="166"/>
      <c r="X134" s="166"/>
      <c r="Y134" s="166"/>
      <c r="Z134" s="166"/>
      <c r="AA134" s="166"/>
      <c r="AB134" s="166"/>
      <c r="AC134" s="166"/>
      <c r="AD134" s="166"/>
      <c r="AE134" s="166"/>
      <c r="AF134" s="166"/>
      <c r="AG134" s="166"/>
      <c r="AH134" s="166"/>
      <c r="AI134" s="166"/>
    </row>
    <row r="135" spans="7:35" x14ac:dyDescent="0.25">
      <c r="G135" s="165"/>
      <c r="H135" s="166"/>
      <c r="I135" s="167"/>
      <c r="J135" s="167"/>
      <c r="K135" s="166"/>
      <c r="L135" s="166"/>
      <c r="M135" s="166"/>
      <c r="N135" s="166"/>
      <c r="O135" s="166"/>
      <c r="P135" s="166"/>
      <c r="Q135" s="166"/>
      <c r="R135" s="166"/>
      <c r="S135" s="166"/>
      <c r="T135" s="166"/>
      <c r="U135" s="166"/>
      <c r="V135" s="166"/>
      <c r="W135" s="166"/>
      <c r="X135" s="166"/>
      <c r="Y135" s="166"/>
      <c r="Z135" s="166"/>
      <c r="AA135" s="166"/>
      <c r="AB135" s="166"/>
      <c r="AC135" s="166"/>
      <c r="AD135" s="166"/>
      <c r="AE135" s="166"/>
      <c r="AF135" s="166"/>
      <c r="AG135" s="166"/>
      <c r="AH135" s="166"/>
      <c r="AI135" s="166"/>
    </row>
    <row r="136" spans="7:35" x14ac:dyDescent="0.25">
      <c r="G136" s="165"/>
      <c r="H136" s="166"/>
      <c r="I136" s="167"/>
      <c r="J136" s="167"/>
      <c r="K136" s="166"/>
      <c r="L136" s="166"/>
      <c r="M136" s="166"/>
      <c r="N136" s="166"/>
      <c r="O136" s="166"/>
      <c r="P136" s="166"/>
      <c r="Q136" s="166"/>
      <c r="R136" s="166"/>
      <c r="S136" s="166"/>
      <c r="T136" s="166"/>
      <c r="U136" s="166"/>
      <c r="V136" s="166"/>
      <c r="W136" s="166"/>
      <c r="X136" s="166"/>
      <c r="Y136" s="166"/>
      <c r="Z136" s="166"/>
      <c r="AA136" s="166"/>
      <c r="AB136" s="166"/>
      <c r="AC136" s="166"/>
      <c r="AD136" s="166"/>
      <c r="AE136" s="166"/>
      <c r="AF136" s="166"/>
      <c r="AG136" s="166"/>
      <c r="AH136" s="166"/>
      <c r="AI136" s="166"/>
    </row>
    <row r="137" spans="7:35" x14ac:dyDescent="0.25">
      <c r="G137" s="165"/>
      <c r="H137" s="166"/>
      <c r="I137" s="167"/>
      <c r="J137" s="167"/>
      <c r="K137" s="166"/>
      <c r="L137" s="166"/>
      <c r="M137" s="166"/>
      <c r="N137" s="166"/>
      <c r="O137" s="166"/>
      <c r="P137" s="166"/>
      <c r="Q137" s="166"/>
      <c r="R137" s="166"/>
      <c r="S137" s="166"/>
      <c r="T137" s="166"/>
      <c r="U137" s="166"/>
      <c r="V137" s="166"/>
      <c r="W137" s="166"/>
      <c r="X137" s="166"/>
      <c r="Y137" s="166"/>
      <c r="Z137" s="166"/>
      <c r="AA137" s="166"/>
      <c r="AB137" s="166"/>
      <c r="AC137" s="166"/>
      <c r="AD137" s="166"/>
      <c r="AE137" s="166"/>
      <c r="AF137" s="166"/>
      <c r="AG137" s="166"/>
      <c r="AH137" s="166"/>
      <c r="AI137" s="166"/>
    </row>
    <row r="138" spans="7:35" x14ac:dyDescent="0.25">
      <c r="G138" s="165"/>
      <c r="H138" s="166"/>
      <c r="I138" s="167"/>
      <c r="J138" s="167"/>
      <c r="K138" s="166"/>
      <c r="L138" s="166"/>
      <c r="M138" s="166"/>
      <c r="N138" s="166"/>
      <c r="O138" s="166"/>
      <c r="P138" s="166"/>
      <c r="Q138" s="166"/>
      <c r="R138" s="166"/>
      <c r="S138" s="166"/>
      <c r="T138" s="166"/>
      <c r="U138" s="166"/>
      <c r="V138" s="166"/>
      <c r="W138" s="166"/>
      <c r="X138" s="166"/>
      <c r="Y138" s="166"/>
      <c r="Z138" s="166"/>
      <c r="AA138" s="166"/>
      <c r="AB138" s="166"/>
      <c r="AC138" s="166"/>
      <c r="AD138" s="166"/>
      <c r="AE138" s="166"/>
      <c r="AF138" s="166"/>
      <c r="AG138" s="166"/>
      <c r="AH138" s="166"/>
      <c r="AI138" s="166"/>
    </row>
    <row r="139" spans="7:35" x14ac:dyDescent="0.25">
      <c r="G139" s="165"/>
      <c r="H139" s="166"/>
      <c r="I139" s="167"/>
      <c r="J139" s="167"/>
      <c r="K139" s="166"/>
      <c r="L139" s="166"/>
      <c r="M139" s="166"/>
      <c r="N139" s="166"/>
      <c r="O139" s="166"/>
      <c r="P139" s="166"/>
      <c r="Q139" s="166"/>
      <c r="R139" s="166"/>
      <c r="S139" s="166"/>
      <c r="T139" s="166"/>
      <c r="U139" s="166"/>
      <c r="V139" s="166"/>
      <c r="W139" s="166"/>
      <c r="X139" s="166"/>
      <c r="Y139" s="166"/>
      <c r="Z139" s="166"/>
      <c r="AA139" s="166"/>
      <c r="AB139" s="166"/>
      <c r="AC139" s="166"/>
      <c r="AD139" s="166"/>
      <c r="AE139" s="166"/>
      <c r="AF139" s="166"/>
      <c r="AG139" s="166"/>
      <c r="AH139" s="166"/>
      <c r="AI139" s="166"/>
    </row>
    <row r="140" spans="7:35" x14ac:dyDescent="0.25">
      <c r="G140" s="165"/>
      <c r="H140" s="166"/>
      <c r="I140" s="167"/>
      <c r="J140" s="167"/>
      <c r="K140" s="166"/>
      <c r="L140" s="166"/>
      <c r="M140" s="166"/>
      <c r="N140" s="166"/>
      <c r="O140" s="166"/>
      <c r="P140" s="166"/>
      <c r="Q140" s="166"/>
      <c r="R140" s="166"/>
      <c r="S140" s="166"/>
      <c r="T140" s="166"/>
      <c r="U140" s="166"/>
      <c r="V140" s="166"/>
      <c r="W140" s="166"/>
      <c r="X140" s="166"/>
      <c r="Y140" s="166"/>
      <c r="Z140" s="166"/>
      <c r="AA140" s="166"/>
      <c r="AB140" s="166"/>
      <c r="AC140" s="166"/>
      <c r="AD140" s="166"/>
      <c r="AE140" s="166"/>
      <c r="AF140" s="166"/>
      <c r="AG140" s="166"/>
      <c r="AH140" s="166"/>
      <c r="AI140" s="166"/>
    </row>
    <row r="141" spans="7:35" x14ac:dyDescent="0.25">
      <c r="G141" s="165"/>
      <c r="H141" s="166"/>
      <c r="I141" s="167"/>
      <c r="J141" s="167"/>
      <c r="K141" s="166"/>
      <c r="L141" s="166"/>
      <c r="M141" s="166"/>
      <c r="N141" s="166"/>
      <c r="O141" s="166"/>
      <c r="P141" s="166"/>
      <c r="Q141" s="166"/>
      <c r="R141" s="166"/>
      <c r="S141" s="166"/>
      <c r="T141" s="166"/>
      <c r="U141" s="166"/>
      <c r="V141" s="166"/>
      <c r="W141" s="166"/>
      <c r="X141" s="166"/>
      <c r="Y141" s="166"/>
      <c r="Z141" s="166"/>
      <c r="AA141" s="166"/>
      <c r="AB141" s="166"/>
      <c r="AC141" s="166"/>
      <c r="AD141" s="166"/>
      <c r="AE141" s="166"/>
      <c r="AF141" s="166"/>
      <c r="AG141" s="166"/>
      <c r="AH141" s="166"/>
      <c r="AI141" s="166"/>
    </row>
    <row r="142" spans="7:35" x14ac:dyDescent="0.25">
      <c r="G142" s="165"/>
      <c r="H142" s="166"/>
      <c r="I142" s="167"/>
      <c r="J142" s="167"/>
      <c r="K142" s="166"/>
      <c r="L142" s="166"/>
      <c r="M142" s="166"/>
      <c r="N142" s="166"/>
      <c r="O142" s="166"/>
      <c r="P142" s="166"/>
      <c r="Q142" s="166"/>
      <c r="R142" s="166"/>
      <c r="S142" s="166"/>
      <c r="T142" s="166"/>
      <c r="U142" s="166"/>
      <c r="V142" s="166"/>
      <c r="W142" s="166"/>
      <c r="X142" s="166"/>
      <c r="Y142" s="166"/>
      <c r="Z142" s="166"/>
      <c r="AA142" s="166"/>
      <c r="AB142" s="166"/>
      <c r="AC142" s="166"/>
      <c r="AD142" s="166"/>
      <c r="AE142" s="166"/>
      <c r="AF142" s="166"/>
      <c r="AG142" s="166"/>
      <c r="AH142" s="166"/>
      <c r="AI142" s="166"/>
    </row>
    <row r="143" spans="7:35" x14ac:dyDescent="0.25">
      <c r="G143" s="165"/>
      <c r="H143" s="166"/>
      <c r="I143" s="167"/>
      <c r="J143" s="167"/>
      <c r="K143" s="166"/>
      <c r="L143" s="166"/>
      <c r="M143" s="166"/>
      <c r="N143" s="166"/>
      <c r="O143" s="166"/>
      <c r="P143" s="166"/>
      <c r="Q143" s="166"/>
      <c r="R143" s="166"/>
      <c r="S143" s="166"/>
      <c r="T143" s="166"/>
      <c r="U143" s="166"/>
      <c r="V143" s="166"/>
      <c r="W143" s="166"/>
      <c r="X143" s="166"/>
      <c r="Y143" s="166"/>
      <c r="Z143" s="166"/>
      <c r="AA143" s="166"/>
      <c r="AB143" s="166"/>
      <c r="AC143" s="166"/>
      <c r="AD143" s="166"/>
      <c r="AE143" s="166"/>
      <c r="AF143" s="166"/>
      <c r="AG143" s="166"/>
      <c r="AH143" s="166"/>
      <c r="AI143" s="166"/>
    </row>
    <row r="144" spans="7:35" x14ac:dyDescent="0.25">
      <c r="G144" s="165"/>
      <c r="H144" s="166"/>
      <c r="I144" s="167"/>
      <c r="J144" s="167"/>
      <c r="K144" s="166"/>
      <c r="L144" s="166"/>
      <c r="M144" s="166"/>
      <c r="N144" s="166"/>
      <c r="O144" s="166"/>
      <c r="P144" s="166"/>
      <c r="Q144" s="166"/>
      <c r="R144" s="166"/>
      <c r="S144" s="166"/>
      <c r="T144" s="166"/>
      <c r="U144" s="166"/>
      <c r="V144" s="166"/>
      <c r="W144" s="166"/>
      <c r="X144" s="166"/>
      <c r="Y144" s="166"/>
      <c r="Z144" s="166"/>
      <c r="AA144" s="166"/>
      <c r="AB144" s="166"/>
      <c r="AC144" s="166"/>
      <c r="AD144" s="166"/>
      <c r="AE144" s="166"/>
      <c r="AF144" s="166"/>
      <c r="AG144" s="166"/>
      <c r="AH144" s="166"/>
      <c r="AI144" s="166"/>
    </row>
    <row r="145" spans="7:35" x14ac:dyDescent="0.25">
      <c r="G145" s="165"/>
      <c r="H145" s="166"/>
      <c r="I145" s="167"/>
      <c r="J145" s="167"/>
      <c r="K145" s="166"/>
      <c r="L145" s="166"/>
      <c r="M145" s="166"/>
      <c r="N145" s="166"/>
      <c r="O145" s="166"/>
      <c r="P145" s="166"/>
      <c r="Q145" s="166"/>
      <c r="R145" s="166"/>
      <c r="S145" s="166"/>
      <c r="T145" s="166"/>
      <c r="U145" s="166"/>
      <c r="V145" s="166"/>
      <c r="W145" s="166"/>
      <c r="X145" s="166"/>
      <c r="Y145" s="166"/>
      <c r="Z145" s="166"/>
      <c r="AA145" s="166"/>
      <c r="AB145" s="166"/>
      <c r="AC145" s="166"/>
      <c r="AD145" s="166"/>
      <c r="AE145" s="166"/>
      <c r="AF145" s="166"/>
      <c r="AG145" s="166"/>
      <c r="AH145" s="166"/>
      <c r="AI145" s="166"/>
    </row>
    <row r="146" spans="7:35" x14ac:dyDescent="0.25">
      <c r="G146" s="165"/>
      <c r="H146" s="166"/>
      <c r="I146" s="167"/>
      <c r="J146" s="167"/>
      <c r="K146" s="166"/>
      <c r="L146" s="166"/>
      <c r="M146" s="166"/>
      <c r="N146" s="166"/>
      <c r="O146" s="166"/>
      <c r="P146" s="166"/>
      <c r="Q146" s="166"/>
      <c r="R146" s="166"/>
      <c r="S146" s="166"/>
      <c r="T146" s="166"/>
      <c r="U146" s="166"/>
      <c r="V146" s="166"/>
      <c r="W146" s="166"/>
      <c r="X146" s="166"/>
      <c r="Y146" s="166"/>
      <c r="Z146" s="166"/>
      <c r="AA146" s="166"/>
      <c r="AB146" s="166"/>
      <c r="AC146" s="166"/>
      <c r="AD146" s="166"/>
      <c r="AE146" s="166"/>
      <c r="AF146" s="166"/>
      <c r="AG146" s="166"/>
      <c r="AH146" s="166"/>
      <c r="AI146" s="166"/>
    </row>
    <row r="147" spans="7:35" x14ac:dyDescent="0.25">
      <c r="G147" s="165"/>
      <c r="H147" s="166"/>
      <c r="I147" s="167"/>
      <c r="J147" s="167"/>
      <c r="K147" s="166"/>
      <c r="L147" s="166"/>
      <c r="M147" s="166"/>
      <c r="N147" s="166"/>
      <c r="O147" s="166"/>
      <c r="P147" s="166"/>
      <c r="Q147" s="166"/>
      <c r="R147" s="166"/>
      <c r="S147" s="166"/>
      <c r="T147" s="166"/>
      <c r="U147" s="166"/>
      <c r="V147" s="166"/>
      <c r="W147" s="166"/>
      <c r="X147" s="166"/>
      <c r="Y147" s="166"/>
      <c r="Z147" s="166"/>
      <c r="AA147" s="166"/>
      <c r="AB147" s="166"/>
      <c r="AC147" s="166"/>
      <c r="AD147" s="166"/>
      <c r="AE147" s="166"/>
      <c r="AF147" s="166"/>
      <c r="AG147" s="166"/>
      <c r="AH147" s="166"/>
      <c r="AI147" s="166"/>
    </row>
    <row r="148" spans="7:35" x14ac:dyDescent="0.25">
      <c r="G148" s="165"/>
      <c r="H148" s="166"/>
      <c r="I148" s="167"/>
      <c r="J148" s="167"/>
      <c r="K148" s="166"/>
      <c r="L148" s="166"/>
      <c r="M148" s="166"/>
      <c r="N148" s="166"/>
      <c r="O148" s="166"/>
      <c r="P148" s="166"/>
      <c r="Q148" s="166"/>
      <c r="R148" s="166"/>
      <c r="S148" s="166"/>
      <c r="T148" s="166"/>
      <c r="U148" s="166"/>
      <c r="V148" s="166"/>
      <c r="W148" s="166"/>
      <c r="X148" s="166"/>
      <c r="Y148" s="166"/>
      <c r="Z148" s="166"/>
      <c r="AA148" s="166"/>
      <c r="AB148" s="166"/>
      <c r="AC148" s="166"/>
      <c r="AD148" s="166"/>
      <c r="AE148" s="166"/>
      <c r="AF148" s="166"/>
      <c r="AG148" s="166"/>
      <c r="AH148" s="166"/>
      <c r="AI148" s="166"/>
    </row>
    <row r="149" spans="7:35" x14ac:dyDescent="0.25">
      <c r="G149" s="165"/>
      <c r="H149" s="166"/>
      <c r="I149" s="167"/>
      <c r="J149" s="167"/>
      <c r="K149" s="166"/>
      <c r="L149" s="166"/>
      <c r="M149" s="166"/>
      <c r="N149" s="166"/>
      <c r="O149" s="166"/>
      <c r="P149" s="166"/>
      <c r="Q149" s="166"/>
      <c r="R149" s="166"/>
      <c r="S149" s="166"/>
      <c r="T149" s="166"/>
      <c r="U149" s="166"/>
      <c r="V149" s="166"/>
      <c r="W149" s="166"/>
      <c r="X149" s="166"/>
      <c r="Y149" s="166"/>
      <c r="Z149" s="166"/>
      <c r="AA149" s="166"/>
      <c r="AB149" s="166"/>
      <c r="AC149" s="166"/>
      <c r="AD149" s="166"/>
      <c r="AE149" s="166"/>
      <c r="AF149" s="166"/>
      <c r="AG149" s="166"/>
      <c r="AH149" s="166"/>
      <c r="AI149" s="166"/>
    </row>
    <row r="150" spans="7:35" x14ac:dyDescent="0.25">
      <c r="G150" s="165"/>
      <c r="H150" s="166"/>
      <c r="I150" s="167"/>
      <c r="J150" s="167"/>
      <c r="K150" s="166"/>
      <c r="L150" s="166"/>
      <c r="M150" s="166"/>
      <c r="N150" s="166"/>
      <c r="O150" s="166"/>
      <c r="P150" s="166"/>
      <c r="Q150" s="166"/>
      <c r="R150" s="166"/>
      <c r="S150" s="166"/>
      <c r="T150" s="166"/>
      <c r="U150" s="166"/>
      <c r="V150" s="166"/>
      <c r="W150" s="166"/>
      <c r="X150" s="166"/>
      <c r="Y150" s="166"/>
      <c r="Z150" s="166"/>
      <c r="AA150" s="166"/>
      <c r="AB150" s="166"/>
      <c r="AC150" s="166"/>
      <c r="AD150" s="166"/>
      <c r="AE150" s="166"/>
      <c r="AF150" s="166"/>
      <c r="AG150" s="166"/>
      <c r="AH150" s="166"/>
      <c r="AI150" s="166"/>
    </row>
    <row r="151" spans="7:35" x14ac:dyDescent="0.25">
      <c r="G151" s="165"/>
      <c r="H151" s="166"/>
      <c r="I151" s="167"/>
      <c r="J151" s="167"/>
      <c r="K151" s="166"/>
      <c r="L151" s="166"/>
      <c r="M151" s="166"/>
      <c r="N151" s="166"/>
      <c r="O151" s="166"/>
      <c r="P151" s="166"/>
      <c r="Q151" s="166"/>
      <c r="R151" s="166"/>
      <c r="S151" s="166"/>
      <c r="T151" s="166"/>
      <c r="U151" s="166"/>
      <c r="V151" s="166"/>
      <c r="W151" s="166"/>
      <c r="X151" s="166"/>
      <c r="Y151" s="166"/>
      <c r="Z151" s="166"/>
      <c r="AA151" s="166"/>
      <c r="AB151" s="166"/>
      <c r="AC151" s="166"/>
      <c r="AD151" s="166"/>
      <c r="AE151" s="166"/>
      <c r="AF151" s="166"/>
      <c r="AG151" s="166"/>
      <c r="AH151" s="166"/>
      <c r="AI151" s="166"/>
    </row>
    <row r="152" spans="7:35" x14ac:dyDescent="0.25">
      <c r="G152" s="165"/>
      <c r="H152" s="166"/>
      <c r="I152" s="167"/>
      <c r="J152" s="167"/>
      <c r="K152" s="166"/>
      <c r="L152" s="166"/>
      <c r="M152" s="166"/>
      <c r="N152" s="166"/>
      <c r="O152" s="166"/>
      <c r="P152" s="166"/>
      <c r="Q152" s="166"/>
      <c r="R152" s="166"/>
      <c r="S152" s="166"/>
      <c r="T152" s="166"/>
      <c r="U152" s="166"/>
      <c r="V152" s="166"/>
      <c r="W152" s="166"/>
      <c r="X152" s="166"/>
      <c r="Y152" s="166"/>
      <c r="Z152" s="166"/>
      <c r="AA152" s="166"/>
      <c r="AB152" s="166"/>
      <c r="AC152" s="166"/>
      <c r="AD152" s="166"/>
      <c r="AE152" s="166"/>
      <c r="AF152" s="166"/>
      <c r="AG152" s="166"/>
      <c r="AH152" s="166"/>
      <c r="AI152" s="166"/>
    </row>
    <row r="153" spans="7:35" x14ac:dyDescent="0.25">
      <c r="G153" s="165"/>
      <c r="H153" s="166"/>
      <c r="I153" s="167"/>
      <c r="J153" s="167"/>
      <c r="K153" s="166"/>
      <c r="L153" s="166"/>
      <c r="M153" s="166"/>
      <c r="N153" s="166"/>
      <c r="O153" s="166"/>
      <c r="P153" s="166"/>
      <c r="Q153" s="166"/>
      <c r="R153" s="166"/>
      <c r="S153" s="166"/>
      <c r="T153" s="166"/>
      <c r="U153" s="166"/>
      <c r="V153" s="166"/>
      <c r="W153" s="166"/>
      <c r="X153" s="166"/>
      <c r="Y153" s="166"/>
      <c r="Z153" s="166"/>
      <c r="AA153" s="166"/>
      <c r="AB153" s="166"/>
      <c r="AC153" s="166"/>
      <c r="AD153" s="166"/>
      <c r="AE153" s="166"/>
      <c r="AF153" s="166"/>
      <c r="AG153" s="166"/>
      <c r="AH153" s="166"/>
      <c r="AI153" s="166"/>
    </row>
    <row r="154" spans="7:35" x14ac:dyDescent="0.25">
      <c r="G154" s="165"/>
      <c r="H154" s="166"/>
      <c r="I154" s="167"/>
      <c r="J154" s="167"/>
      <c r="K154" s="166"/>
      <c r="L154" s="166"/>
      <c r="M154" s="166"/>
      <c r="N154" s="166"/>
      <c r="O154" s="166"/>
      <c r="P154" s="166"/>
      <c r="Q154" s="166"/>
      <c r="R154" s="166"/>
      <c r="S154" s="166"/>
      <c r="T154" s="166"/>
      <c r="U154" s="166"/>
      <c r="V154" s="166"/>
      <c r="W154" s="166"/>
      <c r="X154" s="166"/>
      <c r="Y154" s="166"/>
      <c r="Z154" s="166"/>
      <c r="AA154" s="166"/>
      <c r="AB154" s="166"/>
      <c r="AC154" s="166"/>
      <c r="AD154" s="166"/>
      <c r="AE154" s="166"/>
      <c r="AF154" s="166"/>
      <c r="AG154" s="166"/>
      <c r="AH154" s="166"/>
      <c r="AI154" s="166"/>
    </row>
    <row r="155" spans="7:35" x14ac:dyDescent="0.25">
      <c r="G155" s="165"/>
      <c r="H155" s="166"/>
      <c r="I155" s="167"/>
      <c r="J155" s="167"/>
      <c r="K155" s="166"/>
      <c r="L155" s="166"/>
      <c r="M155" s="166"/>
      <c r="N155" s="166"/>
      <c r="O155" s="166"/>
      <c r="P155" s="166"/>
      <c r="Q155" s="166"/>
      <c r="R155" s="166"/>
      <c r="S155" s="166"/>
      <c r="T155" s="166"/>
      <c r="U155" s="166"/>
      <c r="V155" s="166"/>
      <c r="W155" s="166"/>
      <c r="X155" s="166"/>
      <c r="Y155" s="166"/>
      <c r="Z155" s="166"/>
      <c r="AA155" s="166"/>
      <c r="AB155" s="166"/>
      <c r="AC155" s="166"/>
      <c r="AD155" s="166"/>
      <c r="AE155" s="166"/>
      <c r="AF155" s="166"/>
      <c r="AG155" s="166"/>
      <c r="AH155" s="166"/>
      <c r="AI155" s="166"/>
    </row>
    <row r="156" spans="7:35" x14ac:dyDescent="0.25">
      <c r="G156" s="165"/>
      <c r="H156" s="166"/>
      <c r="I156" s="167"/>
      <c r="J156" s="167"/>
      <c r="K156" s="166"/>
      <c r="L156" s="166"/>
      <c r="M156" s="166"/>
      <c r="N156" s="166"/>
      <c r="O156" s="166"/>
      <c r="P156" s="166"/>
      <c r="Q156" s="166"/>
      <c r="R156" s="166"/>
      <c r="S156" s="166"/>
      <c r="T156" s="166"/>
      <c r="U156" s="166"/>
      <c r="V156" s="166"/>
      <c r="W156" s="166"/>
      <c r="X156" s="166"/>
      <c r="Y156" s="166"/>
      <c r="Z156" s="166"/>
      <c r="AA156" s="166"/>
      <c r="AB156" s="166"/>
      <c r="AC156" s="166"/>
      <c r="AD156" s="166"/>
      <c r="AE156" s="166"/>
      <c r="AF156" s="166"/>
      <c r="AG156" s="166"/>
      <c r="AH156" s="166"/>
      <c r="AI156" s="166"/>
    </row>
    <row r="157" spans="7:35" x14ac:dyDescent="0.25">
      <c r="G157" s="165"/>
      <c r="H157" s="166"/>
      <c r="I157" s="167"/>
      <c r="J157" s="167"/>
      <c r="K157" s="166"/>
      <c r="L157" s="166"/>
      <c r="M157" s="166"/>
      <c r="N157" s="166"/>
      <c r="O157" s="166"/>
      <c r="P157" s="166"/>
      <c r="Q157" s="166"/>
      <c r="R157" s="166"/>
      <c r="S157" s="166"/>
      <c r="T157" s="166"/>
      <c r="U157" s="166"/>
      <c r="V157" s="166"/>
      <c r="W157" s="166"/>
      <c r="X157" s="166"/>
      <c r="Y157" s="166"/>
      <c r="Z157" s="166"/>
      <c r="AA157" s="166"/>
      <c r="AB157" s="166"/>
      <c r="AC157" s="166"/>
      <c r="AD157" s="166"/>
      <c r="AE157" s="166"/>
      <c r="AF157" s="166"/>
      <c r="AG157" s="166"/>
      <c r="AH157" s="166"/>
      <c r="AI157" s="166"/>
    </row>
    <row r="158" spans="7:35" x14ac:dyDescent="0.25">
      <c r="G158" s="165"/>
      <c r="H158" s="166"/>
      <c r="I158" s="167"/>
      <c r="J158" s="167"/>
      <c r="K158" s="166"/>
      <c r="L158" s="166"/>
      <c r="M158" s="166"/>
      <c r="N158" s="166"/>
      <c r="O158" s="166"/>
      <c r="P158" s="166"/>
      <c r="Q158" s="166"/>
      <c r="R158" s="166"/>
      <c r="S158" s="166"/>
      <c r="T158" s="166"/>
      <c r="U158" s="166"/>
      <c r="V158" s="166"/>
      <c r="W158" s="166"/>
      <c r="X158" s="166"/>
      <c r="Y158" s="166"/>
      <c r="Z158" s="166"/>
      <c r="AA158" s="166"/>
      <c r="AB158" s="166"/>
      <c r="AC158" s="166"/>
      <c r="AD158" s="166"/>
      <c r="AE158" s="166"/>
      <c r="AF158" s="166"/>
      <c r="AG158" s="166"/>
      <c r="AH158" s="166"/>
      <c r="AI158" s="166"/>
    </row>
    <row r="159" spans="7:35" x14ac:dyDescent="0.25">
      <c r="G159" s="165"/>
      <c r="H159" s="166"/>
      <c r="I159" s="167"/>
      <c r="J159" s="167"/>
      <c r="K159" s="166"/>
      <c r="L159" s="166"/>
      <c r="M159" s="166"/>
      <c r="N159" s="166"/>
      <c r="O159" s="166"/>
      <c r="P159" s="166"/>
      <c r="Q159" s="166"/>
      <c r="R159" s="166"/>
      <c r="S159" s="166"/>
      <c r="T159" s="166"/>
      <c r="U159" s="166"/>
      <c r="V159" s="166"/>
      <c r="W159" s="166"/>
      <c r="X159" s="166"/>
      <c r="Y159" s="166"/>
      <c r="Z159" s="166"/>
      <c r="AA159" s="166"/>
      <c r="AB159" s="166"/>
      <c r="AC159" s="166"/>
      <c r="AD159" s="166"/>
      <c r="AE159" s="166"/>
      <c r="AF159" s="166"/>
      <c r="AG159" s="166"/>
      <c r="AH159" s="166"/>
      <c r="AI159" s="166"/>
    </row>
    <row r="160" spans="7:35" x14ac:dyDescent="0.25">
      <c r="G160" s="165"/>
      <c r="H160" s="166"/>
      <c r="I160" s="167"/>
      <c r="J160" s="167"/>
      <c r="K160" s="166"/>
      <c r="L160" s="166"/>
      <c r="M160" s="166"/>
      <c r="N160" s="166"/>
      <c r="O160" s="166"/>
      <c r="P160" s="166"/>
      <c r="Q160" s="166"/>
      <c r="R160" s="166"/>
      <c r="S160" s="166"/>
      <c r="T160" s="166"/>
      <c r="U160" s="166"/>
      <c r="V160" s="166"/>
      <c r="W160" s="166"/>
      <c r="X160" s="166"/>
      <c r="Y160" s="166"/>
      <c r="Z160" s="166"/>
      <c r="AA160" s="166"/>
      <c r="AB160" s="166"/>
      <c r="AC160" s="166"/>
      <c r="AD160" s="166"/>
      <c r="AE160" s="166"/>
      <c r="AF160" s="166"/>
      <c r="AG160" s="166"/>
      <c r="AH160" s="166"/>
      <c r="AI160" s="166"/>
    </row>
    <row r="161" spans="7:35" x14ac:dyDescent="0.25">
      <c r="G161" s="165"/>
      <c r="H161" s="166"/>
      <c r="I161" s="167"/>
      <c r="J161" s="167"/>
      <c r="K161" s="166"/>
      <c r="L161" s="166"/>
      <c r="M161" s="166"/>
      <c r="N161" s="166"/>
      <c r="O161" s="166"/>
      <c r="P161" s="166"/>
      <c r="Q161" s="166"/>
      <c r="R161" s="166"/>
      <c r="S161" s="166"/>
      <c r="T161" s="166"/>
      <c r="U161" s="166"/>
      <c r="V161" s="166"/>
      <c r="W161" s="166"/>
      <c r="X161" s="166"/>
      <c r="Y161" s="166"/>
      <c r="Z161" s="166"/>
      <c r="AA161" s="166"/>
      <c r="AB161" s="166"/>
      <c r="AC161" s="166"/>
      <c r="AD161" s="166"/>
      <c r="AE161" s="166"/>
      <c r="AF161" s="166"/>
      <c r="AG161" s="166"/>
      <c r="AH161" s="166"/>
      <c r="AI161" s="166"/>
    </row>
    <row r="162" spans="7:35" x14ac:dyDescent="0.25">
      <c r="G162" s="165"/>
      <c r="H162" s="166"/>
      <c r="I162" s="167"/>
      <c r="J162" s="167"/>
      <c r="K162" s="166"/>
      <c r="L162" s="166"/>
      <c r="M162" s="166"/>
      <c r="N162" s="166"/>
      <c r="O162" s="166"/>
      <c r="P162" s="166"/>
      <c r="Q162" s="166"/>
      <c r="R162" s="166"/>
      <c r="S162" s="166"/>
      <c r="T162" s="166"/>
      <c r="U162" s="166"/>
      <c r="V162" s="166"/>
      <c r="W162" s="166"/>
      <c r="X162" s="166"/>
      <c r="Y162" s="166"/>
      <c r="Z162" s="166"/>
      <c r="AA162" s="166"/>
      <c r="AB162" s="166"/>
      <c r="AC162" s="166"/>
      <c r="AD162" s="166"/>
      <c r="AE162" s="166"/>
      <c r="AF162" s="166"/>
      <c r="AG162" s="166"/>
      <c r="AH162" s="166"/>
      <c r="AI162" s="166"/>
    </row>
    <row r="163" spans="7:35" x14ac:dyDescent="0.25">
      <c r="G163" s="165"/>
      <c r="H163" s="166"/>
      <c r="I163" s="167"/>
      <c r="J163" s="167"/>
      <c r="K163" s="166"/>
      <c r="L163" s="166"/>
      <c r="M163" s="166"/>
      <c r="N163" s="166"/>
      <c r="O163" s="166"/>
      <c r="P163" s="166"/>
      <c r="Q163" s="166"/>
      <c r="R163" s="166"/>
      <c r="S163" s="166"/>
      <c r="T163" s="166"/>
      <c r="U163" s="166"/>
      <c r="V163" s="166"/>
      <c r="W163" s="166"/>
      <c r="X163" s="166"/>
      <c r="Y163" s="166"/>
      <c r="Z163" s="166"/>
      <c r="AA163" s="166"/>
      <c r="AB163" s="166"/>
      <c r="AC163" s="166"/>
      <c r="AD163" s="166"/>
      <c r="AE163" s="166"/>
      <c r="AF163" s="166"/>
      <c r="AG163" s="166"/>
      <c r="AH163" s="166"/>
      <c r="AI163" s="166"/>
    </row>
    <row r="164" spans="7:35" x14ac:dyDescent="0.25">
      <c r="G164" s="165"/>
      <c r="H164" s="166"/>
      <c r="I164" s="167"/>
      <c r="J164" s="167"/>
      <c r="K164" s="166"/>
      <c r="L164" s="166"/>
      <c r="M164" s="166"/>
      <c r="N164" s="166"/>
      <c r="O164" s="166"/>
      <c r="P164" s="166"/>
      <c r="Q164" s="166"/>
      <c r="R164" s="166"/>
      <c r="S164" s="166"/>
      <c r="T164" s="166"/>
      <c r="U164" s="166"/>
      <c r="V164" s="166"/>
      <c r="W164" s="166"/>
      <c r="X164" s="166"/>
      <c r="Y164" s="166"/>
      <c r="Z164" s="166"/>
      <c r="AA164" s="166"/>
      <c r="AB164" s="166"/>
      <c r="AC164" s="166"/>
      <c r="AD164" s="166"/>
      <c r="AE164" s="166"/>
      <c r="AF164" s="166"/>
      <c r="AG164" s="166"/>
      <c r="AH164" s="166"/>
      <c r="AI164" s="166"/>
    </row>
    <row r="165" spans="7:35" x14ac:dyDescent="0.25">
      <c r="G165" s="165"/>
      <c r="H165" s="166"/>
      <c r="I165" s="167"/>
      <c r="J165" s="167"/>
      <c r="K165" s="166"/>
      <c r="L165" s="166"/>
      <c r="M165" s="166"/>
      <c r="N165" s="166"/>
      <c r="O165" s="166"/>
      <c r="P165" s="166"/>
      <c r="Q165" s="166"/>
      <c r="R165" s="166"/>
      <c r="S165" s="166"/>
      <c r="T165" s="166"/>
      <c r="U165" s="166"/>
      <c r="V165" s="166"/>
      <c r="W165" s="166"/>
      <c r="X165" s="166"/>
      <c r="Y165" s="166"/>
      <c r="Z165" s="166"/>
      <c r="AA165" s="166"/>
      <c r="AB165" s="166"/>
      <c r="AC165" s="166"/>
      <c r="AD165" s="166"/>
      <c r="AE165" s="166"/>
      <c r="AF165" s="166"/>
      <c r="AG165" s="166"/>
      <c r="AH165" s="166"/>
      <c r="AI165" s="166"/>
    </row>
    <row r="166" spans="7:35" x14ac:dyDescent="0.25">
      <c r="G166" s="165"/>
      <c r="H166" s="166"/>
      <c r="I166" s="167"/>
      <c r="J166" s="167"/>
      <c r="K166" s="166"/>
      <c r="L166" s="166"/>
      <c r="M166" s="166"/>
      <c r="N166" s="166"/>
      <c r="O166" s="166"/>
      <c r="P166" s="166"/>
      <c r="Q166" s="166"/>
      <c r="R166" s="166"/>
      <c r="S166" s="166"/>
      <c r="T166" s="166"/>
      <c r="U166" s="166"/>
      <c r="V166" s="166"/>
      <c r="W166" s="166"/>
      <c r="X166" s="166"/>
      <c r="Y166" s="166"/>
      <c r="Z166" s="166"/>
      <c r="AA166" s="166"/>
      <c r="AB166" s="166"/>
      <c r="AC166" s="166"/>
      <c r="AD166" s="166"/>
      <c r="AE166" s="166"/>
      <c r="AF166" s="166"/>
      <c r="AG166" s="166"/>
      <c r="AH166" s="166"/>
      <c r="AI166" s="166"/>
    </row>
    <row r="167" spans="7:35" x14ac:dyDescent="0.25">
      <c r="G167" s="165"/>
      <c r="H167" s="166"/>
      <c r="I167" s="167"/>
      <c r="J167" s="167"/>
      <c r="K167" s="166"/>
      <c r="L167" s="166"/>
      <c r="M167" s="166"/>
      <c r="N167" s="166"/>
      <c r="O167" s="166"/>
      <c r="P167" s="166"/>
      <c r="Q167" s="166"/>
      <c r="R167" s="166"/>
      <c r="S167" s="166"/>
      <c r="T167" s="166"/>
      <c r="U167" s="166"/>
      <c r="V167" s="166"/>
      <c r="W167" s="166"/>
      <c r="X167" s="166"/>
      <c r="Y167" s="166"/>
      <c r="Z167" s="166"/>
      <c r="AA167" s="166"/>
      <c r="AB167" s="166"/>
      <c r="AC167" s="166"/>
      <c r="AD167" s="166"/>
      <c r="AE167" s="166"/>
      <c r="AF167" s="166"/>
      <c r="AG167" s="166"/>
      <c r="AH167" s="166"/>
      <c r="AI167" s="166"/>
    </row>
    <row r="168" spans="7:35" x14ac:dyDescent="0.25">
      <c r="G168" s="165"/>
      <c r="H168" s="166"/>
      <c r="I168" s="167"/>
      <c r="J168" s="167"/>
      <c r="K168" s="166"/>
      <c r="L168" s="166"/>
      <c r="M168" s="166"/>
      <c r="N168" s="166"/>
      <c r="O168" s="166"/>
      <c r="P168" s="166"/>
      <c r="Q168" s="166"/>
      <c r="R168" s="166"/>
      <c r="S168" s="166"/>
      <c r="T168" s="166"/>
      <c r="U168" s="166"/>
      <c r="V168" s="166"/>
      <c r="W168" s="166"/>
      <c r="X168" s="166"/>
      <c r="Y168" s="166"/>
      <c r="Z168" s="166"/>
      <c r="AA168" s="166"/>
      <c r="AB168" s="166"/>
      <c r="AC168" s="166"/>
      <c r="AD168" s="166"/>
      <c r="AE168" s="166"/>
      <c r="AF168" s="166"/>
      <c r="AG168" s="166"/>
      <c r="AH168" s="166"/>
      <c r="AI168" s="166"/>
    </row>
    <row r="169" spans="7:35" x14ac:dyDescent="0.25">
      <c r="G169" s="165"/>
      <c r="H169" s="166"/>
      <c r="I169" s="167"/>
      <c r="J169" s="167"/>
      <c r="K169" s="166"/>
      <c r="L169" s="166"/>
      <c r="M169" s="166"/>
      <c r="N169" s="166"/>
      <c r="O169" s="166"/>
      <c r="P169" s="166"/>
      <c r="Q169" s="166"/>
      <c r="R169" s="166"/>
      <c r="S169" s="166"/>
      <c r="T169" s="166"/>
      <c r="U169" s="166"/>
      <c r="V169" s="166"/>
      <c r="W169" s="166"/>
      <c r="X169" s="166"/>
      <c r="Y169" s="166"/>
      <c r="Z169" s="166"/>
      <c r="AA169" s="166"/>
      <c r="AB169" s="166"/>
      <c r="AC169" s="166"/>
      <c r="AD169" s="166"/>
      <c r="AE169" s="166"/>
      <c r="AF169" s="166"/>
      <c r="AG169" s="166"/>
      <c r="AH169" s="166"/>
      <c r="AI169" s="166"/>
    </row>
    <row r="170" spans="7:35" x14ac:dyDescent="0.25">
      <c r="G170" s="165"/>
      <c r="H170" s="166"/>
      <c r="I170" s="167"/>
      <c r="J170" s="167"/>
      <c r="K170" s="166"/>
      <c r="L170" s="166"/>
      <c r="M170" s="166"/>
      <c r="N170" s="166"/>
      <c r="O170" s="166"/>
      <c r="P170" s="166"/>
      <c r="Q170" s="166"/>
      <c r="R170" s="166"/>
      <c r="S170" s="166"/>
      <c r="T170" s="166"/>
      <c r="U170" s="166"/>
      <c r="V170" s="166"/>
      <c r="W170" s="166"/>
      <c r="X170" s="166"/>
      <c r="Y170" s="166"/>
      <c r="Z170" s="166"/>
      <c r="AA170" s="166"/>
      <c r="AB170" s="166"/>
      <c r="AC170" s="166"/>
      <c r="AD170" s="166"/>
      <c r="AE170" s="166"/>
      <c r="AF170" s="166"/>
      <c r="AG170" s="166"/>
      <c r="AH170" s="166"/>
      <c r="AI170" s="166"/>
    </row>
    <row r="171" spans="7:35" x14ac:dyDescent="0.25">
      <c r="G171" s="165"/>
      <c r="H171" s="166"/>
      <c r="I171" s="167"/>
      <c r="J171" s="167"/>
      <c r="K171" s="166"/>
      <c r="L171" s="166"/>
      <c r="M171" s="166"/>
      <c r="N171" s="166"/>
      <c r="O171" s="166"/>
      <c r="P171" s="166"/>
      <c r="Q171" s="166"/>
      <c r="R171" s="166"/>
      <c r="S171" s="166"/>
      <c r="T171" s="166"/>
      <c r="U171" s="166"/>
      <c r="V171" s="166"/>
      <c r="W171" s="166"/>
      <c r="X171" s="166"/>
      <c r="Y171" s="166"/>
      <c r="Z171" s="166"/>
      <c r="AA171" s="166"/>
      <c r="AB171" s="166"/>
      <c r="AC171" s="166"/>
      <c r="AD171" s="166"/>
      <c r="AE171" s="166"/>
      <c r="AF171" s="166"/>
      <c r="AG171" s="166"/>
      <c r="AH171" s="166"/>
      <c r="AI171" s="166"/>
    </row>
    <row r="172" spans="7:35" x14ac:dyDescent="0.25">
      <c r="G172" s="165"/>
      <c r="H172" s="166"/>
      <c r="I172" s="167"/>
      <c r="J172" s="167"/>
      <c r="K172" s="166"/>
      <c r="L172" s="166"/>
      <c r="M172" s="166"/>
      <c r="N172" s="166"/>
      <c r="O172" s="166"/>
      <c r="P172" s="166"/>
      <c r="Q172" s="166"/>
      <c r="R172" s="166"/>
      <c r="S172" s="166"/>
      <c r="T172" s="166"/>
      <c r="U172" s="166"/>
      <c r="V172" s="166"/>
      <c r="W172" s="166"/>
      <c r="X172" s="166"/>
      <c r="Y172" s="166"/>
      <c r="Z172" s="166"/>
      <c r="AA172" s="166"/>
      <c r="AB172" s="166"/>
      <c r="AC172" s="166"/>
      <c r="AD172" s="166"/>
      <c r="AE172" s="166"/>
      <c r="AF172" s="166"/>
      <c r="AG172" s="166"/>
      <c r="AH172" s="166"/>
      <c r="AI172" s="166"/>
    </row>
    <row r="173" spans="7:35" x14ac:dyDescent="0.25">
      <c r="G173" s="165"/>
      <c r="H173" s="166"/>
      <c r="I173" s="167"/>
      <c r="J173" s="167"/>
      <c r="K173" s="166"/>
      <c r="L173" s="166"/>
      <c r="M173" s="166"/>
      <c r="N173" s="166"/>
      <c r="O173" s="166"/>
      <c r="P173" s="166"/>
      <c r="Q173" s="166"/>
      <c r="R173" s="166"/>
      <c r="S173" s="166"/>
      <c r="T173" s="166"/>
      <c r="U173" s="166"/>
      <c r="V173" s="166"/>
      <c r="W173" s="166"/>
      <c r="X173" s="166"/>
      <c r="Y173" s="166"/>
      <c r="Z173" s="166"/>
      <c r="AA173" s="166"/>
      <c r="AB173" s="166"/>
      <c r="AC173" s="166"/>
      <c r="AD173" s="166"/>
      <c r="AE173" s="166"/>
      <c r="AF173" s="166"/>
      <c r="AG173" s="166"/>
      <c r="AH173" s="166"/>
      <c r="AI173" s="166"/>
    </row>
    <row r="174" spans="7:35" x14ac:dyDescent="0.25">
      <c r="G174" s="165"/>
      <c r="H174" s="166"/>
      <c r="I174" s="167"/>
      <c r="J174" s="167"/>
      <c r="K174" s="166"/>
      <c r="L174" s="166"/>
      <c r="M174" s="166"/>
      <c r="N174" s="166"/>
      <c r="O174" s="166"/>
      <c r="P174" s="166"/>
      <c r="Q174" s="166"/>
      <c r="R174" s="166"/>
      <c r="S174" s="166"/>
      <c r="T174" s="166"/>
      <c r="U174" s="166"/>
      <c r="V174" s="166"/>
      <c r="W174" s="166"/>
      <c r="X174" s="166"/>
      <c r="Y174" s="166"/>
      <c r="Z174" s="166"/>
      <c r="AA174" s="166"/>
      <c r="AB174" s="166"/>
      <c r="AC174" s="166"/>
      <c r="AD174" s="166"/>
      <c r="AE174" s="166"/>
      <c r="AF174" s="166"/>
      <c r="AG174" s="166"/>
      <c r="AH174" s="166"/>
      <c r="AI174" s="166"/>
    </row>
    <row r="175" spans="7:35" x14ac:dyDescent="0.25">
      <c r="G175" s="165"/>
      <c r="H175" s="166"/>
      <c r="I175" s="167"/>
      <c r="J175" s="167"/>
      <c r="K175" s="166"/>
      <c r="L175" s="166"/>
      <c r="M175" s="166"/>
      <c r="N175" s="166"/>
      <c r="O175" s="166"/>
      <c r="P175" s="166"/>
      <c r="Q175" s="166"/>
      <c r="R175" s="166"/>
      <c r="S175" s="166"/>
      <c r="T175" s="166"/>
      <c r="U175" s="166"/>
      <c r="V175" s="166"/>
      <c r="W175" s="166"/>
      <c r="X175" s="166"/>
      <c r="Y175" s="166"/>
      <c r="Z175" s="166"/>
      <c r="AA175" s="166"/>
      <c r="AB175" s="166"/>
      <c r="AC175" s="166"/>
      <c r="AD175" s="166"/>
      <c r="AE175" s="166"/>
      <c r="AF175" s="166"/>
      <c r="AG175" s="166"/>
      <c r="AH175" s="166"/>
      <c r="AI175" s="166"/>
    </row>
    <row r="176" spans="7:35" x14ac:dyDescent="0.25">
      <c r="G176" s="165"/>
      <c r="H176" s="166"/>
      <c r="I176" s="167"/>
      <c r="J176" s="167"/>
      <c r="K176" s="166"/>
      <c r="L176" s="166"/>
      <c r="M176" s="166"/>
      <c r="N176" s="166"/>
      <c r="O176" s="166"/>
      <c r="P176" s="166"/>
      <c r="Q176" s="166"/>
      <c r="R176" s="166"/>
      <c r="S176" s="166"/>
      <c r="T176" s="166"/>
      <c r="U176" s="166"/>
      <c r="V176" s="166"/>
      <c r="W176" s="166"/>
      <c r="X176" s="166"/>
      <c r="Y176" s="166"/>
      <c r="Z176" s="166"/>
      <c r="AA176" s="166"/>
      <c r="AB176" s="166"/>
      <c r="AC176" s="166"/>
      <c r="AD176" s="166"/>
      <c r="AE176" s="166"/>
      <c r="AF176" s="166"/>
      <c r="AG176" s="166"/>
      <c r="AH176" s="166"/>
      <c r="AI176" s="166"/>
    </row>
    <row r="177" spans="7:35" x14ac:dyDescent="0.25">
      <c r="G177" s="165"/>
      <c r="H177" s="166"/>
      <c r="I177" s="167"/>
      <c r="J177" s="167"/>
      <c r="K177" s="166"/>
      <c r="L177" s="166"/>
      <c r="M177" s="166"/>
      <c r="N177" s="166"/>
      <c r="O177" s="166"/>
      <c r="P177" s="166"/>
      <c r="Q177" s="166"/>
      <c r="R177" s="166"/>
      <c r="S177" s="166"/>
      <c r="T177" s="166"/>
      <c r="U177" s="166"/>
      <c r="V177" s="166"/>
      <c r="W177" s="166"/>
      <c r="X177" s="166"/>
      <c r="Y177" s="166"/>
      <c r="Z177" s="166"/>
      <c r="AA177" s="166"/>
      <c r="AB177" s="166"/>
      <c r="AC177" s="166"/>
      <c r="AD177" s="166"/>
      <c r="AE177" s="166"/>
      <c r="AF177" s="166"/>
      <c r="AG177" s="166"/>
      <c r="AH177" s="166"/>
      <c r="AI177" s="166"/>
    </row>
    <row r="178" spans="7:35" x14ac:dyDescent="0.25">
      <c r="G178" s="165"/>
      <c r="H178" s="166"/>
      <c r="I178" s="167"/>
      <c r="J178" s="167"/>
      <c r="K178" s="166"/>
      <c r="L178" s="166"/>
      <c r="M178" s="166"/>
      <c r="N178" s="166"/>
      <c r="O178" s="166"/>
      <c r="P178" s="166"/>
      <c r="Q178" s="166"/>
      <c r="R178" s="166"/>
      <c r="S178" s="166"/>
      <c r="T178" s="166"/>
      <c r="U178" s="166"/>
      <c r="V178" s="166"/>
      <c r="W178" s="166"/>
      <c r="X178" s="166"/>
      <c r="Y178" s="166"/>
      <c r="Z178" s="166"/>
      <c r="AA178" s="166"/>
      <c r="AB178" s="166"/>
      <c r="AC178" s="166"/>
      <c r="AD178" s="166"/>
      <c r="AE178" s="166"/>
      <c r="AF178" s="166"/>
      <c r="AG178" s="166"/>
      <c r="AH178" s="166"/>
      <c r="AI178" s="166"/>
    </row>
    <row r="179" spans="7:35" x14ac:dyDescent="0.25">
      <c r="G179" s="165"/>
      <c r="H179" s="166"/>
      <c r="I179" s="167"/>
      <c r="J179" s="167"/>
      <c r="K179" s="166"/>
      <c r="L179" s="166"/>
      <c r="M179" s="166"/>
      <c r="N179" s="166"/>
      <c r="O179" s="166"/>
      <c r="P179" s="166"/>
      <c r="Q179" s="166"/>
      <c r="R179" s="166"/>
      <c r="S179" s="166"/>
      <c r="T179" s="166"/>
      <c r="U179" s="166"/>
      <c r="V179" s="166"/>
      <c r="W179" s="166"/>
      <c r="X179" s="166"/>
      <c r="Y179" s="166"/>
      <c r="Z179" s="166"/>
      <c r="AA179" s="166"/>
      <c r="AB179" s="166"/>
      <c r="AC179" s="166"/>
      <c r="AD179" s="166"/>
      <c r="AE179" s="166"/>
      <c r="AF179" s="166"/>
      <c r="AG179" s="166"/>
      <c r="AH179" s="166"/>
      <c r="AI179" s="166"/>
    </row>
    <row r="180" spans="7:35" x14ac:dyDescent="0.25">
      <c r="G180" s="165"/>
      <c r="H180" s="166"/>
      <c r="I180" s="167"/>
      <c r="J180" s="167"/>
      <c r="K180" s="166"/>
      <c r="L180" s="166"/>
      <c r="M180" s="166"/>
      <c r="N180" s="166"/>
      <c r="O180" s="166"/>
      <c r="P180" s="166"/>
      <c r="Q180" s="166"/>
      <c r="R180" s="166"/>
      <c r="S180" s="166"/>
      <c r="T180" s="166"/>
      <c r="U180" s="166"/>
      <c r="V180" s="166"/>
      <c r="W180" s="166"/>
      <c r="X180" s="166"/>
      <c r="Y180" s="166"/>
      <c r="Z180" s="166"/>
      <c r="AA180" s="166"/>
      <c r="AB180" s="166"/>
      <c r="AC180" s="166"/>
      <c r="AD180" s="166"/>
      <c r="AE180" s="166"/>
      <c r="AF180" s="166"/>
      <c r="AG180" s="166"/>
      <c r="AH180" s="166"/>
      <c r="AI180" s="166"/>
    </row>
    <row r="181" spans="7:35" x14ac:dyDescent="0.25">
      <c r="G181" s="165"/>
      <c r="H181" s="166"/>
      <c r="I181" s="167"/>
      <c r="J181" s="167"/>
      <c r="K181" s="166"/>
      <c r="L181" s="166"/>
      <c r="M181" s="166"/>
      <c r="N181" s="166"/>
      <c r="O181" s="166"/>
      <c r="P181" s="166"/>
      <c r="Q181" s="166"/>
      <c r="R181" s="166"/>
      <c r="S181" s="166"/>
      <c r="T181" s="166"/>
      <c r="U181" s="166"/>
      <c r="V181" s="166"/>
      <c r="W181" s="166"/>
      <c r="X181" s="166"/>
      <c r="Y181" s="166"/>
      <c r="Z181" s="166"/>
      <c r="AA181" s="166"/>
      <c r="AB181" s="166"/>
      <c r="AC181" s="166"/>
      <c r="AD181" s="166"/>
      <c r="AE181" s="166"/>
      <c r="AF181" s="166"/>
      <c r="AG181" s="166"/>
      <c r="AH181" s="166"/>
      <c r="AI181" s="166"/>
    </row>
    <row r="182" spans="7:35" x14ac:dyDescent="0.25">
      <c r="G182" s="165"/>
      <c r="H182" s="166"/>
      <c r="I182" s="167"/>
      <c r="J182" s="167"/>
      <c r="K182" s="166"/>
      <c r="L182" s="166"/>
      <c r="M182" s="166"/>
      <c r="N182" s="166"/>
      <c r="O182" s="166"/>
      <c r="P182" s="166"/>
      <c r="Q182" s="166"/>
      <c r="R182" s="166"/>
      <c r="S182" s="166"/>
      <c r="T182" s="166"/>
      <c r="U182" s="166"/>
      <c r="V182" s="166"/>
      <c r="W182" s="166"/>
      <c r="X182" s="166"/>
      <c r="Y182" s="166"/>
      <c r="Z182" s="166"/>
      <c r="AA182" s="166"/>
      <c r="AB182" s="166"/>
      <c r="AC182" s="166"/>
      <c r="AD182" s="166"/>
      <c r="AE182" s="166"/>
      <c r="AF182" s="166"/>
      <c r="AG182" s="166"/>
      <c r="AH182" s="166"/>
      <c r="AI182" s="166"/>
    </row>
    <row r="183" spans="7:35" x14ac:dyDescent="0.25">
      <c r="G183" s="165"/>
      <c r="H183" s="166"/>
      <c r="I183" s="167"/>
      <c r="J183" s="167"/>
      <c r="K183" s="166"/>
      <c r="L183" s="166"/>
      <c r="M183" s="166"/>
      <c r="N183" s="166"/>
      <c r="O183" s="166"/>
      <c r="P183" s="166"/>
      <c r="Q183" s="166"/>
      <c r="R183" s="166"/>
      <c r="S183" s="166"/>
      <c r="T183" s="166"/>
      <c r="U183" s="166"/>
      <c r="V183" s="166"/>
      <c r="W183" s="166"/>
      <c r="X183" s="166"/>
      <c r="Y183" s="166"/>
      <c r="Z183" s="166"/>
      <c r="AA183" s="166"/>
      <c r="AB183" s="166"/>
      <c r="AC183" s="166"/>
      <c r="AD183" s="166"/>
      <c r="AE183" s="166"/>
      <c r="AF183" s="166"/>
      <c r="AG183" s="166"/>
      <c r="AH183" s="166"/>
      <c r="AI183" s="166"/>
    </row>
    <row r="184" spans="7:35" x14ac:dyDescent="0.25">
      <c r="G184" s="165"/>
      <c r="H184" s="166"/>
      <c r="I184" s="167"/>
      <c r="J184" s="167"/>
      <c r="K184" s="166"/>
      <c r="L184" s="166"/>
      <c r="M184" s="166"/>
      <c r="N184" s="166"/>
      <c r="O184" s="166"/>
      <c r="P184" s="166"/>
      <c r="Q184" s="166"/>
      <c r="R184" s="166"/>
      <c r="S184" s="166"/>
      <c r="T184" s="166"/>
      <c r="U184" s="166"/>
      <c r="V184" s="166"/>
      <c r="W184" s="166"/>
      <c r="X184" s="166"/>
      <c r="Y184" s="166"/>
      <c r="Z184" s="166"/>
      <c r="AA184" s="166"/>
      <c r="AB184" s="166"/>
      <c r="AC184" s="166"/>
      <c r="AD184" s="166"/>
      <c r="AE184" s="166"/>
      <c r="AF184" s="166"/>
      <c r="AG184" s="166"/>
      <c r="AH184" s="166"/>
      <c r="AI184" s="166"/>
    </row>
    <row r="185" spans="7:35" x14ac:dyDescent="0.25">
      <c r="G185" s="165"/>
      <c r="H185" s="166"/>
      <c r="I185" s="167"/>
      <c r="J185" s="167"/>
      <c r="K185" s="166"/>
      <c r="L185" s="166"/>
      <c r="M185" s="166"/>
      <c r="N185" s="166"/>
      <c r="O185" s="166"/>
      <c r="P185" s="166"/>
      <c r="Q185" s="166"/>
      <c r="R185" s="166"/>
      <c r="S185" s="166"/>
      <c r="T185" s="166"/>
      <c r="U185" s="166"/>
      <c r="V185" s="166"/>
      <c r="W185" s="166"/>
      <c r="X185" s="166"/>
      <c r="Y185" s="166"/>
      <c r="Z185" s="166"/>
      <c r="AA185" s="166"/>
      <c r="AB185" s="166"/>
      <c r="AC185" s="166"/>
      <c r="AD185" s="166"/>
      <c r="AE185" s="166"/>
      <c r="AF185" s="166"/>
      <c r="AG185" s="166"/>
      <c r="AH185" s="166"/>
      <c r="AI185" s="166"/>
    </row>
    <row r="186" spans="7:35" x14ac:dyDescent="0.25">
      <c r="G186" s="165"/>
      <c r="H186" s="166"/>
      <c r="I186" s="167"/>
      <c r="J186" s="167"/>
      <c r="K186" s="166"/>
      <c r="L186" s="166"/>
      <c r="M186" s="166"/>
      <c r="N186" s="166"/>
      <c r="O186" s="166"/>
      <c r="P186" s="166"/>
      <c r="Q186" s="166"/>
      <c r="R186" s="166"/>
      <c r="S186" s="166"/>
      <c r="T186" s="166"/>
      <c r="U186" s="166"/>
      <c r="V186" s="166"/>
      <c r="W186" s="166"/>
      <c r="X186" s="166"/>
      <c r="Y186" s="166"/>
      <c r="Z186" s="166"/>
      <c r="AA186" s="166"/>
      <c r="AB186" s="166"/>
      <c r="AC186" s="166"/>
      <c r="AD186" s="166"/>
      <c r="AE186" s="166"/>
      <c r="AF186" s="166"/>
      <c r="AG186" s="166"/>
      <c r="AH186" s="166"/>
      <c r="AI186" s="166"/>
    </row>
    <row r="187" spans="7:35" x14ac:dyDescent="0.25">
      <c r="G187" s="165"/>
      <c r="H187" s="166"/>
      <c r="I187" s="167"/>
      <c r="J187" s="167"/>
      <c r="K187" s="166"/>
      <c r="L187" s="166"/>
      <c r="M187" s="166"/>
      <c r="N187" s="166"/>
      <c r="O187" s="166"/>
      <c r="P187" s="166"/>
      <c r="Q187" s="166"/>
      <c r="R187" s="166"/>
      <c r="S187" s="166"/>
      <c r="T187" s="166"/>
      <c r="U187" s="166"/>
      <c r="V187" s="166"/>
      <c r="W187" s="166"/>
      <c r="X187" s="166"/>
      <c r="Y187" s="166"/>
      <c r="Z187" s="166"/>
      <c r="AA187" s="166"/>
      <c r="AB187" s="166"/>
      <c r="AC187" s="166"/>
      <c r="AD187" s="166"/>
      <c r="AE187" s="166"/>
      <c r="AF187" s="166"/>
      <c r="AG187" s="166"/>
      <c r="AH187" s="166"/>
      <c r="AI187" s="166"/>
    </row>
    <row r="188" spans="7:35" x14ac:dyDescent="0.25">
      <c r="G188" s="165"/>
      <c r="H188" s="166"/>
      <c r="I188" s="167"/>
      <c r="J188" s="167"/>
      <c r="K188" s="166"/>
      <c r="L188" s="166"/>
      <c r="M188" s="166"/>
      <c r="N188" s="166"/>
      <c r="O188" s="166"/>
      <c r="P188" s="166"/>
      <c r="Q188" s="166"/>
      <c r="R188" s="166"/>
      <c r="S188" s="166"/>
      <c r="T188" s="166"/>
      <c r="U188" s="166"/>
      <c r="V188" s="166"/>
      <c r="W188" s="166"/>
      <c r="X188" s="166"/>
      <c r="Y188" s="166"/>
      <c r="Z188" s="166"/>
      <c r="AA188" s="166"/>
      <c r="AB188" s="166"/>
      <c r="AC188" s="166"/>
      <c r="AD188" s="166"/>
      <c r="AE188" s="166"/>
      <c r="AF188" s="166"/>
      <c r="AG188" s="166"/>
      <c r="AH188" s="166"/>
      <c r="AI188" s="166"/>
    </row>
    <row r="189" spans="7:35" x14ac:dyDescent="0.25">
      <c r="G189" s="165"/>
      <c r="H189" s="166"/>
      <c r="I189" s="167"/>
      <c r="J189" s="167"/>
      <c r="K189" s="166"/>
      <c r="L189" s="166"/>
      <c r="M189" s="166"/>
      <c r="N189" s="166"/>
      <c r="O189" s="166"/>
      <c r="P189" s="166"/>
      <c r="Q189" s="166"/>
      <c r="R189" s="166"/>
      <c r="S189" s="166"/>
      <c r="T189" s="166"/>
      <c r="U189" s="166"/>
      <c r="V189" s="166"/>
      <c r="W189" s="166"/>
      <c r="X189" s="166"/>
      <c r="Y189" s="166"/>
      <c r="Z189" s="166"/>
      <c r="AA189" s="166"/>
      <c r="AB189" s="166"/>
      <c r="AC189" s="166"/>
      <c r="AD189" s="166"/>
      <c r="AE189" s="166"/>
      <c r="AF189" s="166"/>
      <c r="AG189" s="166"/>
      <c r="AH189" s="166"/>
      <c r="AI189" s="166"/>
    </row>
    <row r="190" spans="7:35" x14ac:dyDescent="0.25">
      <c r="G190" s="165"/>
      <c r="H190" s="166"/>
      <c r="I190" s="167"/>
      <c r="J190" s="167"/>
      <c r="K190" s="166"/>
      <c r="L190" s="166"/>
      <c r="M190" s="166"/>
      <c r="N190" s="166"/>
      <c r="O190" s="166"/>
      <c r="P190" s="166"/>
      <c r="Q190" s="166"/>
      <c r="R190" s="166"/>
      <c r="S190" s="166"/>
      <c r="T190" s="166"/>
      <c r="U190" s="166"/>
      <c r="V190" s="166"/>
      <c r="W190" s="166"/>
      <c r="X190" s="166"/>
      <c r="Y190" s="166"/>
      <c r="Z190" s="166"/>
      <c r="AA190" s="166"/>
      <c r="AB190" s="166"/>
      <c r="AC190" s="166"/>
      <c r="AD190" s="166"/>
      <c r="AE190" s="166"/>
      <c r="AF190" s="166"/>
      <c r="AG190" s="166"/>
      <c r="AH190" s="166"/>
      <c r="AI190" s="166"/>
    </row>
    <row r="191" spans="7:35" x14ac:dyDescent="0.25">
      <c r="G191" s="165"/>
      <c r="H191" s="166"/>
      <c r="I191" s="167"/>
      <c r="J191" s="167"/>
      <c r="K191" s="166"/>
      <c r="L191" s="166"/>
      <c r="M191" s="166"/>
      <c r="N191" s="166"/>
      <c r="O191" s="166"/>
      <c r="P191" s="166"/>
      <c r="Q191" s="166"/>
      <c r="R191" s="166"/>
      <c r="S191" s="166"/>
      <c r="T191" s="166"/>
      <c r="U191" s="166"/>
      <c r="V191" s="166"/>
      <c r="W191" s="166"/>
      <c r="X191" s="166"/>
      <c r="Y191" s="166"/>
      <c r="Z191" s="166"/>
      <c r="AA191" s="166"/>
      <c r="AB191" s="166"/>
      <c r="AC191" s="166"/>
      <c r="AD191" s="166"/>
      <c r="AE191" s="166"/>
      <c r="AF191" s="166"/>
      <c r="AG191" s="166"/>
      <c r="AH191" s="166"/>
      <c r="AI191" s="166"/>
    </row>
    <row r="192" spans="7:35" x14ac:dyDescent="0.25">
      <c r="G192" s="165"/>
      <c r="H192" s="166"/>
      <c r="I192" s="167"/>
      <c r="J192" s="167"/>
      <c r="K192" s="166"/>
      <c r="L192" s="166"/>
      <c r="M192" s="166"/>
      <c r="N192" s="166"/>
      <c r="O192" s="166"/>
      <c r="P192" s="166"/>
      <c r="Q192" s="166"/>
      <c r="R192" s="166"/>
      <c r="S192" s="166"/>
      <c r="T192" s="166"/>
      <c r="U192" s="166"/>
      <c r="V192" s="166"/>
      <c r="W192" s="166"/>
      <c r="X192" s="166"/>
      <c r="Y192" s="166"/>
      <c r="Z192" s="166"/>
      <c r="AA192" s="166"/>
      <c r="AB192" s="166"/>
      <c r="AC192" s="166"/>
      <c r="AD192" s="166"/>
      <c r="AE192" s="166"/>
      <c r="AF192" s="166"/>
      <c r="AG192" s="166"/>
      <c r="AH192" s="166"/>
      <c r="AI192" s="166"/>
    </row>
    <row r="193" spans="7:35" x14ac:dyDescent="0.25">
      <c r="G193" s="165"/>
      <c r="H193" s="166"/>
      <c r="I193" s="167"/>
      <c r="J193" s="167"/>
      <c r="K193" s="166"/>
      <c r="L193" s="166"/>
      <c r="M193" s="166"/>
      <c r="N193" s="166"/>
      <c r="O193" s="166"/>
      <c r="P193" s="166"/>
      <c r="Q193" s="166"/>
      <c r="R193" s="166"/>
      <c r="S193" s="166"/>
      <c r="T193" s="166"/>
      <c r="U193" s="166"/>
      <c r="V193" s="166"/>
      <c r="W193" s="166"/>
      <c r="X193" s="166"/>
      <c r="Y193" s="166"/>
      <c r="Z193" s="166"/>
      <c r="AA193" s="166"/>
      <c r="AB193" s="166"/>
      <c r="AC193" s="166"/>
      <c r="AD193" s="166"/>
      <c r="AE193" s="166"/>
      <c r="AF193" s="166"/>
      <c r="AG193" s="166"/>
      <c r="AH193" s="166"/>
      <c r="AI193" s="166"/>
    </row>
    <row r="194" spans="7:35" x14ac:dyDescent="0.25">
      <c r="G194" s="165"/>
      <c r="H194" s="166"/>
      <c r="I194" s="167"/>
      <c r="J194" s="167"/>
      <c r="K194" s="166"/>
      <c r="L194" s="166"/>
      <c r="M194" s="166"/>
      <c r="N194" s="166"/>
      <c r="O194" s="166"/>
      <c r="P194" s="166"/>
      <c r="Q194" s="166"/>
      <c r="R194" s="166"/>
      <c r="S194" s="166"/>
      <c r="T194" s="166"/>
      <c r="U194" s="166"/>
      <c r="V194" s="166"/>
      <c r="W194" s="166"/>
      <c r="X194" s="166"/>
      <c r="Y194" s="166"/>
      <c r="Z194" s="166"/>
      <c r="AA194" s="166"/>
      <c r="AB194" s="166"/>
      <c r="AC194" s="166"/>
      <c r="AD194" s="166"/>
      <c r="AE194" s="166"/>
      <c r="AF194" s="166"/>
      <c r="AG194" s="166"/>
      <c r="AH194" s="166"/>
      <c r="AI194" s="166"/>
    </row>
    <row r="195" spans="7:35" x14ac:dyDescent="0.25">
      <c r="G195" s="165"/>
      <c r="H195" s="166"/>
      <c r="I195" s="167"/>
      <c r="J195" s="167"/>
      <c r="K195" s="166"/>
      <c r="L195" s="166"/>
      <c r="M195" s="166"/>
      <c r="N195" s="166"/>
      <c r="O195" s="166"/>
      <c r="P195" s="166"/>
      <c r="Q195" s="166"/>
      <c r="R195" s="166"/>
      <c r="S195" s="166"/>
      <c r="T195" s="166"/>
      <c r="U195" s="166"/>
      <c r="V195" s="166"/>
      <c r="W195" s="166"/>
      <c r="X195" s="166"/>
      <c r="Y195" s="166"/>
      <c r="Z195" s="166"/>
      <c r="AA195" s="166"/>
      <c r="AB195" s="166"/>
      <c r="AC195" s="166"/>
      <c r="AD195" s="166"/>
      <c r="AE195" s="166"/>
      <c r="AF195" s="166"/>
      <c r="AG195" s="166"/>
      <c r="AH195" s="166"/>
      <c r="AI195" s="166"/>
    </row>
    <row r="196" spans="7:35" x14ac:dyDescent="0.25">
      <c r="G196" s="165"/>
      <c r="H196" s="166"/>
      <c r="I196" s="167"/>
      <c r="J196" s="167"/>
      <c r="K196" s="166"/>
      <c r="L196" s="166"/>
      <c r="M196" s="166"/>
      <c r="N196" s="166"/>
      <c r="O196" s="166"/>
      <c r="P196" s="166"/>
      <c r="Q196" s="166"/>
      <c r="R196" s="166"/>
      <c r="S196" s="166"/>
      <c r="T196" s="166"/>
      <c r="U196" s="166"/>
      <c r="V196" s="166"/>
      <c r="W196" s="166"/>
      <c r="X196" s="166"/>
      <c r="Y196" s="166"/>
      <c r="Z196" s="166"/>
      <c r="AA196" s="166"/>
      <c r="AB196" s="166"/>
      <c r="AC196" s="166"/>
      <c r="AD196" s="166"/>
      <c r="AE196" s="166"/>
      <c r="AF196" s="166"/>
      <c r="AG196" s="166"/>
      <c r="AH196" s="166"/>
      <c r="AI196" s="166"/>
    </row>
    <row r="197" spans="7:35" x14ac:dyDescent="0.25">
      <c r="G197" s="165"/>
      <c r="H197" s="166"/>
      <c r="I197" s="167"/>
      <c r="J197" s="167"/>
      <c r="K197" s="166"/>
      <c r="L197" s="166"/>
      <c r="M197" s="166"/>
      <c r="N197" s="166"/>
      <c r="O197" s="166"/>
      <c r="P197" s="166"/>
      <c r="Q197" s="166"/>
      <c r="R197" s="166"/>
      <c r="S197" s="166"/>
      <c r="T197" s="166"/>
      <c r="U197" s="166"/>
      <c r="V197" s="166"/>
      <c r="W197" s="166"/>
      <c r="X197" s="166"/>
      <c r="Y197" s="166"/>
      <c r="Z197" s="166"/>
      <c r="AA197" s="166"/>
      <c r="AB197" s="166"/>
      <c r="AC197" s="166"/>
      <c r="AD197" s="166"/>
      <c r="AE197" s="166"/>
      <c r="AF197" s="166"/>
      <c r="AG197" s="166"/>
      <c r="AH197" s="166"/>
      <c r="AI197" s="166"/>
    </row>
    <row r="198" spans="7:35" x14ac:dyDescent="0.25">
      <c r="G198" s="165"/>
      <c r="H198" s="166"/>
      <c r="I198" s="167"/>
      <c r="J198" s="167"/>
      <c r="K198" s="166"/>
      <c r="L198" s="166"/>
      <c r="M198" s="166"/>
      <c r="N198" s="166"/>
      <c r="O198" s="166"/>
      <c r="P198" s="166"/>
      <c r="Q198" s="166"/>
      <c r="R198" s="166"/>
      <c r="S198" s="166"/>
      <c r="T198" s="166"/>
      <c r="U198" s="166"/>
      <c r="V198" s="166"/>
      <c r="W198" s="166"/>
      <c r="X198" s="166"/>
      <c r="Y198" s="166"/>
      <c r="Z198" s="166"/>
      <c r="AA198" s="166"/>
      <c r="AB198" s="166"/>
      <c r="AC198" s="166"/>
      <c r="AD198" s="166"/>
      <c r="AE198" s="166"/>
      <c r="AF198" s="166"/>
      <c r="AG198" s="166"/>
      <c r="AH198" s="166"/>
      <c r="AI198" s="166"/>
    </row>
    <row r="199" spans="7:35" x14ac:dyDescent="0.25">
      <c r="G199" s="165"/>
      <c r="H199" s="166"/>
      <c r="I199" s="167"/>
      <c r="J199" s="167"/>
      <c r="K199" s="166"/>
      <c r="L199" s="166"/>
      <c r="M199" s="166"/>
      <c r="N199" s="166"/>
      <c r="O199" s="166"/>
      <c r="P199" s="166"/>
      <c r="Q199" s="166"/>
      <c r="R199" s="166"/>
      <c r="S199" s="166"/>
      <c r="T199" s="166"/>
      <c r="U199" s="166"/>
      <c r="V199" s="166"/>
      <c r="W199" s="166"/>
      <c r="X199" s="166"/>
      <c r="Y199" s="166"/>
      <c r="Z199" s="166"/>
      <c r="AA199" s="166"/>
      <c r="AB199" s="166"/>
      <c r="AC199" s="166"/>
      <c r="AD199" s="166"/>
      <c r="AE199" s="166"/>
      <c r="AF199" s="166"/>
      <c r="AG199" s="166"/>
      <c r="AH199" s="166"/>
      <c r="AI199" s="166"/>
    </row>
    <row r="200" spans="7:35" x14ac:dyDescent="0.25">
      <c r="G200" s="165"/>
      <c r="H200" s="166"/>
      <c r="I200" s="167"/>
      <c r="J200" s="167"/>
      <c r="K200" s="166"/>
      <c r="L200" s="166"/>
      <c r="M200" s="166"/>
      <c r="N200" s="166"/>
      <c r="O200" s="166"/>
      <c r="P200" s="166"/>
      <c r="Q200" s="166"/>
      <c r="R200" s="166"/>
      <c r="S200" s="166"/>
      <c r="T200" s="166"/>
      <c r="U200" s="166"/>
      <c r="V200" s="166"/>
      <c r="W200" s="166"/>
      <c r="X200" s="166"/>
      <c r="Y200" s="166"/>
      <c r="Z200" s="166"/>
      <c r="AA200" s="166"/>
      <c r="AB200" s="166"/>
      <c r="AC200" s="166"/>
      <c r="AD200" s="166"/>
      <c r="AE200" s="166"/>
      <c r="AF200" s="166"/>
      <c r="AG200" s="166"/>
      <c r="AH200" s="166"/>
      <c r="AI200" s="166"/>
    </row>
    <row r="201" spans="7:35" x14ac:dyDescent="0.25">
      <c r="G201" s="165"/>
      <c r="H201" s="166"/>
      <c r="I201" s="167"/>
      <c r="J201" s="167"/>
      <c r="K201" s="166"/>
      <c r="L201" s="166"/>
      <c r="M201" s="166"/>
      <c r="N201" s="166"/>
      <c r="O201" s="166"/>
      <c r="P201" s="166"/>
      <c r="Q201" s="166"/>
      <c r="R201" s="166"/>
      <c r="S201" s="166"/>
      <c r="T201" s="166"/>
      <c r="U201" s="166"/>
      <c r="V201" s="166"/>
      <c r="W201" s="166"/>
      <c r="X201" s="166"/>
      <c r="Y201" s="166"/>
      <c r="Z201" s="166"/>
      <c r="AA201" s="166"/>
      <c r="AB201" s="166"/>
      <c r="AC201" s="166"/>
      <c r="AD201" s="166"/>
      <c r="AE201" s="166"/>
      <c r="AF201" s="166"/>
      <c r="AG201" s="166"/>
      <c r="AH201" s="166"/>
      <c r="AI201" s="166"/>
    </row>
    <row r="202" spans="7:35" x14ac:dyDescent="0.25">
      <c r="G202" s="165"/>
      <c r="H202" s="166"/>
      <c r="I202" s="167"/>
      <c r="J202" s="167"/>
      <c r="K202" s="166"/>
      <c r="L202" s="166"/>
      <c r="M202" s="166"/>
      <c r="N202" s="166"/>
      <c r="O202" s="166"/>
      <c r="P202" s="166"/>
      <c r="Q202" s="166"/>
      <c r="R202" s="166"/>
      <c r="S202" s="166"/>
      <c r="T202" s="166"/>
      <c r="U202" s="166"/>
      <c r="V202" s="166"/>
      <c r="W202" s="166"/>
      <c r="X202" s="166"/>
      <c r="Y202" s="166"/>
      <c r="Z202" s="166"/>
      <c r="AA202" s="166"/>
      <c r="AB202" s="166"/>
      <c r="AC202" s="166"/>
      <c r="AD202" s="166"/>
      <c r="AE202" s="166"/>
      <c r="AF202" s="166"/>
      <c r="AG202" s="166"/>
      <c r="AH202" s="166"/>
      <c r="AI202" s="166"/>
    </row>
    <row r="203" spans="7:35" x14ac:dyDescent="0.25">
      <c r="G203" s="165"/>
      <c r="H203" s="166"/>
      <c r="I203" s="167"/>
      <c r="J203" s="167"/>
      <c r="K203" s="166"/>
      <c r="L203" s="166"/>
      <c r="M203" s="166"/>
      <c r="N203" s="166"/>
      <c r="O203" s="166"/>
      <c r="P203" s="166"/>
      <c r="Q203" s="166"/>
      <c r="R203" s="166"/>
      <c r="S203" s="166"/>
      <c r="T203" s="166"/>
      <c r="U203" s="166"/>
      <c r="V203" s="166"/>
      <c r="W203" s="166"/>
      <c r="X203" s="166"/>
      <c r="Y203" s="166"/>
      <c r="Z203" s="166"/>
      <c r="AA203" s="166"/>
      <c r="AB203" s="166"/>
      <c r="AC203" s="166"/>
      <c r="AD203" s="166"/>
      <c r="AE203" s="166"/>
      <c r="AF203" s="166"/>
      <c r="AG203" s="166"/>
      <c r="AH203" s="166"/>
      <c r="AI203" s="166"/>
    </row>
    <row r="204" spans="7:35" x14ac:dyDescent="0.25">
      <c r="G204" s="165"/>
      <c r="H204" s="166"/>
      <c r="I204" s="167"/>
      <c r="J204" s="167"/>
      <c r="K204" s="166"/>
      <c r="L204" s="166"/>
      <c r="M204" s="166"/>
      <c r="N204" s="166"/>
      <c r="O204" s="166"/>
      <c r="P204" s="166"/>
      <c r="Q204" s="166"/>
      <c r="R204" s="166"/>
      <c r="S204" s="166"/>
      <c r="T204" s="166"/>
      <c r="U204" s="166"/>
      <c r="V204" s="166"/>
      <c r="W204" s="166"/>
      <c r="X204" s="166"/>
      <c r="Y204" s="166"/>
      <c r="Z204" s="166"/>
      <c r="AA204" s="166"/>
      <c r="AB204" s="166"/>
      <c r="AC204" s="166"/>
      <c r="AD204" s="166"/>
      <c r="AE204" s="166"/>
      <c r="AF204" s="166"/>
      <c r="AG204" s="166"/>
      <c r="AH204" s="166"/>
      <c r="AI204" s="166"/>
    </row>
    <row r="205" spans="7:35" x14ac:dyDescent="0.25">
      <c r="G205" s="165"/>
      <c r="H205" s="166"/>
      <c r="I205" s="167"/>
      <c r="J205" s="167"/>
      <c r="K205" s="166"/>
      <c r="L205" s="166"/>
      <c r="M205" s="166"/>
      <c r="N205" s="166"/>
      <c r="O205" s="166"/>
      <c r="P205" s="166"/>
      <c r="Q205" s="166"/>
      <c r="R205" s="166"/>
      <c r="S205" s="166"/>
      <c r="T205" s="166"/>
      <c r="U205" s="166"/>
      <c r="V205" s="166"/>
      <c r="W205" s="166"/>
      <c r="X205" s="166"/>
      <c r="Y205" s="166"/>
      <c r="Z205" s="166"/>
      <c r="AA205" s="166"/>
      <c r="AB205" s="166"/>
      <c r="AC205" s="166"/>
      <c r="AD205" s="166"/>
      <c r="AE205" s="166"/>
      <c r="AF205" s="166"/>
      <c r="AG205" s="166"/>
      <c r="AH205" s="166"/>
      <c r="AI205" s="166"/>
    </row>
    <row r="206" spans="7:35" x14ac:dyDescent="0.25">
      <c r="G206" s="165"/>
      <c r="H206" s="166"/>
      <c r="I206" s="167"/>
      <c r="J206" s="167"/>
      <c r="K206" s="166"/>
      <c r="L206" s="166"/>
      <c r="M206" s="166"/>
      <c r="N206" s="166"/>
      <c r="O206" s="166"/>
      <c r="P206" s="166"/>
      <c r="Q206" s="166"/>
      <c r="R206" s="166"/>
      <c r="S206" s="166"/>
      <c r="T206" s="166"/>
      <c r="U206" s="166"/>
      <c r="V206" s="166"/>
      <c r="W206" s="166"/>
      <c r="X206" s="166"/>
      <c r="Y206" s="166"/>
      <c r="Z206" s="166"/>
      <c r="AA206" s="166"/>
      <c r="AB206" s="166"/>
      <c r="AC206" s="166"/>
      <c r="AD206" s="166"/>
      <c r="AE206" s="166"/>
      <c r="AF206" s="166"/>
      <c r="AG206" s="166"/>
      <c r="AH206" s="166"/>
      <c r="AI206" s="166"/>
    </row>
    <row r="207" spans="7:35" x14ac:dyDescent="0.25">
      <c r="G207" s="165"/>
      <c r="H207" s="166"/>
      <c r="I207" s="167"/>
      <c r="J207" s="167"/>
      <c r="K207" s="166"/>
      <c r="L207" s="166"/>
      <c r="M207" s="166"/>
      <c r="N207" s="166"/>
      <c r="O207" s="166"/>
      <c r="P207" s="166"/>
      <c r="Q207" s="166"/>
      <c r="R207" s="166"/>
      <c r="S207" s="166"/>
      <c r="T207" s="166"/>
      <c r="U207" s="166"/>
      <c r="V207" s="166"/>
      <c r="W207" s="166"/>
      <c r="X207" s="166"/>
      <c r="Y207" s="166"/>
      <c r="Z207" s="166"/>
      <c r="AA207" s="166"/>
      <c r="AB207" s="166"/>
      <c r="AC207" s="166"/>
      <c r="AD207" s="166"/>
      <c r="AE207" s="166"/>
      <c r="AF207" s="166"/>
      <c r="AG207" s="166"/>
      <c r="AH207" s="166"/>
      <c r="AI207" s="166"/>
    </row>
    <row r="208" spans="7:35" x14ac:dyDescent="0.25">
      <c r="G208" s="165"/>
      <c r="H208" s="166"/>
      <c r="I208" s="167"/>
      <c r="J208" s="167"/>
      <c r="K208" s="166"/>
      <c r="L208" s="166"/>
      <c r="M208" s="166"/>
      <c r="N208" s="166"/>
      <c r="O208" s="166"/>
      <c r="P208" s="166"/>
      <c r="Q208" s="166"/>
      <c r="R208" s="166"/>
      <c r="S208" s="166"/>
      <c r="T208" s="166"/>
      <c r="U208" s="166"/>
      <c r="V208" s="166"/>
      <c r="W208" s="166"/>
      <c r="X208" s="166"/>
      <c r="Y208" s="166"/>
      <c r="Z208" s="166"/>
      <c r="AA208" s="166"/>
      <c r="AB208" s="166"/>
      <c r="AC208" s="166"/>
      <c r="AD208" s="166"/>
      <c r="AE208" s="166"/>
      <c r="AF208" s="166"/>
      <c r="AG208" s="166"/>
      <c r="AH208" s="166"/>
      <c r="AI208" s="166"/>
    </row>
    <row r="209" spans="7:35" x14ac:dyDescent="0.25">
      <c r="G209" s="165"/>
      <c r="H209" s="166"/>
      <c r="I209" s="167"/>
      <c r="J209" s="167"/>
      <c r="K209" s="166"/>
      <c r="L209" s="166"/>
      <c r="M209" s="166"/>
      <c r="N209" s="166"/>
      <c r="O209" s="166"/>
      <c r="P209" s="166"/>
      <c r="Q209" s="166"/>
      <c r="R209" s="166"/>
      <c r="S209" s="166"/>
      <c r="T209" s="166"/>
      <c r="U209" s="166"/>
      <c r="V209" s="166"/>
      <c r="W209" s="166"/>
      <c r="X209" s="166"/>
      <c r="Y209" s="166"/>
      <c r="Z209" s="166"/>
      <c r="AA209" s="166"/>
      <c r="AB209" s="166"/>
      <c r="AC209" s="166"/>
      <c r="AD209" s="166"/>
      <c r="AE209" s="166"/>
      <c r="AF209" s="166"/>
      <c r="AG209" s="166"/>
      <c r="AH209" s="166"/>
      <c r="AI209" s="166"/>
    </row>
    <row r="210" spans="7:35" x14ac:dyDescent="0.25">
      <c r="G210" s="165"/>
      <c r="H210" s="166"/>
      <c r="I210" s="167"/>
      <c r="J210" s="167"/>
      <c r="K210" s="166"/>
      <c r="L210" s="166"/>
      <c r="M210" s="166"/>
      <c r="N210" s="166"/>
      <c r="O210" s="166"/>
      <c r="P210" s="166"/>
      <c r="Q210" s="166"/>
      <c r="R210" s="166"/>
      <c r="S210" s="166"/>
      <c r="T210" s="166"/>
      <c r="U210" s="166"/>
      <c r="V210" s="166"/>
      <c r="W210" s="166"/>
      <c r="X210" s="166"/>
      <c r="Y210" s="166"/>
      <c r="Z210" s="166"/>
      <c r="AA210" s="166"/>
      <c r="AB210" s="166"/>
      <c r="AC210" s="166"/>
      <c r="AD210" s="166"/>
      <c r="AE210" s="166"/>
      <c r="AF210" s="166"/>
      <c r="AG210" s="166"/>
      <c r="AH210" s="166"/>
      <c r="AI210" s="166"/>
    </row>
    <row r="211" spans="7:35" x14ac:dyDescent="0.25">
      <c r="G211" s="165"/>
      <c r="H211" s="166"/>
      <c r="I211" s="167"/>
      <c r="J211" s="167"/>
      <c r="K211" s="166"/>
      <c r="L211" s="166"/>
      <c r="M211" s="166"/>
      <c r="N211" s="166"/>
      <c r="O211" s="166"/>
      <c r="P211" s="166"/>
      <c r="Q211" s="166"/>
      <c r="R211" s="166"/>
      <c r="S211" s="166"/>
      <c r="T211" s="166"/>
      <c r="U211" s="166"/>
      <c r="V211" s="166"/>
      <c r="W211" s="166"/>
      <c r="X211" s="166"/>
      <c r="Y211" s="166"/>
      <c r="Z211" s="166"/>
      <c r="AA211" s="166"/>
      <c r="AB211" s="166"/>
      <c r="AC211" s="166"/>
      <c r="AD211" s="166"/>
      <c r="AE211" s="166"/>
      <c r="AF211" s="166"/>
      <c r="AG211" s="166"/>
      <c r="AH211" s="166"/>
      <c r="AI211" s="166"/>
    </row>
    <row r="212" spans="7:35" x14ac:dyDescent="0.25">
      <c r="G212" s="165"/>
      <c r="H212" s="166"/>
      <c r="I212" s="167"/>
      <c r="J212" s="167"/>
      <c r="K212" s="166"/>
      <c r="L212" s="166"/>
      <c r="M212" s="166"/>
      <c r="N212" s="166"/>
      <c r="O212" s="166"/>
      <c r="P212" s="166"/>
      <c r="Q212" s="166"/>
      <c r="R212" s="166"/>
      <c r="S212" s="166"/>
      <c r="T212" s="166"/>
      <c r="U212" s="166"/>
      <c r="V212" s="166"/>
      <c r="W212" s="166"/>
      <c r="X212" s="166"/>
      <c r="Y212" s="166"/>
      <c r="Z212" s="166"/>
      <c r="AA212" s="166"/>
      <c r="AB212" s="166"/>
      <c r="AC212" s="166"/>
      <c r="AD212" s="166"/>
      <c r="AE212" s="166"/>
      <c r="AF212" s="166"/>
      <c r="AG212" s="166"/>
      <c r="AH212" s="166"/>
      <c r="AI212" s="166"/>
    </row>
    <row r="213" spans="7:35" x14ac:dyDescent="0.25">
      <c r="G213" s="165"/>
      <c r="H213" s="166"/>
      <c r="I213" s="167"/>
      <c r="J213" s="167"/>
      <c r="K213" s="166"/>
      <c r="L213" s="166"/>
      <c r="M213" s="166"/>
      <c r="N213" s="166"/>
      <c r="O213" s="166"/>
      <c r="P213" s="166"/>
      <c r="Q213" s="166"/>
      <c r="R213" s="166"/>
      <c r="S213" s="166"/>
      <c r="T213" s="166"/>
      <c r="U213" s="166"/>
      <c r="V213" s="166"/>
      <c r="W213" s="166"/>
      <c r="X213" s="166"/>
      <c r="Y213" s="166"/>
      <c r="Z213" s="166"/>
      <c r="AA213" s="166"/>
      <c r="AB213" s="166"/>
      <c r="AC213" s="166"/>
      <c r="AD213" s="166"/>
      <c r="AE213" s="166"/>
      <c r="AF213" s="166"/>
      <c r="AG213" s="166"/>
      <c r="AH213" s="166"/>
      <c r="AI213" s="166"/>
    </row>
    <row r="214" spans="7:35" x14ac:dyDescent="0.25">
      <c r="G214" s="165"/>
      <c r="H214" s="166"/>
      <c r="I214" s="167"/>
      <c r="J214" s="167"/>
      <c r="K214" s="166"/>
      <c r="L214" s="166"/>
      <c r="M214" s="166"/>
      <c r="N214" s="166"/>
      <c r="O214" s="166"/>
      <c r="P214" s="166"/>
      <c r="Q214" s="166"/>
      <c r="R214" s="166"/>
      <c r="S214" s="166"/>
      <c r="T214" s="166"/>
      <c r="U214" s="166"/>
      <c r="V214" s="166"/>
      <c r="W214" s="166"/>
      <c r="X214" s="166"/>
      <c r="Y214" s="166"/>
      <c r="Z214" s="166"/>
      <c r="AA214" s="166"/>
      <c r="AB214" s="166"/>
      <c r="AC214" s="166"/>
      <c r="AD214" s="166"/>
      <c r="AE214" s="166"/>
      <c r="AF214" s="166"/>
      <c r="AG214" s="166"/>
      <c r="AH214" s="166"/>
      <c r="AI214" s="166"/>
    </row>
    <row r="215" spans="7:35" x14ac:dyDescent="0.25">
      <c r="G215" s="165"/>
      <c r="H215" s="166"/>
      <c r="I215" s="167"/>
      <c r="J215" s="167"/>
      <c r="K215" s="166"/>
      <c r="L215" s="166"/>
      <c r="M215" s="166"/>
      <c r="N215" s="166"/>
      <c r="O215" s="166"/>
      <c r="P215" s="166"/>
      <c r="Q215" s="166"/>
      <c r="R215" s="166"/>
      <c r="S215" s="166"/>
      <c r="T215" s="166"/>
      <c r="U215" s="166"/>
      <c r="V215" s="166"/>
      <c r="W215" s="166"/>
      <c r="X215" s="166"/>
      <c r="Y215" s="166"/>
      <c r="Z215" s="166"/>
      <c r="AA215" s="166"/>
      <c r="AB215" s="166"/>
      <c r="AC215" s="166"/>
      <c r="AD215" s="166"/>
      <c r="AE215" s="166"/>
      <c r="AF215" s="166"/>
      <c r="AG215" s="166"/>
      <c r="AH215" s="166"/>
      <c r="AI215" s="166"/>
    </row>
    <row r="216" spans="7:35" x14ac:dyDescent="0.25">
      <c r="G216" s="165"/>
      <c r="H216" s="166"/>
      <c r="I216" s="167"/>
      <c r="J216" s="167"/>
      <c r="K216" s="166"/>
      <c r="L216" s="166"/>
      <c r="M216" s="166"/>
      <c r="N216" s="166"/>
      <c r="O216" s="166"/>
      <c r="P216" s="166"/>
      <c r="Q216" s="166"/>
      <c r="R216" s="166"/>
      <c r="S216" s="166"/>
      <c r="T216" s="166"/>
      <c r="U216" s="166"/>
      <c r="V216" s="166"/>
      <c r="W216" s="166"/>
      <c r="X216" s="166"/>
      <c r="Y216" s="166"/>
      <c r="Z216" s="166"/>
      <c r="AA216" s="166"/>
      <c r="AB216" s="166"/>
      <c r="AC216" s="166"/>
      <c r="AD216" s="166"/>
      <c r="AE216" s="166"/>
      <c r="AF216" s="166"/>
      <c r="AG216" s="166"/>
      <c r="AH216" s="166"/>
      <c r="AI216" s="166"/>
    </row>
    <row r="217" spans="7:35" x14ac:dyDescent="0.25">
      <c r="G217" s="165"/>
      <c r="H217" s="166"/>
      <c r="I217" s="167"/>
      <c r="J217" s="167"/>
      <c r="K217" s="166"/>
      <c r="L217" s="166"/>
      <c r="M217" s="166"/>
      <c r="N217" s="166"/>
      <c r="O217" s="166"/>
      <c r="P217" s="166"/>
      <c r="Q217" s="166"/>
      <c r="R217" s="166"/>
      <c r="S217" s="166"/>
      <c r="T217" s="166"/>
      <c r="U217" s="166"/>
      <c r="V217" s="166"/>
      <c r="W217" s="166"/>
      <c r="X217" s="166"/>
      <c r="Y217" s="166"/>
      <c r="Z217" s="166"/>
      <c r="AA217" s="166"/>
      <c r="AB217" s="166"/>
      <c r="AC217" s="166"/>
      <c r="AD217" s="166"/>
      <c r="AE217" s="166"/>
      <c r="AF217" s="166"/>
      <c r="AG217" s="166"/>
      <c r="AH217" s="166"/>
      <c r="AI217" s="166"/>
    </row>
    <row r="218" spans="7:35" x14ac:dyDescent="0.25">
      <c r="G218" s="165"/>
      <c r="H218" s="166"/>
      <c r="I218" s="167"/>
      <c r="J218" s="167"/>
      <c r="K218" s="166"/>
      <c r="L218" s="166"/>
      <c r="M218" s="166"/>
      <c r="N218" s="166"/>
      <c r="O218" s="166"/>
      <c r="P218" s="166"/>
      <c r="Q218" s="166"/>
      <c r="R218" s="166"/>
      <c r="S218" s="166"/>
      <c r="T218" s="166"/>
      <c r="U218" s="166"/>
      <c r="V218" s="166"/>
      <c r="W218" s="166"/>
      <c r="X218" s="166"/>
      <c r="Y218" s="166"/>
      <c r="Z218" s="166"/>
      <c r="AA218" s="166"/>
      <c r="AB218" s="166"/>
      <c r="AC218" s="166"/>
      <c r="AD218" s="166"/>
      <c r="AE218" s="166"/>
      <c r="AF218" s="166"/>
      <c r="AG218" s="166"/>
      <c r="AH218" s="166"/>
      <c r="AI218" s="166"/>
    </row>
    <row r="219" spans="7:35" x14ac:dyDescent="0.25">
      <c r="G219" s="165"/>
      <c r="H219" s="166"/>
      <c r="I219" s="167"/>
      <c r="J219" s="167"/>
      <c r="K219" s="166"/>
      <c r="L219" s="166"/>
      <c r="M219" s="166"/>
      <c r="N219" s="166"/>
      <c r="O219" s="166"/>
      <c r="P219" s="166"/>
      <c r="Q219" s="166"/>
      <c r="R219" s="166"/>
      <c r="S219" s="166"/>
      <c r="T219" s="166"/>
      <c r="U219" s="166"/>
      <c r="V219" s="166"/>
      <c r="W219" s="166"/>
      <c r="X219" s="166"/>
      <c r="Y219" s="166"/>
      <c r="Z219" s="166"/>
      <c r="AA219" s="166"/>
      <c r="AB219" s="166"/>
      <c r="AC219" s="166"/>
      <c r="AD219" s="166"/>
      <c r="AE219" s="166"/>
      <c r="AF219" s="166"/>
      <c r="AG219" s="166"/>
      <c r="AH219" s="166"/>
      <c r="AI219" s="166"/>
    </row>
    <row r="220" spans="7:35" x14ac:dyDescent="0.25">
      <c r="G220" s="165"/>
      <c r="H220" s="166"/>
      <c r="I220" s="167"/>
      <c r="J220" s="167"/>
      <c r="K220" s="166"/>
      <c r="L220" s="166"/>
      <c r="M220" s="166"/>
      <c r="N220" s="166"/>
      <c r="O220" s="166"/>
      <c r="P220" s="166"/>
      <c r="Q220" s="166"/>
      <c r="R220" s="166"/>
      <c r="S220" s="166"/>
      <c r="T220" s="166"/>
      <c r="U220" s="166"/>
      <c r="V220" s="166"/>
      <c r="W220" s="166"/>
      <c r="X220" s="166"/>
      <c r="Y220" s="166"/>
      <c r="Z220" s="166"/>
      <c r="AA220" s="166"/>
      <c r="AB220" s="166"/>
      <c r="AC220" s="166"/>
      <c r="AD220" s="166"/>
      <c r="AE220" s="166"/>
      <c r="AF220" s="166"/>
      <c r="AG220" s="166"/>
      <c r="AH220" s="166"/>
      <c r="AI220" s="166"/>
    </row>
    <row r="221" spans="7:35" x14ac:dyDescent="0.25">
      <c r="G221" s="165"/>
      <c r="H221" s="166"/>
      <c r="I221" s="167"/>
      <c r="J221" s="167"/>
      <c r="K221" s="166"/>
      <c r="L221" s="166"/>
      <c r="M221" s="166"/>
      <c r="N221" s="166"/>
      <c r="O221" s="166"/>
      <c r="P221" s="166"/>
      <c r="Q221" s="166"/>
      <c r="R221" s="166"/>
      <c r="S221" s="166"/>
      <c r="T221" s="166"/>
      <c r="U221" s="166"/>
      <c r="V221" s="166"/>
      <c r="W221" s="166"/>
      <c r="X221" s="166"/>
      <c r="Y221" s="166"/>
      <c r="Z221" s="166"/>
      <c r="AA221" s="166"/>
      <c r="AB221" s="166"/>
      <c r="AC221" s="166"/>
      <c r="AD221" s="166"/>
      <c r="AE221" s="166"/>
      <c r="AF221" s="166"/>
      <c r="AG221" s="166"/>
      <c r="AH221" s="166"/>
      <c r="AI221" s="166"/>
    </row>
    <row r="222" spans="7:35" x14ac:dyDescent="0.25">
      <c r="G222" s="165"/>
      <c r="H222" s="166"/>
      <c r="I222" s="167"/>
      <c r="J222" s="167"/>
      <c r="K222" s="166"/>
      <c r="L222" s="166"/>
      <c r="M222" s="166"/>
      <c r="N222" s="166"/>
      <c r="O222" s="166"/>
      <c r="P222" s="166"/>
      <c r="Q222" s="166"/>
      <c r="R222" s="166"/>
      <c r="S222" s="166"/>
      <c r="T222" s="166"/>
      <c r="U222" s="166"/>
      <c r="V222" s="166"/>
      <c r="W222" s="166"/>
      <c r="X222" s="166"/>
      <c r="Y222" s="166"/>
      <c r="Z222" s="166"/>
      <c r="AA222" s="166"/>
      <c r="AB222" s="166"/>
      <c r="AC222" s="166"/>
      <c r="AD222" s="166"/>
      <c r="AE222" s="166"/>
      <c r="AF222" s="166"/>
      <c r="AG222" s="166"/>
      <c r="AH222" s="166"/>
      <c r="AI222" s="166"/>
    </row>
    <row r="223" spans="7:35" x14ac:dyDescent="0.25">
      <c r="G223" s="165"/>
      <c r="H223" s="166"/>
      <c r="I223" s="167"/>
      <c r="J223" s="167"/>
      <c r="K223" s="166"/>
      <c r="L223" s="166"/>
      <c r="M223" s="166"/>
      <c r="N223" s="166"/>
      <c r="O223" s="166"/>
      <c r="P223" s="166"/>
      <c r="Q223" s="166"/>
      <c r="R223" s="166"/>
      <c r="S223" s="166"/>
      <c r="T223" s="166"/>
      <c r="U223" s="166"/>
      <c r="V223" s="166"/>
      <c r="W223" s="166"/>
      <c r="X223" s="166"/>
      <c r="Y223" s="166"/>
      <c r="Z223" s="166"/>
      <c r="AA223" s="166"/>
      <c r="AB223" s="166"/>
      <c r="AC223" s="166"/>
      <c r="AD223" s="166"/>
      <c r="AE223" s="166"/>
      <c r="AF223" s="166"/>
      <c r="AG223" s="166"/>
      <c r="AH223" s="166"/>
      <c r="AI223" s="166"/>
    </row>
    <row r="224" spans="7:35" x14ac:dyDescent="0.25">
      <c r="G224" s="165"/>
      <c r="H224" s="166"/>
      <c r="I224" s="167"/>
      <c r="J224" s="167"/>
      <c r="K224" s="166"/>
      <c r="L224" s="166"/>
      <c r="M224" s="166"/>
      <c r="N224" s="166"/>
      <c r="O224" s="166"/>
      <c r="P224" s="166"/>
      <c r="Q224" s="166"/>
      <c r="R224" s="166"/>
      <c r="S224" s="166"/>
      <c r="T224" s="166"/>
      <c r="U224" s="166"/>
      <c r="V224" s="166"/>
      <c r="W224" s="166"/>
      <c r="X224" s="166"/>
      <c r="Y224" s="166"/>
      <c r="Z224" s="166"/>
      <c r="AA224" s="166"/>
      <c r="AB224" s="166"/>
      <c r="AC224" s="166"/>
      <c r="AD224" s="166"/>
      <c r="AE224" s="166"/>
      <c r="AF224" s="166"/>
      <c r="AG224" s="166"/>
      <c r="AH224" s="166"/>
      <c r="AI224" s="166"/>
    </row>
    <row r="225" spans="7:35" x14ac:dyDescent="0.25">
      <c r="G225" s="165"/>
      <c r="H225" s="166"/>
      <c r="I225" s="167"/>
      <c r="J225" s="167"/>
      <c r="K225" s="166"/>
      <c r="L225" s="166"/>
      <c r="M225" s="166"/>
      <c r="N225" s="166"/>
      <c r="O225" s="166"/>
      <c r="P225" s="166"/>
      <c r="Q225" s="166"/>
      <c r="R225" s="166"/>
      <c r="S225" s="166"/>
      <c r="T225" s="166"/>
      <c r="U225" s="166"/>
      <c r="V225" s="166"/>
      <c r="W225" s="166"/>
      <c r="X225" s="166"/>
      <c r="Y225" s="166"/>
      <c r="Z225" s="166"/>
      <c r="AA225" s="166"/>
      <c r="AB225" s="166"/>
      <c r="AC225" s="166"/>
      <c r="AD225" s="166"/>
      <c r="AE225" s="166"/>
      <c r="AF225" s="166"/>
      <c r="AG225" s="166"/>
      <c r="AH225" s="166"/>
      <c r="AI225" s="166"/>
    </row>
    <row r="226" spans="7:35" x14ac:dyDescent="0.25">
      <c r="G226" s="165"/>
      <c r="H226" s="166"/>
      <c r="I226" s="167"/>
      <c r="J226" s="167"/>
      <c r="K226" s="166"/>
      <c r="L226" s="166"/>
      <c r="M226" s="166"/>
      <c r="N226" s="166"/>
      <c r="O226" s="166"/>
      <c r="P226" s="166"/>
      <c r="Q226" s="166"/>
      <c r="R226" s="166"/>
      <c r="S226" s="166"/>
      <c r="T226" s="166"/>
      <c r="U226" s="166"/>
      <c r="V226" s="166"/>
      <c r="W226" s="166"/>
      <c r="X226" s="166"/>
      <c r="Y226" s="166"/>
      <c r="Z226" s="166"/>
      <c r="AA226" s="166"/>
      <c r="AB226" s="166"/>
      <c r="AC226" s="166"/>
      <c r="AD226" s="166"/>
      <c r="AE226" s="166"/>
      <c r="AF226" s="166"/>
      <c r="AG226" s="166"/>
      <c r="AH226" s="166"/>
      <c r="AI226" s="166"/>
    </row>
    <row r="227" spans="7:35" x14ac:dyDescent="0.25">
      <c r="G227" s="165"/>
      <c r="H227" s="166"/>
      <c r="I227" s="167"/>
      <c r="J227" s="167"/>
      <c r="K227" s="166"/>
      <c r="L227" s="166"/>
      <c r="M227" s="166"/>
      <c r="N227" s="166"/>
      <c r="O227" s="166"/>
      <c r="P227" s="166"/>
      <c r="Q227" s="166"/>
      <c r="R227" s="166"/>
      <c r="S227" s="166"/>
      <c r="T227" s="166"/>
      <c r="U227" s="166"/>
      <c r="V227" s="166"/>
      <c r="W227" s="166"/>
      <c r="X227" s="166"/>
      <c r="Y227" s="166"/>
      <c r="Z227" s="166"/>
      <c r="AA227" s="166"/>
      <c r="AB227" s="166"/>
      <c r="AC227" s="166"/>
      <c r="AD227" s="166"/>
      <c r="AE227" s="166"/>
      <c r="AF227" s="166"/>
      <c r="AG227" s="166"/>
      <c r="AH227" s="166"/>
      <c r="AI227" s="166"/>
    </row>
    <row r="228" spans="7:35" x14ac:dyDescent="0.25">
      <c r="G228" s="165"/>
      <c r="H228" s="166"/>
      <c r="I228" s="167"/>
      <c r="J228" s="167"/>
      <c r="K228" s="166"/>
      <c r="L228" s="166"/>
      <c r="M228" s="166"/>
      <c r="N228" s="166"/>
      <c r="O228" s="166"/>
      <c r="P228" s="166"/>
      <c r="Q228" s="166"/>
      <c r="R228" s="166"/>
      <c r="S228" s="166"/>
      <c r="T228" s="166"/>
      <c r="U228" s="166"/>
      <c r="V228" s="166"/>
      <c r="W228" s="166"/>
      <c r="X228" s="166"/>
      <c r="Y228" s="166"/>
      <c r="Z228" s="166"/>
      <c r="AA228" s="166"/>
      <c r="AB228" s="166"/>
      <c r="AC228" s="166"/>
      <c r="AD228" s="166"/>
      <c r="AE228" s="166"/>
      <c r="AF228" s="166"/>
      <c r="AG228" s="166"/>
      <c r="AH228" s="166"/>
      <c r="AI228" s="166"/>
    </row>
    <row r="229" spans="7:35" x14ac:dyDescent="0.25">
      <c r="G229" s="165"/>
      <c r="H229" s="166"/>
      <c r="I229" s="167"/>
      <c r="J229" s="167"/>
      <c r="K229" s="166"/>
      <c r="L229" s="166"/>
      <c r="M229" s="166"/>
      <c r="N229" s="166"/>
      <c r="O229" s="166"/>
      <c r="P229" s="166"/>
      <c r="Q229" s="166"/>
      <c r="R229" s="166"/>
      <c r="S229" s="166"/>
      <c r="T229" s="166"/>
      <c r="U229" s="166"/>
      <c r="V229" s="166"/>
      <c r="W229" s="166"/>
      <c r="X229" s="166"/>
      <c r="Y229" s="166"/>
      <c r="Z229" s="166"/>
      <c r="AA229" s="166"/>
      <c r="AB229" s="166"/>
      <c r="AC229" s="166"/>
      <c r="AD229" s="166"/>
      <c r="AE229" s="166"/>
      <c r="AF229" s="166"/>
      <c r="AG229" s="166"/>
      <c r="AH229" s="166"/>
      <c r="AI229" s="166"/>
    </row>
    <row r="230" spans="7:35" x14ac:dyDescent="0.25">
      <c r="G230" s="165"/>
      <c r="H230" s="166"/>
      <c r="I230" s="167"/>
      <c r="J230" s="167"/>
      <c r="K230" s="166"/>
      <c r="L230" s="166"/>
      <c r="M230" s="166"/>
      <c r="N230" s="166"/>
      <c r="O230" s="166"/>
      <c r="P230" s="166"/>
      <c r="Q230" s="166"/>
      <c r="R230" s="166"/>
      <c r="S230" s="166"/>
      <c r="T230" s="166"/>
      <c r="U230" s="166"/>
      <c r="V230" s="166"/>
      <c r="W230" s="166"/>
      <c r="X230" s="166"/>
      <c r="Y230" s="166"/>
      <c r="Z230" s="166"/>
      <c r="AA230" s="166"/>
      <c r="AB230" s="166"/>
      <c r="AC230" s="166"/>
      <c r="AD230" s="166"/>
      <c r="AE230" s="166"/>
      <c r="AF230" s="166"/>
      <c r="AG230" s="166"/>
      <c r="AH230" s="166"/>
      <c r="AI230" s="166"/>
    </row>
    <row r="231" spans="7:35" x14ac:dyDescent="0.25">
      <c r="G231" s="165"/>
      <c r="H231" s="166"/>
      <c r="I231" s="167"/>
      <c r="J231" s="167"/>
      <c r="K231" s="166"/>
      <c r="L231" s="166"/>
      <c r="M231" s="166"/>
      <c r="N231" s="166"/>
      <c r="O231" s="166"/>
      <c r="P231" s="166"/>
      <c r="Q231" s="166"/>
      <c r="R231" s="166"/>
      <c r="S231" s="166"/>
      <c r="T231" s="166"/>
      <c r="U231" s="166"/>
      <c r="V231" s="166"/>
      <c r="W231" s="166"/>
      <c r="X231" s="166"/>
      <c r="Y231" s="166"/>
      <c r="Z231" s="166"/>
      <c r="AA231" s="166"/>
      <c r="AB231" s="166"/>
      <c r="AC231" s="166"/>
      <c r="AD231" s="166"/>
      <c r="AE231" s="166"/>
      <c r="AF231" s="166"/>
      <c r="AG231" s="166"/>
      <c r="AH231" s="166"/>
      <c r="AI231" s="166"/>
    </row>
    <row r="232" spans="7:35" x14ac:dyDescent="0.25">
      <c r="G232" s="165"/>
      <c r="H232" s="166"/>
      <c r="I232" s="167"/>
      <c r="J232" s="167"/>
      <c r="K232" s="166"/>
      <c r="L232" s="166"/>
      <c r="M232" s="166"/>
      <c r="N232" s="166"/>
      <c r="O232" s="166"/>
      <c r="P232" s="166"/>
      <c r="Q232" s="166"/>
      <c r="R232" s="166"/>
      <c r="S232" s="166"/>
      <c r="T232" s="166"/>
      <c r="U232" s="166"/>
      <c r="V232" s="166"/>
      <c r="W232" s="166"/>
      <c r="X232" s="166"/>
      <c r="Y232" s="166"/>
      <c r="Z232" s="166"/>
      <c r="AA232" s="166"/>
      <c r="AB232" s="166"/>
      <c r="AC232" s="166"/>
      <c r="AD232" s="166"/>
      <c r="AE232" s="166"/>
      <c r="AF232" s="166"/>
      <c r="AG232" s="166"/>
      <c r="AH232" s="166"/>
      <c r="AI232" s="166"/>
    </row>
    <row r="233" spans="7:35" x14ac:dyDescent="0.25">
      <c r="G233" s="165"/>
      <c r="H233" s="166"/>
      <c r="I233" s="167"/>
      <c r="J233" s="167"/>
      <c r="K233" s="166"/>
      <c r="L233" s="166"/>
      <c r="M233" s="166"/>
      <c r="N233" s="166"/>
      <c r="O233" s="166"/>
      <c r="P233" s="166"/>
      <c r="Q233" s="166"/>
      <c r="R233" s="166"/>
      <c r="S233" s="166"/>
      <c r="T233" s="166"/>
      <c r="U233" s="166"/>
      <c r="V233" s="166"/>
      <c r="W233" s="166"/>
      <c r="X233" s="166"/>
      <c r="Y233" s="166"/>
      <c r="Z233" s="166"/>
      <c r="AA233" s="166"/>
      <c r="AB233" s="166"/>
      <c r="AC233" s="166"/>
      <c r="AD233" s="166"/>
      <c r="AE233" s="166"/>
      <c r="AF233" s="166"/>
      <c r="AG233" s="166"/>
      <c r="AH233" s="166"/>
      <c r="AI233" s="166"/>
    </row>
    <row r="234" spans="7:35" x14ac:dyDescent="0.25">
      <c r="G234" s="165"/>
      <c r="H234" s="166"/>
      <c r="I234" s="167"/>
      <c r="J234" s="167"/>
      <c r="K234" s="166"/>
      <c r="L234" s="166"/>
      <c r="M234" s="166"/>
      <c r="N234" s="166"/>
      <c r="O234" s="166"/>
      <c r="P234" s="166"/>
      <c r="Q234" s="166"/>
      <c r="R234" s="166"/>
      <c r="S234" s="166"/>
      <c r="T234" s="166"/>
      <c r="U234" s="166"/>
      <c r="V234" s="166"/>
      <c r="W234" s="166"/>
      <c r="X234" s="166"/>
      <c r="Y234" s="166"/>
      <c r="Z234" s="166"/>
      <c r="AA234" s="166"/>
      <c r="AB234" s="166"/>
      <c r="AC234" s="166"/>
      <c r="AD234" s="166"/>
      <c r="AE234" s="166"/>
      <c r="AF234" s="166"/>
      <c r="AG234" s="166"/>
      <c r="AH234" s="166"/>
      <c r="AI234" s="166"/>
    </row>
    <row r="235" spans="7:35" x14ac:dyDescent="0.25">
      <c r="G235" s="165"/>
      <c r="H235" s="166"/>
      <c r="I235" s="167"/>
      <c r="J235" s="167"/>
      <c r="K235" s="166"/>
      <c r="L235" s="166"/>
      <c r="M235" s="166"/>
      <c r="N235" s="166"/>
      <c r="O235" s="166"/>
      <c r="P235" s="166"/>
      <c r="Q235" s="166"/>
      <c r="R235" s="166"/>
      <c r="S235" s="166"/>
      <c r="T235" s="166"/>
      <c r="U235" s="166"/>
      <c r="V235" s="166"/>
      <c r="W235" s="166"/>
      <c r="X235" s="166"/>
      <c r="Y235" s="166"/>
      <c r="Z235" s="166"/>
      <c r="AA235" s="166"/>
      <c r="AB235" s="166"/>
      <c r="AC235" s="166"/>
      <c r="AD235" s="166"/>
      <c r="AE235" s="166"/>
      <c r="AF235" s="166"/>
      <c r="AG235" s="166"/>
      <c r="AH235" s="166"/>
      <c r="AI235" s="166"/>
    </row>
    <row r="236" spans="7:35" x14ac:dyDescent="0.25">
      <c r="G236" s="165"/>
      <c r="H236" s="166"/>
      <c r="I236" s="167"/>
      <c r="J236" s="167"/>
      <c r="K236" s="166"/>
      <c r="L236" s="166"/>
      <c r="M236" s="166"/>
      <c r="N236" s="166"/>
      <c r="O236" s="166"/>
      <c r="P236" s="166"/>
      <c r="Q236" s="166"/>
      <c r="R236" s="166"/>
      <c r="S236" s="166"/>
      <c r="T236" s="166"/>
      <c r="U236" s="166"/>
      <c r="V236" s="166"/>
      <c r="W236" s="166"/>
      <c r="X236" s="166"/>
      <c r="Y236" s="166"/>
      <c r="Z236" s="166"/>
      <c r="AA236" s="166"/>
      <c r="AB236" s="166"/>
      <c r="AC236" s="166"/>
      <c r="AD236" s="166"/>
      <c r="AE236" s="166"/>
      <c r="AF236" s="166"/>
      <c r="AG236" s="166"/>
      <c r="AH236" s="166"/>
      <c r="AI236" s="166"/>
    </row>
    <row r="237" spans="7:35" x14ac:dyDescent="0.25">
      <c r="G237" s="165"/>
      <c r="H237" s="166"/>
      <c r="I237" s="167"/>
      <c r="J237" s="167"/>
      <c r="K237" s="166"/>
      <c r="L237" s="166"/>
      <c r="M237" s="166"/>
      <c r="N237" s="166"/>
      <c r="O237" s="166"/>
      <c r="P237" s="166"/>
      <c r="Q237" s="166"/>
      <c r="R237" s="166"/>
      <c r="S237" s="166"/>
      <c r="T237" s="166"/>
      <c r="U237" s="166"/>
      <c r="V237" s="166"/>
      <c r="W237" s="166"/>
      <c r="X237" s="166"/>
      <c r="Y237" s="166"/>
      <c r="Z237" s="166"/>
      <c r="AA237" s="166"/>
      <c r="AB237" s="166"/>
      <c r="AC237" s="166"/>
      <c r="AD237" s="166"/>
      <c r="AE237" s="166"/>
      <c r="AF237" s="166"/>
      <c r="AG237" s="166"/>
      <c r="AH237" s="166"/>
      <c r="AI237" s="166"/>
    </row>
    <row r="238" spans="7:35" x14ac:dyDescent="0.25">
      <c r="G238" s="165"/>
      <c r="H238" s="166"/>
      <c r="I238" s="167"/>
      <c r="J238" s="167"/>
      <c r="K238" s="166"/>
      <c r="L238" s="166"/>
      <c r="M238" s="166"/>
      <c r="N238" s="166"/>
      <c r="O238" s="166"/>
      <c r="P238" s="166"/>
      <c r="Q238" s="166"/>
      <c r="R238" s="166"/>
      <c r="S238" s="166"/>
      <c r="T238" s="166"/>
      <c r="U238" s="166"/>
      <c r="V238" s="166"/>
      <c r="W238" s="166"/>
      <c r="X238" s="166"/>
      <c r="Y238" s="166"/>
      <c r="Z238" s="166"/>
      <c r="AA238" s="166"/>
      <c r="AB238" s="166"/>
      <c r="AC238" s="166"/>
      <c r="AD238" s="166"/>
      <c r="AE238" s="166"/>
      <c r="AF238" s="166"/>
      <c r="AG238" s="166"/>
      <c r="AH238" s="166"/>
      <c r="AI238" s="166"/>
    </row>
    <row r="239" spans="7:35" x14ac:dyDescent="0.25">
      <c r="G239" s="165"/>
      <c r="H239" s="166"/>
      <c r="I239" s="167"/>
      <c r="J239" s="167"/>
      <c r="K239" s="166"/>
      <c r="L239" s="166"/>
      <c r="M239" s="166"/>
      <c r="N239" s="166"/>
      <c r="O239" s="166"/>
      <c r="P239" s="166"/>
      <c r="Q239" s="166"/>
      <c r="R239" s="166"/>
      <c r="S239" s="166"/>
      <c r="T239" s="166"/>
      <c r="U239" s="166"/>
      <c r="V239" s="166"/>
      <c r="W239" s="166"/>
      <c r="X239" s="166"/>
      <c r="Y239" s="166"/>
      <c r="Z239" s="166"/>
      <c r="AA239" s="166"/>
      <c r="AB239" s="166"/>
      <c r="AC239" s="166"/>
      <c r="AD239" s="166"/>
      <c r="AE239" s="166"/>
      <c r="AF239" s="166"/>
      <c r="AG239" s="166"/>
      <c r="AH239" s="166"/>
      <c r="AI239" s="166"/>
    </row>
    <row r="240" spans="7:35" x14ac:dyDescent="0.25">
      <c r="G240" s="165"/>
      <c r="H240" s="166"/>
      <c r="I240" s="167"/>
      <c r="J240" s="167"/>
      <c r="K240" s="166"/>
      <c r="L240" s="166"/>
      <c r="M240" s="166"/>
      <c r="N240" s="166"/>
      <c r="O240" s="166"/>
      <c r="P240" s="166"/>
      <c r="Q240" s="166"/>
      <c r="R240" s="166"/>
      <c r="S240" s="166"/>
      <c r="T240" s="166"/>
      <c r="U240" s="166"/>
      <c r="V240" s="166"/>
      <c r="W240" s="166"/>
      <c r="X240" s="166"/>
      <c r="Y240" s="166"/>
      <c r="Z240" s="166"/>
      <c r="AA240" s="166"/>
      <c r="AB240" s="166"/>
      <c r="AC240" s="166"/>
      <c r="AD240" s="166"/>
      <c r="AE240" s="166"/>
      <c r="AF240" s="166"/>
      <c r="AG240" s="166"/>
      <c r="AH240" s="166"/>
      <c r="AI240" s="166"/>
    </row>
    <row r="241" spans="7:35" x14ac:dyDescent="0.25">
      <c r="G241" s="165"/>
      <c r="H241" s="166"/>
      <c r="I241" s="167"/>
      <c r="J241" s="167"/>
      <c r="K241" s="166"/>
      <c r="L241" s="166"/>
      <c r="M241" s="166"/>
      <c r="N241" s="166"/>
      <c r="O241" s="166"/>
      <c r="P241" s="166"/>
      <c r="Q241" s="166"/>
      <c r="R241" s="166"/>
      <c r="S241" s="166"/>
      <c r="T241" s="166"/>
      <c r="U241" s="166"/>
      <c r="V241" s="166"/>
      <c r="W241" s="166"/>
      <c r="X241" s="166"/>
      <c r="Y241" s="166"/>
      <c r="Z241" s="166"/>
      <c r="AA241" s="166"/>
      <c r="AB241" s="166"/>
      <c r="AC241" s="166"/>
      <c r="AD241" s="166"/>
      <c r="AE241" s="166"/>
      <c r="AF241" s="166"/>
      <c r="AG241" s="166"/>
      <c r="AH241" s="166"/>
      <c r="AI241" s="166"/>
    </row>
    <row r="242" spans="7:35" x14ac:dyDescent="0.25">
      <c r="G242" s="165"/>
      <c r="H242" s="166"/>
      <c r="I242" s="167"/>
      <c r="J242" s="167"/>
      <c r="K242" s="166"/>
      <c r="L242" s="166"/>
      <c r="M242" s="166"/>
      <c r="N242" s="166"/>
      <c r="O242" s="166"/>
      <c r="P242" s="166"/>
      <c r="Q242" s="166"/>
      <c r="R242" s="166"/>
      <c r="S242" s="166"/>
      <c r="T242" s="166"/>
      <c r="U242" s="166"/>
      <c r="V242" s="166"/>
      <c r="W242" s="166"/>
      <c r="X242" s="166"/>
      <c r="Y242" s="166"/>
      <c r="Z242" s="166"/>
      <c r="AA242" s="166"/>
      <c r="AB242" s="166"/>
      <c r="AC242" s="166"/>
      <c r="AD242" s="166"/>
      <c r="AE242" s="166"/>
      <c r="AF242" s="166"/>
      <c r="AG242" s="166"/>
      <c r="AH242" s="166"/>
      <c r="AI242" s="166"/>
    </row>
    <row r="243" spans="7:35" x14ac:dyDescent="0.25">
      <c r="G243" s="165"/>
      <c r="H243" s="166"/>
      <c r="I243" s="167"/>
      <c r="J243" s="167"/>
      <c r="K243" s="166"/>
      <c r="L243" s="166"/>
      <c r="M243" s="166"/>
      <c r="N243" s="166"/>
      <c r="O243" s="166"/>
      <c r="P243" s="166"/>
      <c r="Q243" s="166"/>
      <c r="R243" s="166"/>
      <c r="S243" s="166"/>
      <c r="T243" s="166"/>
      <c r="U243" s="166"/>
      <c r="V243" s="166"/>
      <c r="W243" s="166"/>
      <c r="X243" s="166"/>
      <c r="Y243" s="166"/>
      <c r="Z243" s="166"/>
      <c r="AA243" s="166"/>
      <c r="AB243" s="166"/>
      <c r="AC243" s="166"/>
      <c r="AD243" s="166"/>
      <c r="AE243" s="166"/>
      <c r="AF243" s="166"/>
      <c r="AG243" s="166"/>
      <c r="AH243" s="166"/>
      <c r="AI243" s="166"/>
    </row>
    <row r="244" spans="7:35" x14ac:dyDescent="0.25">
      <c r="G244" s="165"/>
      <c r="H244" s="166"/>
      <c r="I244" s="167"/>
      <c r="J244" s="167"/>
      <c r="K244" s="166"/>
      <c r="L244" s="166"/>
      <c r="M244" s="166"/>
      <c r="N244" s="166"/>
      <c r="O244" s="166"/>
      <c r="P244" s="166"/>
      <c r="Q244" s="166"/>
      <c r="R244" s="166"/>
      <c r="S244" s="166"/>
      <c r="T244" s="166"/>
      <c r="U244" s="166"/>
      <c r="V244" s="166"/>
      <c r="W244" s="166"/>
      <c r="X244" s="166"/>
      <c r="Y244" s="166"/>
      <c r="Z244" s="166"/>
      <c r="AA244" s="166"/>
      <c r="AB244" s="166"/>
      <c r="AC244" s="166"/>
      <c r="AD244" s="166"/>
      <c r="AE244" s="166"/>
      <c r="AF244" s="166"/>
      <c r="AG244" s="166"/>
      <c r="AH244" s="166"/>
      <c r="AI244" s="166"/>
    </row>
    <row r="245" spans="7:35" x14ac:dyDescent="0.25">
      <c r="G245" s="165"/>
      <c r="H245" s="166"/>
      <c r="I245" s="167"/>
      <c r="J245" s="167"/>
      <c r="K245" s="166"/>
      <c r="L245" s="166"/>
      <c r="M245" s="166"/>
      <c r="N245" s="166"/>
      <c r="O245" s="166"/>
      <c r="P245" s="166"/>
      <c r="Q245" s="166"/>
      <c r="R245" s="166"/>
      <c r="S245" s="166"/>
      <c r="T245" s="166"/>
      <c r="U245" s="166"/>
      <c r="V245" s="166"/>
      <c r="W245" s="166"/>
      <c r="X245" s="166"/>
      <c r="Y245" s="166"/>
      <c r="Z245" s="166"/>
      <c r="AA245" s="166"/>
      <c r="AB245" s="166"/>
      <c r="AC245" s="166"/>
      <c r="AD245" s="166"/>
      <c r="AE245" s="166"/>
      <c r="AF245" s="166"/>
      <c r="AG245" s="166"/>
      <c r="AH245" s="166"/>
      <c r="AI245" s="166"/>
    </row>
    <row r="246" spans="7:35" x14ac:dyDescent="0.25">
      <c r="G246" s="165"/>
      <c r="H246" s="166"/>
      <c r="I246" s="167"/>
      <c r="J246" s="167"/>
      <c r="K246" s="166"/>
      <c r="L246" s="166"/>
      <c r="M246" s="166"/>
      <c r="N246" s="166"/>
      <c r="O246" s="166"/>
      <c r="P246" s="166"/>
      <c r="Q246" s="166"/>
      <c r="R246" s="166"/>
      <c r="S246" s="166"/>
      <c r="T246" s="166"/>
      <c r="U246" s="166"/>
      <c r="V246" s="166"/>
      <c r="W246" s="166"/>
      <c r="X246" s="166"/>
      <c r="Y246" s="166"/>
      <c r="Z246" s="166"/>
      <c r="AA246" s="166"/>
      <c r="AB246" s="166"/>
      <c r="AC246" s="166"/>
      <c r="AD246" s="166"/>
      <c r="AE246" s="166"/>
      <c r="AF246" s="166"/>
      <c r="AG246" s="166"/>
      <c r="AH246" s="166"/>
      <c r="AI246" s="166"/>
    </row>
    <row r="247" spans="7:35" x14ac:dyDescent="0.25">
      <c r="G247" s="165"/>
      <c r="H247" s="166"/>
      <c r="I247" s="167"/>
      <c r="J247" s="167"/>
      <c r="K247" s="166"/>
      <c r="L247" s="166"/>
      <c r="M247" s="166"/>
      <c r="N247" s="166"/>
      <c r="O247" s="166"/>
      <c r="P247" s="166"/>
      <c r="Q247" s="166"/>
      <c r="R247" s="166"/>
      <c r="S247" s="166"/>
      <c r="T247" s="166"/>
      <c r="U247" s="166"/>
      <c r="V247" s="166"/>
      <c r="W247" s="166"/>
      <c r="X247" s="166"/>
      <c r="Y247" s="166"/>
      <c r="Z247" s="166"/>
      <c r="AA247" s="166"/>
      <c r="AB247" s="166"/>
      <c r="AC247" s="166"/>
      <c r="AD247" s="166"/>
      <c r="AE247" s="166"/>
      <c r="AF247" s="166"/>
      <c r="AG247" s="166"/>
      <c r="AH247" s="166"/>
      <c r="AI247" s="166"/>
    </row>
    <row r="248" spans="7:35" x14ac:dyDescent="0.25">
      <c r="G248" s="165"/>
      <c r="H248" s="166"/>
      <c r="I248" s="167"/>
      <c r="J248" s="167"/>
      <c r="K248" s="166"/>
      <c r="L248" s="166"/>
      <c r="M248" s="166"/>
      <c r="N248" s="166"/>
      <c r="O248" s="166"/>
      <c r="P248" s="166"/>
      <c r="Q248" s="166"/>
      <c r="R248" s="166"/>
      <c r="S248" s="166"/>
      <c r="T248" s="166"/>
      <c r="U248" s="166"/>
      <c r="V248" s="166"/>
      <c r="W248" s="166"/>
      <c r="X248" s="166"/>
      <c r="Y248" s="166"/>
      <c r="Z248" s="166"/>
      <c r="AA248" s="166"/>
      <c r="AB248" s="166"/>
      <c r="AC248" s="166"/>
      <c r="AD248" s="166"/>
      <c r="AE248" s="166"/>
      <c r="AF248" s="166"/>
      <c r="AG248" s="166"/>
      <c r="AH248" s="166"/>
      <c r="AI248" s="166"/>
    </row>
    <row r="249" spans="7:35" x14ac:dyDescent="0.25">
      <c r="G249" s="165"/>
      <c r="H249" s="166"/>
      <c r="I249" s="167"/>
      <c r="J249" s="167"/>
      <c r="K249" s="166"/>
      <c r="L249" s="166"/>
      <c r="M249" s="166"/>
      <c r="N249" s="166"/>
      <c r="O249" s="166"/>
      <c r="P249" s="166"/>
      <c r="Q249" s="166"/>
      <c r="R249" s="166"/>
      <c r="S249" s="166"/>
      <c r="T249" s="166"/>
      <c r="U249" s="166"/>
      <c r="V249" s="166"/>
      <c r="W249" s="166"/>
      <c r="X249" s="166"/>
      <c r="Y249" s="166"/>
      <c r="Z249" s="166"/>
      <c r="AA249" s="166"/>
      <c r="AB249" s="166"/>
      <c r="AC249" s="166"/>
      <c r="AD249" s="166"/>
      <c r="AE249" s="166"/>
      <c r="AF249" s="166"/>
      <c r="AG249" s="166"/>
      <c r="AH249" s="166"/>
      <c r="AI249" s="166"/>
    </row>
    <row r="250" spans="7:35" x14ac:dyDescent="0.25">
      <c r="G250" s="165"/>
      <c r="H250" s="166"/>
      <c r="I250" s="167"/>
      <c r="J250" s="167"/>
      <c r="K250" s="166"/>
      <c r="L250" s="166"/>
      <c r="M250" s="166"/>
      <c r="N250" s="166"/>
      <c r="O250" s="166"/>
      <c r="P250" s="166"/>
      <c r="Q250" s="166"/>
      <c r="R250" s="166"/>
      <c r="S250" s="166"/>
      <c r="T250" s="166"/>
      <c r="U250" s="166"/>
      <c r="V250" s="166"/>
      <c r="W250" s="166"/>
      <c r="X250" s="166"/>
      <c r="Y250" s="166"/>
      <c r="Z250" s="166"/>
      <c r="AA250" s="166"/>
      <c r="AB250" s="166"/>
      <c r="AC250" s="166"/>
      <c r="AD250" s="166"/>
      <c r="AE250" s="166"/>
      <c r="AF250" s="166"/>
      <c r="AG250" s="166"/>
      <c r="AH250" s="166"/>
      <c r="AI250" s="166"/>
    </row>
    <row r="251" spans="7:35" x14ac:dyDescent="0.25">
      <c r="G251" s="165"/>
      <c r="H251" s="166"/>
      <c r="I251" s="167"/>
      <c r="J251" s="167"/>
      <c r="K251" s="166"/>
      <c r="L251" s="166"/>
      <c r="M251" s="166"/>
      <c r="N251" s="166"/>
      <c r="O251" s="166"/>
      <c r="P251" s="166"/>
      <c r="Q251" s="166"/>
      <c r="R251" s="166"/>
      <c r="S251" s="166"/>
      <c r="T251" s="166"/>
      <c r="U251" s="166"/>
      <c r="V251" s="166"/>
      <c r="W251" s="166"/>
      <c r="X251" s="166"/>
      <c r="Y251" s="166"/>
      <c r="Z251" s="166"/>
      <c r="AA251" s="166"/>
      <c r="AB251" s="166"/>
      <c r="AC251" s="166"/>
      <c r="AD251" s="166"/>
      <c r="AE251" s="166"/>
      <c r="AF251" s="166"/>
      <c r="AG251" s="166"/>
      <c r="AH251" s="166"/>
      <c r="AI251" s="166"/>
    </row>
    <row r="252" spans="7:35" x14ac:dyDescent="0.25">
      <c r="G252" s="165"/>
      <c r="H252" s="166"/>
      <c r="I252" s="167"/>
      <c r="J252" s="167"/>
      <c r="K252" s="166"/>
      <c r="L252" s="166"/>
      <c r="M252" s="166"/>
      <c r="N252" s="166"/>
      <c r="O252" s="166"/>
      <c r="P252" s="166"/>
      <c r="Q252" s="166"/>
      <c r="R252" s="166"/>
      <c r="S252" s="166"/>
      <c r="T252" s="166"/>
      <c r="U252" s="166"/>
      <c r="V252" s="166"/>
      <c r="W252" s="166"/>
      <c r="X252" s="166"/>
      <c r="Y252" s="166"/>
      <c r="Z252" s="166"/>
      <c r="AA252" s="166"/>
      <c r="AB252" s="166"/>
      <c r="AC252" s="166"/>
      <c r="AD252" s="166"/>
      <c r="AE252" s="166"/>
      <c r="AF252" s="166"/>
      <c r="AG252" s="166"/>
      <c r="AH252" s="166"/>
      <c r="AI252" s="166"/>
    </row>
    <row r="253" spans="7:35" x14ac:dyDescent="0.25">
      <c r="G253" s="165"/>
      <c r="H253" s="166"/>
      <c r="I253" s="167"/>
      <c r="J253" s="167"/>
      <c r="K253" s="166"/>
      <c r="L253" s="166"/>
      <c r="M253" s="166"/>
      <c r="N253" s="166"/>
      <c r="O253" s="166"/>
      <c r="P253" s="166"/>
      <c r="Q253" s="166"/>
      <c r="R253" s="166"/>
      <c r="S253" s="166"/>
      <c r="T253" s="166"/>
      <c r="U253" s="166"/>
      <c r="V253" s="166"/>
      <c r="W253" s="166"/>
      <c r="X253" s="166"/>
      <c r="Y253" s="166"/>
      <c r="Z253" s="166"/>
      <c r="AA253" s="166"/>
      <c r="AB253" s="166"/>
      <c r="AC253" s="166"/>
      <c r="AD253" s="166"/>
      <c r="AE253" s="166"/>
      <c r="AF253" s="166"/>
      <c r="AG253" s="166"/>
      <c r="AH253" s="166"/>
      <c r="AI253" s="166"/>
    </row>
    <row r="254" spans="7:35" x14ac:dyDescent="0.25">
      <c r="G254" s="165"/>
      <c r="H254" s="166"/>
      <c r="I254" s="167"/>
      <c r="J254" s="167"/>
      <c r="K254" s="166"/>
      <c r="L254" s="166"/>
      <c r="M254" s="166"/>
      <c r="N254" s="166"/>
      <c r="O254" s="166"/>
      <c r="P254" s="166"/>
      <c r="Q254" s="166"/>
      <c r="R254" s="166"/>
      <c r="S254" s="166"/>
      <c r="T254" s="166"/>
      <c r="U254" s="166"/>
      <c r="V254" s="166"/>
      <c r="W254" s="166"/>
      <c r="X254" s="166"/>
      <c r="Y254" s="166"/>
      <c r="Z254" s="166"/>
      <c r="AA254" s="166"/>
      <c r="AB254" s="166"/>
      <c r="AC254" s="166"/>
      <c r="AD254" s="166"/>
      <c r="AE254" s="166"/>
      <c r="AF254" s="166"/>
      <c r="AG254" s="166"/>
      <c r="AH254" s="166"/>
      <c r="AI254" s="166"/>
    </row>
    <row r="255" spans="7:35" x14ac:dyDescent="0.25">
      <c r="G255" s="165"/>
      <c r="H255" s="166"/>
      <c r="I255" s="167"/>
      <c r="J255" s="167"/>
      <c r="K255" s="166"/>
      <c r="L255" s="166"/>
      <c r="M255" s="166"/>
      <c r="N255" s="166"/>
      <c r="O255" s="166"/>
      <c r="P255" s="166"/>
      <c r="Q255" s="166"/>
      <c r="R255" s="166"/>
      <c r="S255" s="166"/>
      <c r="T255" s="166"/>
      <c r="U255" s="166"/>
      <c r="V255" s="166"/>
      <c r="W255" s="166"/>
      <c r="X255" s="166"/>
      <c r="Y255" s="166"/>
      <c r="Z255" s="166"/>
      <c r="AA255" s="166"/>
      <c r="AB255" s="166"/>
      <c r="AC255" s="166"/>
      <c r="AD255" s="166"/>
      <c r="AE255" s="166"/>
      <c r="AF255" s="166"/>
      <c r="AG255" s="166"/>
      <c r="AH255" s="166"/>
      <c r="AI255" s="166"/>
    </row>
    <row r="256" spans="7:35" x14ac:dyDescent="0.25">
      <c r="G256" s="165"/>
      <c r="H256" s="166"/>
      <c r="I256" s="167"/>
      <c r="J256" s="167"/>
      <c r="K256" s="166"/>
      <c r="L256" s="166"/>
      <c r="M256" s="166"/>
      <c r="N256" s="166"/>
      <c r="O256" s="166"/>
      <c r="P256" s="166"/>
      <c r="Q256" s="166"/>
      <c r="R256" s="166"/>
      <c r="S256" s="166"/>
      <c r="T256" s="166"/>
      <c r="U256" s="166"/>
      <c r="V256" s="166"/>
      <c r="W256" s="166"/>
      <c r="X256" s="166"/>
      <c r="Y256" s="166"/>
      <c r="Z256" s="166"/>
      <c r="AA256" s="166"/>
      <c r="AB256" s="166"/>
      <c r="AC256" s="166"/>
      <c r="AD256" s="166"/>
      <c r="AE256" s="166"/>
      <c r="AF256" s="166"/>
      <c r="AG256" s="166"/>
      <c r="AH256" s="166"/>
      <c r="AI256" s="166"/>
    </row>
    <row r="257" spans="7:35" x14ac:dyDescent="0.25">
      <c r="G257" s="165"/>
      <c r="H257" s="166"/>
      <c r="I257" s="167"/>
      <c r="J257" s="167"/>
      <c r="K257" s="166"/>
      <c r="L257" s="166"/>
      <c r="M257" s="166"/>
      <c r="N257" s="166"/>
      <c r="O257" s="166"/>
      <c r="P257" s="166"/>
      <c r="Q257" s="166"/>
      <c r="R257" s="166"/>
      <c r="S257" s="166"/>
      <c r="T257" s="166"/>
      <c r="U257" s="166"/>
      <c r="V257" s="166"/>
      <c r="W257" s="166"/>
      <c r="X257" s="166"/>
      <c r="Y257" s="166"/>
      <c r="Z257" s="166"/>
      <c r="AA257" s="166"/>
      <c r="AB257" s="166"/>
      <c r="AC257" s="166"/>
      <c r="AD257" s="166"/>
      <c r="AE257" s="166"/>
      <c r="AF257" s="166"/>
      <c r="AG257" s="166"/>
      <c r="AH257" s="166"/>
      <c r="AI257" s="166"/>
    </row>
    <row r="258" spans="7:35" x14ac:dyDescent="0.25">
      <c r="G258" s="165"/>
      <c r="H258" s="166"/>
      <c r="I258" s="167"/>
      <c r="J258" s="167"/>
      <c r="K258" s="166"/>
      <c r="L258" s="166"/>
      <c r="M258" s="166"/>
      <c r="N258" s="166"/>
      <c r="O258" s="166"/>
      <c r="P258" s="166"/>
      <c r="Q258" s="166"/>
      <c r="R258" s="166"/>
      <c r="S258" s="166"/>
      <c r="T258" s="166"/>
      <c r="U258" s="166"/>
      <c r="V258" s="166"/>
      <c r="W258" s="166"/>
      <c r="X258" s="166"/>
      <c r="Y258" s="166"/>
      <c r="Z258" s="166"/>
      <c r="AA258" s="166"/>
      <c r="AB258" s="166"/>
      <c r="AC258" s="166"/>
      <c r="AD258" s="166"/>
      <c r="AE258" s="166"/>
      <c r="AF258" s="166"/>
      <c r="AG258" s="166"/>
      <c r="AH258" s="166"/>
      <c r="AI258" s="166"/>
    </row>
    <row r="259" spans="7:35" x14ac:dyDescent="0.25">
      <c r="G259" s="165"/>
      <c r="H259" s="166"/>
      <c r="I259" s="167"/>
      <c r="J259" s="167"/>
      <c r="K259" s="166"/>
      <c r="L259" s="166"/>
      <c r="M259" s="166"/>
      <c r="N259" s="166"/>
      <c r="O259" s="166"/>
      <c r="P259" s="166"/>
      <c r="Q259" s="166"/>
      <c r="R259" s="166"/>
      <c r="S259" s="166"/>
      <c r="T259" s="166"/>
      <c r="U259" s="166"/>
      <c r="V259" s="166"/>
      <c r="W259" s="166"/>
      <c r="X259" s="166"/>
      <c r="Y259" s="166"/>
      <c r="Z259" s="166"/>
      <c r="AA259" s="166"/>
      <c r="AB259" s="166"/>
      <c r="AC259" s="166"/>
      <c r="AD259" s="166"/>
      <c r="AE259" s="166"/>
      <c r="AF259" s="166"/>
      <c r="AG259" s="166"/>
      <c r="AH259" s="166"/>
      <c r="AI259" s="166"/>
    </row>
    <row r="260" spans="7:35" x14ac:dyDescent="0.25">
      <c r="G260" s="165"/>
      <c r="H260" s="166"/>
      <c r="I260" s="167"/>
      <c r="J260" s="167"/>
      <c r="K260" s="166"/>
      <c r="L260" s="166"/>
      <c r="M260" s="166"/>
      <c r="N260" s="166"/>
      <c r="O260" s="166"/>
      <c r="P260" s="166"/>
      <c r="Q260" s="166"/>
      <c r="R260" s="166"/>
      <c r="S260" s="166"/>
      <c r="T260" s="166"/>
      <c r="U260" s="166"/>
      <c r="V260" s="166"/>
      <c r="W260" s="166"/>
      <c r="X260" s="166"/>
      <c r="Y260" s="166"/>
      <c r="Z260" s="166"/>
      <c r="AA260" s="166"/>
      <c r="AB260" s="166"/>
      <c r="AC260" s="166"/>
      <c r="AD260" s="166"/>
      <c r="AE260" s="166"/>
      <c r="AF260" s="166"/>
      <c r="AG260" s="166"/>
      <c r="AH260" s="166"/>
      <c r="AI260" s="166"/>
    </row>
    <row r="261" spans="7:35" x14ac:dyDescent="0.25">
      <c r="G261" s="165"/>
      <c r="H261" s="166"/>
      <c r="I261" s="167"/>
      <c r="J261" s="167"/>
      <c r="K261" s="166"/>
      <c r="L261" s="166"/>
      <c r="M261" s="166"/>
      <c r="N261" s="166"/>
      <c r="O261" s="166"/>
      <c r="P261" s="166"/>
      <c r="Q261" s="166"/>
      <c r="R261" s="166"/>
      <c r="S261" s="166"/>
      <c r="T261" s="166"/>
      <c r="U261" s="166"/>
      <c r="V261" s="166"/>
      <c r="W261" s="166"/>
      <c r="X261" s="166"/>
      <c r="Y261" s="166"/>
      <c r="Z261" s="166"/>
      <c r="AA261" s="166"/>
      <c r="AB261" s="166"/>
      <c r="AC261" s="166"/>
      <c r="AD261" s="166"/>
      <c r="AE261" s="166"/>
      <c r="AF261" s="166"/>
      <c r="AG261" s="166"/>
      <c r="AH261" s="166"/>
      <c r="AI261" s="166"/>
    </row>
    <row r="262" spans="7:35" x14ac:dyDescent="0.25">
      <c r="G262" s="165"/>
      <c r="H262" s="166"/>
      <c r="I262" s="167"/>
      <c r="J262" s="167"/>
      <c r="K262" s="166"/>
      <c r="L262" s="166"/>
      <c r="M262" s="166"/>
      <c r="N262" s="166"/>
      <c r="O262" s="166"/>
      <c r="P262" s="166"/>
      <c r="Q262" s="166"/>
      <c r="R262" s="166"/>
      <c r="S262" s="166"/>
      <c r="T262" s="166"/>
      <c r="U262" s="166"/>
      <c r="V262" s="166"/>
      <c r="W262" s="166"/>
      <c r="X262" s="166"/>
      <c r="Y262" s="166"/>
      <c r="Z262" s="166"/>
      <c r="AA262" s="166"/>
      <c r="AB262" s="166"/>
      <c r="AC262" s="166"/>
      <c r="AD262" s="166"/>
      <c r="AE262" s="166"/>
      <c r="AF262" s="166"/>
      <c r="AG262" s="166"/>
      <c r="AH262" s="166"/>
      <c r="AI262" s="166"/>
    </row>
    <row r="263" spans="7:35" x14ac:dyDescent="0.25">
      <c r="G263" s="165"/>
      <c r="H263" s="166"/>
      <c r="I263" s="167"/>
      <c r="J263" s="167"/>
      <c r="K263" s="166"/>
      <c r="L263" s="166"/>
      <c r="M263" s="166"/>
      <c r="N263" s="166"/>
      <c r="O263" s="166"/>
      <c r="P263" s="166"/>
      <c r="Q263" s="166"/>
      <c r="R263" s="166"/>
      <c r="S263" s="166"/>
      <c r="T263" s="166"/>
      <c r="U263" s="166"/>
      <c r="V263" s="166"/>
      <c r="W263" s="166"/>
      <c r="X263" s="166"/>
      <c r="Y263" s="166"/>
      <c r="Z263" s="166"/>
      <c r="AA263" s="166"/>
      <c r="AB263" s="166"/>
      <c r="AC263" s="166"/>
      <c r="AD263" s="166"/>
      <c r="AE263" s="166"/>
      <c r="AF263" s="166"/>
      <c r="AG263" s="166"/>
      <c r="AH263" s="166"/>
      <c r="AI263" s="166"/>
    </row>
    <row r="264" spans="7:35" x14ac:dyDescent="0.25">
      <c r="G264" s="165"/>
      <c r="H264" s="166"/>
      <c r="I264" s="167"/>
      <c r="J264" s="167"/>
      <c r="K264" s="166"/>
      <c r="L264" s="166"/>
      <c r="M264" s="166"/>
      <c r="N264" s="166"/>
      <c r="O264" s="166"/>
      <c r="P264" s="166"/>
      <c r="Q264" s="166"/>
      <c r="R264" s="166"/>
      <c r="S264" s="166"/>
      <c r="T264" s="166"/>
      <c r="U264" s="166"/>
      <c r="V264" s="166"/>
      <c r="W264" s="166"/>
      <c r="X264" s="166"/>
      <c r="Y264" s="166"/>
      <c r="Z264" s="166"/>
      <c r="AA264" s="166"/>
      <c r="AB264" s="166"/>
      <c r="AC264" s="166"/>
      <c r="AD264" s="166"/>
      <c r="AE264" s="166"/>
      <c r="AF264" s="166"/>
      <c r="AG264" s="166"/>
      <c r="AH264" s="166"/>
      <c r="AI264" s="166"/>
    </row>
    <row r="265" spans="7:35" x14ac:dyDescent="0.25">
      <c r="G265" s="165"/>
      <c r="H265" s="166"/>
      <c r="I265" s="167"/>
      <c r="J265" s="167"/>
      <c r="K265" s="166"/>
      <c r="L265" s="166"/>
      <c r="M265" s="166"/>
      <c r="N265" s="166"/>
      <c r="O265" s="166"/>
      <c r="P265" s="166"/>
      <c r="Q265" s="166"/>
      <c r="R265" s="166"/>
      <c r="S265" s="166"/>
      <c r="T265" s="166"/>
      <c r="U265" s="166"/>
      <c r="V265" s="166"/>
      <c r="W265" s="166"/>
      <c r="X265" s="166"/>
      <c r="Y265" s="166"/>
      <c r="Z265" s="166"/>
      <c r="AA265" s="166"/>
      <c r="AB265" s="166"/>
      <c r="AC265" s="166"/>
      <c r="AD265" s="166"/>
      <c r="AE265" s="166"/>
      <c r="AF265" s="166"/>
      <c r="AG265" s="166"/>
      <c r="AH265" s="166"/>
      <c r="AI265" s="166"/>
    </row>
    <row r="266" spans="7:35" x14ac:dyDescent="0.25">
      <c r="G266" s="165"/>
      <c r="H266" s="166"/>
      <c r="I266" s="167"/>
      <c r="J266" s="167"/>
      <c r="K266" s="166"/>
      <c r="L266" s="166"/>
      <c r="M266" s="166"/>
      <c r="N266" s="166"/>
      <c r="O266" s="166"/>
      <c r="P266" s="166"/>
      <c r="Q266" s="166"/>
      <c r="R266" s="166"/>
      <c r="S266" s="166"/>
      <c r="T266" s="166"/>
      <c r="U266" s="166"/>
      <c r="V266" s="166"/>
      <c r="W266" s="166"/>
      <c r="X266" s="166"/>
      <c r="Y266" s="166"/>
      <c r="Z266" s="166"/>
      <c r="AA266" s="166"/>
      <c r="AB266" s="166"/>
      <c r="AC266" s="166"/>
      <c r="AD266" s="166"/>
      <c r="AE266" s="166"/>
      <c r="AF266" s="166"/>
      <c r="AG266" s="166"/>
      <c r="AH266" s="166"/>
      <c r="AI266" s="166"/>
    </row>
    <row r="267" spans="7:35" x14ac:dyDescent="0.25">
      <c r="G267" s="165"/>
      <c r="H267" s="166"/>
      <c r="I267" s="167"/>
      <c r="J267" s="167"/>
      <c r="K267" s="166"/>
      <c r="L267" s="166"/>
      <c r="M267" s="166"/>
      <c r="N267" s="166"/>
      <c r="O267" s="166"/>
      <c r="P267" s="166"/>
      <c r="Q267" s="166"/>
      <c r="R267" s="166"/>
      <c r="S267" s="166"/>
      <c r="T267" s="166"/>
      <c r="U267" s="166"/>
      <c r="V267" s="166"/>
      <c r="W267" s="166"/>
      <c r="X267" s="166"/>
      <c r="Y267" s="166"/>
      <c r="Z267" s="166"/>
      <c r="AA267" s="166"/>
      <c r="AB267" s="166"/>
      <c r="AC267" s="166"/>
      <c r="AD267" s="166"/>
      <c r="AE267" s="166"/>
      <c r="AF267" s="166"/>
      <c r="AG267" s="166"/>
      <c r="AH267" s="166"/>
      <c r="AI267" s="166"/>
    </row>
    <row r="268" spans="7:35" x14ac:dyDescent="0.25">
      <c r="G268" s="165"/>
      <c r="H268" s="166"/>
      <c r="I268" s="167"/>
      <c r="J268" s="167"/>
      <c r="K268" s="166"/>
      <c r="L268" s="166"/>
      <c r="M268" s="166"/>
      <c r="N268" s="166"/>
      <c r="O268" s="166"/>
      <c r="P268" s="166"/>
      <c r="Q268" s="166"/>
      <c r="R268" s="166"/>
      <c r="S268" s="166"/>
      <c r="T268" s="166"/>
      <c r="U268" s="166"/>
      <c r="V268" s="166"/>
      <c r="W268" s="166"/>
      <c r="X268" s="166"/>
      <c r="Y268" s="166"/>
      <c r="Z268" s="166"/>
      <c r="AA268" s="166"/>
      <c r="AB268" s="166"/>
      <c r="AC268" s="166"/>
      <c r="AD268" s="166"/>
      <c r="AE268" s="166"/>
      <c r="AF268" s="166"/>
      <c r="AG268" s="166"/>
      <c r="AH268" s="166"/>
      <c r="AI268" s="166"/>
    </row>
    <row r="269" spans="7:35" x14ac:dyDescent="0.25">
      <c r="G269" s="165"/>
      <c r="H269" s="166"/>
      <c r="I269" s="167"/>
      <c r="J269" s="167"/>
      <c r="K269" s="166"/>
      <c r="L269" s="166"/>
      <c r="M269" s="166"/>
      <c r="N269" s="166"/>
      <c r="O269" s="166"/>
      <c r="P269" s="166"/>
      <c r="Q269" s="166"/>
      <c r="R269" s="166"/>
      <c r="S269" s="166"/>
      <c r="T269" s="166"/>
      <c r="U269" s="166"/>
      <c r="V269" s="166"/>
      <c r="W269" s="166"/>
      <c r="X269" s="166"/>
      <c r="Y269" s="166"/>
      <c r="Z269" s="166"/>
      <c r="AA269" s="166"/>
      <c r="AB269" s="166"/>
      <c r="AC269" s="166"/>
      <c r="AD269" s="166"/>
      <c r="AE269" s="166"/>
      <c r="AF269" s="166"/>
      <c r="AG269" s="166"/>
      <c r="AH269" s="166"/>
      <c r="AI269" s="166"/>
    </row>
    <row r="270" spans="7:35" x14ac:dyDescent="0.25">
      <c r="G270" s="165"/>
      <c r="H270" s="166"/>
      <c r="I270" s="167"/>
      <c r="J270" s="167"/>
      <c r="K270" s="166"/>
      <c r="L270" s="166"/>
      <c r="M270" s="166"/>
      <c r="N270" s="166"/>
      <c r="O270" s="166"/>
      <c r="P270" s="166"/>
      <c r="Q270" s="166"/>
      <c r="R270" s="166"/>
      <c r="S270" s="166"/>
      <c r="T270" s="166"/>
      <c r="U270" s="166"/>
      <c r="V270" s="166"/>
      <c r="W270" s="166"/>
      <c r="X270" s="166"/>
      <c r="Y270" s="166"/>
      <c r="Z270" s="166"/>
      <c r="AA270" s="166"/>
      <c r="AB270" s="166"/>
      <c r="AC270" s="166"/>
      <c r="AD270" s="166"/>
      <c r="AE270" s="166"/>
      <c r="AF270" s="166"/>
      <c r="AG270" s="166"/>
      <c r="AH270" s="166"/>
      <c r="AI270" s="166"/>
    </row>
    <row r="271" spans="7:35" x14ac:dyDescent="0.25">
      <c r="G271" s="165"/>
      <c r="H271" s="166"/>
      <c r="I271" s="167"/>
      <c r="J271" s="167"/>
      <c r="K271" s="166"/>
      <c r="L271" s="166"/>
      <c r="M271" s="166"/>
      <c r="N271" s="166"/>
      <c r="O271" s="166"/>
      <c r="P271" s="166"/>
      <c r="Q271" s="166"/>
      <c r="R271" s="166"/>
      <c r="S271" s="166"/>
      <c r="T271" s="166"/>
      <c r="U271" s="166"/>
      <c r="V271" s="166"/>
      <c r="W271" s="166"/>
      <c r="X271" s="166"/>
      <c r="Y271" s="166"/>
      <c r="Z271" s="166"/>
      <c r="AA271" s="166"/>
      <c r="AB271" s="166"/>
      <c r="AC271" s="166"/>
      <c r="AD271" s="166"/>
      <c r="AE271" s="166"/>
      <c r="AF271" s="166"/>
      <c r="AG271" s="166"/>
      <c r="AH271" s="166"/>
      <c r="AI271" s="166"/>
    </row>
    <row r="272" spans="7:35" x14ac:dyDescent="0.25">
      <c r="G272" s="165"/>
      <c r="H272" s="166"/>
      <c r="I272" s="167"/>
      <c r="J272" s="167"/>
      <c r="K272" s="166"/>
      <c r="L272" s="166"/>
      <c r="M272" s="166"/>
      <c r="N272" s="166"/>
      <c r="O272" s="166"/>
      <c r="P272" s="166"/>
      <c r="Q272" s="166"/>
      <c r="R272" s="166"/>
      <c r="S272" s="166"/>
      <c r="T272" s="166"/>
      <c r="U272" s="166"/>
      <c r="V272" s="166"/>
      <c r="W272" s="166"/>
      <c r="X272" s="166"/>
      <c r="Y272" s="166"/>
      <c r="Z272" s="166"/>
      <c r="AA272" s="166"/>
      <c r="AB272" s="166"/>
      <c r="AC272" s="166"/>
      <c r="AD272" s="166"/>
      <c r="AE272" s="166"/>
      <c r="AF272" s="166"/>
      <c r="AG272" s="166"/>
      <c r="AH272" s="166"/>
      <c r="AI272" s="166"/>
    </row>
    <row r="273" spans="7:35" x14ac:dyDescent="0.25">
      <c r="G273" s="165"/>
      <c r="H273" s="166"/>
      <c r="I273" s="167"/>
      <c r="J273" s="167"/>
      <c r="K273" s="166"/>
      <c r="L273" s="166"/>
      <c r="M273" s="166"/>
      <c r="N273" s="166"/>
      <c r="O273" s="166"/>
      <c r="P273" s="166"/>
      <c r="Q273" s="166"/>
      <c r="R273" s="166"/>
      <c r="S273" s="166"/>
      <c r="T273" s="166"/>
      <c r="U273" s="166"/>
      <c r="V273" s="166"/>
      <c r="W273" s="166"/>
      <c r="X273" s="166"/>
      <c r="Y273" s="166"/>
      <c r="Z273" s="166"/>
      <c r="AA273" s="166"/>
      <c r="AB273" s="166"/>
      <c r="AC273" s="166"/>
      <c r="AD273" s="166"/>
      <c r="AE273" s="166"/>
      <c r="AF273" s="166"/>
      <c r="AG273" s="166"/>
      <c r="AH273" s="166"/>
      <c r="AI273" s="166"/>
    </row>
    <row r="274" spans="7:35" x14ac:dyDescent="0.25">
      <c r="G274" s="165"/>
      <c r="H274" s="166"/>
      <c r="I274" s="167"/>
      <c r="J274" s="167"/>
      <c r="K274" s="166"/>
      <c r="L274" s="166"/>
      <c r="M274" s="166"/>
      <c r="N274" s="166"/>
      <c r="O274" s="166"/>
      <c r="P274" s="166"/>
      <c r="Q274" s="166"/>
      <c r="R274" s="166"/>
      <c r="S274" s="166"/>
      <c r="T274" s="166"/>
      <c r="U274" s="166"/>
      <c r="V274" s="166"/>
      <c r="W274" s="166"/>
      <c r="X274" s="166"/>
      <c r="Y274" s="166"/>
      <c r="Z274" s="166"/>
      <c r="AA274" s="166"/>
      <c r="AB274" s="166"/>
      <c r="AC274" s="166"/>
      <c r="AD274" s="166"/>
      <c r="AE274" s="166"/>
      <c r="AF274" s="166"/>
      <c r="AG274" s="166"/>
      <c r="AH274" s="166"/>
      <c r="AI274" s="166"/>
    </row>
    <row r="275" spans="7:35" x14ac:dyDescent="0.25">
      <c r="G275" s="165"/>
      <c r="H275" s="166"/>
      <c r="I275" s="167"/>
      <c r="J275" s="167"/>
      <c r="K275" s="166"/>
      <c r="L275" s="166"/>
      <c r="M275" s="166"/>
      <c r="N275" s="166"/>
      <c r="O275" s="166"/>
      <c r="P275" s="166"/>
      <c r="Q275" s="166"/>
      <c r="R275" s="166"/>
      <c r="S275" s="166"/>
      <c r="T275" s="166"/>
      <c r="U275" s="166"/>
      <c r="V275" s="166"/>
      <c r="W275" s="166"/>
      <c r="X275" s="166"/>
      <c r="Y275" s="166"/>
      <c r="Z275" s="166"/>
      <c r="AA275" s="166"/>
      <c r="AB275" s="166"/>
      <c r="AC275" s="166"/>
      <c r="AD275" s="166"/>
      <c r="AE275" s="166"/>
      <c r="AF275" s="166"/>
      <c r="AG275" s="166"/>
      <c r="AH275" s="166"/>
      <c r="AI275" s="166"/>
    </row>
    <row r="276" spans="7:35" x14ac:dyDescent="0.25">
      <c r="G276" s="165"/>
      <c r="H276" s="166"/>
      <c r="I276" s="167"/>
      <c r="J276" s="167"/>
      <c r="K276" s="166"/>
      <c r="L276" s="166"/>
      <c r="M276" s="166"/>
      <c r="N276" s="166"/>
      <c r="O276" s="166"/>
      <c r="P276" s="166"/>
      <c r="Q276" s="166"/>
      <c r="R276" s="166"/>
      <c r="S276" s="166"/>
      <c r="T276" s="166"/>
      <c r="U276" s="166"/>
      <c r="V276" s="166"/>
      <c r="W276" s="166"/>
      <c r="X276" s="166"/>
      <c r="Y276" s="166"/>
      <c r="Z276" s="166"/>
      <c r="AA276" s="166"/>
      <c r="AB276" s="166"/>
      <c r="AC276" s="166"/>
      <c r="AD276" s="166"/>
      <c r="AE276" s="166"/>
      <c r="AF276" s="166"/>
      <c r="AG276" s="166"/>
      <c r="AH276" s="166"/>
      <c r="AI276" s="166"/>
    </row>
    <row r="277" spans="7:35" x14ac:dyDescent="0.25">
      <c r="G277" s="165"/>
      <c r="H277" s="166"/>
      <c r="I277" s="167"/>
      <c r="J277" s="167"/>
      <c r="K277" s="166"/>
      <c r="L277" s="166"/>
      <c r="M277" s="166"/>
      <c r="N277" s="166"/>
      <c r="O277" s="166"/>
      <c r="P277" s="166"/>
      <c r="Q277" s="166"/>
      <c r="R277" s="166"/>
      <c r="S277" s="166"/>
      <c r="T277" s="166"/>
      <c r="U277" s="166"/>
      <c r="V277" s="166"/>
      <c r="W277" s="166"/>
      <c r="X277" s="166"/>
      <c r="Y277" s="166"/>
      <c r="Z277" s="166"/>
      <c r="AA277" s="166"/>
      <c r="AB277" s="166"/>
      <c r="AC277" s="166"/>
      <c r="AD277" s="166"/>
      <c r="AE277" s="166"/>
      <c r="AF277" s="166"/>
      <c r="AG277" s="166"/>
      <c r="AH277" s="166"/>
      <c r="AI277" s="166"/>
    </row>
    <row r="278" spans="7:35" x14ac:dyDescent="0.25">
      <c r="G278" s="165"/>
      <c r="H278" s="166"/>
      <c r="I278" s="167"/>
      <c r="J278" s="167"/>
      <c r="K278" s="166"/>
      <c r="L278" s="166"/>
      <c r="M278" s="166"/>
      <c r="N278" s="166"/>
      <c r="O278" s="166"/>
      <c r="P278" s="166"/>
      <c r="Q278" s="166"/>
      <c r="R278" s="166"/>
      <c r="S278" s="166"/>
      <c r="T278" s="166"/>
      <c r="U278" s="166"/>
      <c r="V278" s="166"/>
      <c r="W278" s="166"/>
      <c r="X278" s="166"/>
      <c r="Y278" s="166"/>
      <c r="Z278" s="166"/>
      <c r="AA278" s="166"/>
      <c r="AB278" s="166"/>
      <c r="AC278" s="166"/>
      <c r="AD278" s="166"/>
      <c r="AE278" s="166"/>
      <c r="AF278" s="166"/>
      <c r="AG278" s="166"/>
      <c r="AH278" s="166"/>
      <c r="AI278" s="166"/>
    </row>
    <row r="279" spans="7:35" x14ac:dyDescent="0.25">
      <c r="G279" s="165"/>
      <c r="H279" s="166"/>
      <c r="I279" s="167"/>
      <c r="J279" s="167"/>
      <c r="K279" s="166"/>
      <c r="L279" s="166"/>
      <c r="M279" s="166"/>
      <c r="N279" s="166"/>
      <c r="O279" s="166"/>
      <c r="P279" s="166"/>
      <c r="Q279" s="166"/>
      <c r="R279" s="166"/>
      <c r="S279" s="166"/>
      <c r="T279" s="166"/>
      <c r="U279" s="166"/>
      <c r="V279" s="166"/>
      <c r="W279" s="166"/>
      <c r="X279" s="166"/>
      <c r="Y279" s="166"/>
      <c r="Z279" s="166"/>
      <c r="AA279" s="166"/>
      <c r="AB279" s="166"/>
      <c r="AC279" s="166"/>
      <c r="AD279" s="166"/>
      <c r="AE279" s="166"/>
      <c r="AF279" s="166"/>
      <c r="AG279" s="166"/>
      <c r="AH279" s="166"/>
      <c r="AI279" s="166"/>
    </row>
    <row r="280" spans="7:35" x14ac:dyDescent="0.25">
      <c r="G280" s="165"/>
      <c r="H280" s="166"/>
      <c r="I280" s="167"/>
      <c r="J280" s="167"/>
      <c r="K280" s="166"/>
      <c r="L280" s="166"/>
      <c r="M280" s="166"/>
      <c r="N280" s="166"/>
      <c r="O280" s="166"/>
      <c r="P280" s="166"/>
      <c r="Q280" s="166"/>
      <c r="R280" s="166"/>
      <c r="S280" s="166"/>
      <c r="T280" s="166"/>
      <c r="U280" s="166"/>
      <c r="V280" s="166"/>
      <c r="W280" s="166"/>
      <c r="X280" s="166"/>
      <c r="Y280" s="166"/>
      <c r="Z280" s="166"/>
      <c r="AA280" s="166"/>
      <c r="AB280" s="166"/>
      <c r="AC280" s="166"/>
      <c r="AD280" s="166"/>
      <c r="AE280" s="166"/>
      <c r="AF280" s="166"/>
      <c r="AG280" s="166"/>
      <c r="AH280" s="166"/>
      <c r="AI280" s="166"/>
    </row>
    <row r="281" spans="7:35" x14ac:dyDescent="0.25">
      <c r="G281" s="165"/>
      <c r="H281" s="166"/>
      <c r="I281" s="167"/>
      <c r="J281" s="167"/>
      <c r="K281" s="166"/>
      <c r="L281" s="166"/>
      <c r="M281" s="166"/>
      <c r="N281" s="166"/>
      <c r="O281" s="166"/>
      <c r="P281" s="166"/>
      <c r="Q281" s="166"/>
      <c r="R281" s="166"/>
      <c r="S281" s="166"/>
      <c r="T281" s="166"/>
      <c r="U281" s="166"/>
      <c r="V281" s="166"/>
      <c r="W281" s="166"/>
      <c r="X281" s="166"/>
      <c r="Y281" s="166"/>
      <c r="Z281" s="166"/>
      <c r="AA281" s="166"/>
      <c r="AB281" s="166"/>
      <c r="AC281" s="166"/>
      <c r="AD281" s="166"/>
      <c r="AE281" s="166"/>
      <c r="AF281" s="166"/>
      <c r="AG281" s="166"/>
      <c r="AH281" s="166"/>
      <c r="AI281" s="166"/>
    </row>
    <row r="282" spans="7:35" x14ac:dyDescent="0.25">
      <c r="G282" s="165"/>
      <c r="H282" s="166"/>
      <c r="I282" s="167"/>
      <c r="J282" s="167"/>
      <c r="K282" s="166"/>
      <c r="L282" s="166"/>
      <c r="M282" s="166"/>
      <c r="N282" s="166"/>
      <c r="O282" s="166"/>
      <c r="P282" s="166"/>
      <c r="Q282" s="166"/>
      <c r="R282" s="166"/>
      <c r="S282" s="166"/>
      <c r="T282" s="166"/>
      <c r="U282" s="166"/>
      <c r="V282" s="166"/>
      <c r="W282" s="166"/>
      <c r="X282" s="166"/>
      <c r="Y282" s="166"/>
      <c r="Z282" s="166"/>
      <c r="AA282" s="166"/>
      <c r="AB282" s="166"/>
      <c r="AC282" s="166"/>
      <c r="AD282" s="166"/>
      <c r="AE282" s="166"/>
      <c r="AF282" s="166"/>
      <c r="AG282" s="166"/>
      <c r="AH282" s="166"/>
      <c r="AI282" s="166"/>
    </row>
    <row r="283" spans="7:35" x14ac:dyDescent="0.25">
      <c r="G283" s="165"/>
      <c r="H283" s="166"/>
      <c r="I283" s="167"/>
      <c r="J283" s="167"/>
      <c r="K283" s="166"/>
      <c r="L283" s="166"/>
      <c r="M283" s="166"/>
      <c r="N283" s="166"/>
      <c r="O283" s="166"/>
      <c r="P283" s="166"/>
      <c r="Q283" s="166"/>
      <c r="R283" s="166"/>
      <c r="S283" s="166"/>
      <c r="T283" s="166"/>
      <c r="U283" s="166"/>
      <c r="V283" s="166"/>
      <c r="W283" s="166"/>
      <c r="X283" s="166"/>
      <c r="Y283" s="166"/>
      <c r="Z283" s="166"/>
      <c r="AA283" s="166"/>
      <c r="AB283" s="166"/>
      <c r="AC283" s="166"/>
      <c r="AD283" s="166"/>
      <c r="AE283" s="166"/>
      <c r="AF283" s="166"/>
      <c r="AG283" s="166"/>
      <c r="AH283" s="166"/>
      <c r="AI283" s="166"/>
    </row>
    <row r="284" spans="7:35" x14ac:dyDescent="0.25">
      <c r="G284" s="165"/>
      <c r="H284" s="166"/>
      <c r="I284" s="167"/>
      <c r="J284" s="167"/>
      <c r="K284" s="166"/>
      <c r="L284" s="166"/>
      <c r="M284" s="166"/>
      <c r="N284" s="166"/>
      <c r="O284" s="166"/>
      <c r="P284" s="166"/>
      <c r="Q284" s="166"/>
      <c r="R284" s="166"/>
      <c r="S284" s="166"/>
      <c r="T284" s="166"/>
      <c r="U284" s="166"/>
      <c r="V284" s="166"/>
      <c r="W284" s="166"/>
      <c r="X284" s="166"/>
      <c r="Y284" s="166"/>
      <c r="Z284" s="166"/>
      <c r="AA284" s="166"/>
      <c r="AB284" s="166"/>
      <c r="AC284" s="166"/>
      <c r="AD284" s="166"/>
      <c r="AE284" s="166"/>
      <c r="AF284" s="166"/>
      <c r="AG284" s="166"/>
      <c r="AH284" s="166"/>
      <c r="AI284" s="166"/>
    </row>
    <row r="285" spans="7:35" x14ac:dyDescent="0.25">
      <c r="G285" s="165"/>
      <c r="H285" s="166"/>
      <c r="I285" s="167"/>
      <c r="J285" s="167"/>
      <c r="K285" s="166"/>
      <c r="L285" s="166"/>
      <c r="M285" s="166"/>
      <c r="N285" s="166"/>
      <c r="O285" s="166"/>
      <c r="P285" s="166"/>
      <c r="Q285" s="166"/>
      <c r="R285" s="166"/>
      <c r="S285" s="166"/>
      <c r="T285" s="166"/>
      <c r="U285" s="166"/>
      <c r="V285" s="166"/>
      <c r="W285" s="166"/>
      <c r="X285" s="166"/>
      <c r="Y285" s="166"/>
      <c r="Z285" s="166"/>
      <c r="AA285" s="166"/>
      <c r="AB285" s="166"/>
      <c r="AC285" s="166"/>
      <c r="AD285" s="166"/>
      <c r="AE285" s="166"/>
      <c r="AF285" s="166"/>
      <c r="AG285" s="166"/>
      <c r="AH285" s="166"/>
      <c r="AI285" s="166"/>
    </row>
    <row r="286" spans="7:35" x14ac:dyDescent="0.25">
      <c r="G286" s="165"/>
      <c r="H286" s="166"/>
      <c r="I286" s="167"/>
      <c r="J286" s="167"/>
      <c r="K286" s="166"/>
      <c r="L286" s="166"/>
      <c r="M286" s="166"/>
      <c r="N286" s="166"/>
      <c r="O286" s="166"/>
      <c r="P286" s="166"/>
      <c r="Q286" s="166"/>
      <c r="R286" s="166"/>
      <c r="S286" s="166"/>
      <c r="T286" s="166"/>
      <c r="U286" s="166"/>
      <c r="V286" s="166"/>
      <c r="W286" s="166"/>
      <c r="X286" s="166"/>
      <c r="Y286" s="166"/>
      <c r="Z286" s="166"/>
      <c r="AA286" s="166"/>
      <c r="AB286" s="166"/>
      <c r="AC286" s="166"/>
      <c r="AD286" s="166"/>
      <c r="AE286" s="166"/>
      <c r="AF286" s="166"/>
      <c r="AG286" s="166"/>
      <c r="AH286" s="166"/>
      <c r="AI286" s="166"/>
    </row>
    <row r="287" spans="7:35" x14ac:dyDescent="0.25">
      <c r="G287" s="165"/>
      <c r="H287" s="166"/>
      <c r="I287" s="167"/>
      <c r="J287" s="167"/>
      <c r="K287" s="166"/>
      <c r="L287" s="166"/>
      <c r="M287" s="166"/>
      <c r="N287" s="166"/>
      <c r="O287" s="166"/>
      <c r="P287" s="166"/>
      <c r="Q287" s="166"/>
      <c r="R287" s="166"/>
      <c r="S287" s="166"/>
      <c r="T287" s="166"/>
      <c r="U287" s="166"/>
      <c r="V287" s="166"/>
      <c r="W287" s="166"/>
      <c r="X287" s="166"/>
      <c r="Y287" s="166"/>
      <c r="Z287" s="166"/>
      <c r="AA287" s="166"/>
      <c r="AB287" s="166"/>
      <c r="AC287" s="166"/>
      <c r="AD287" s="166"/>
      <c r="AE287" s="166"/>
      <c r="AF287" s="166"/>
      <c r="AG287" s="166"/>
      <c r="AH287" s="166"/>
      <c r="AI287" s="166"/>
    </row>
    <row r="288" spans="7:35" x14ac:dyDescent="0.25">
      <c r="G288" s="165"/>
      <c r="H288" s="166"/>
      <c r="I288" s="167"/>
      <c r="J288" s="167"/>
      <c r="K288" s="166"/>
      <c r="L288" s="166"/>
      <c r="M288" s="166"/>
      <c r="N288" s="166"/>
      <c r="O288" s="166"/>
      <c r="P288" s="166"/>
      <c r="Q288" s="166"/>
      <c r="R288" s="166"/>
      <c r="S288" s="166"/>
      <c r="T288" s="166"/>
      <c r="U288" s="166"/>
      <c r="V288" s="166"/>
      <c r="W288" s="166"/>
      <c r="X288" s="166"/>
      <c r="Y288" s="166"/>
      <c r="Z288" s="166"/>
      <c r="AA288" s="166"/>
      <c r="AB288" s="166"/>
      <c r="AC288" s="166"/>
      <c r="AD288" s="166"/>
      <c r="AE288" s="166"/>
      <c r="AF288" s="166"/>
      <c r="AG288" s="166"/>
      <c r="AH288" s="166"/>
      <c r="AI288" s="166"/>
    </row>
    <row r="289" spans="7:35" x14ac:dyDescent="0.25">
      <c r="G289" s="165"/>
      <c r="H289" s="166"/>
      <c r="I289" s="167"/>
      <c r="J289" s="167"/>
      <c r="K289" s="166"/>
      <c r="L289" s="166"/>
      <c r="M289" s="166"/>
      <c r="N289" s="166"/>
      <c r="O289" s="166"/>
      <c r="P289" s="166"/>
      <c r="Q289" s="166"/>
      <c r="R289" s="166"/>
      <c r="S289" s="166"/>
      <c r="T289" s="166"/>
      <c r="U289" s="166"/>
      <c r="V289" s="166"/>
      <c r="W289" s="166"/>
      <c r="X289" s="166"/>
      <c r="Y289" s="166"/>
      <c r="Z289" s="166"/>
      <c r="AA289" s="166"/>
      <c r="AB289" s="166"/>
      <c r="AC289" s="166"/>
      <c r="AD289" s="166"/>
      <c r="AE289" s="166"/>
      <c r="AF289" s="166"/>
      <c r="AG289" s="166"/>
      <c r="AH289" s="166"/>
      <c r="AI289" s="166"/>
    </row>
    <row r="290" spans="7:35" x14ac:dyDescent="0.25">
      <c r="G290" s="165"/>
      <c r="H290" s="166"/>
      <c r="I290" s="167"/>
      <c r="J290" s="167"/>
      <c r="K290" s="166"/>
      <c r="L290" s="166"/>
      <c r="M290" s="166"/>
      <c r="N290" s="166"/>
      <c r="O290" s="166"/>
      <c r="P290" s="166"/>
      <c r="Q290" s="166"/>
      <c r="R290" s="166"/>
      <c r="S290" s="166"/>
      <c r="T290" s="166"/>
      <c r="U290" s="166"/>
      <c r="V290" s="166"/>
      <c r="W290" s="166"/>
      <c r="X290" s="166"/>
      <c r="Y290" s="166"/>
      <c r="Z290" s="166"/>
      <c r="AA290" s="166"/>
      <c r="AB290" s="166"/>
      <c r="AC290" s="166"/>
      <c r="AD290" s="166"/>
      <c r="AE290" s="166"/>
      <c r="AF290" s="166"/>
      <c r="AG290" s="166"/>
      <c r="AH290" s="166"/>
      <c r="AI290" s="166"/>
    </row>
    <row r="291" spans="7:35" x14ac:dyDescent="0.25">
      <c r="G291" s="165"/>
      <c r="H291" s="166"/>
      <c r="I291" s="167"/>
      <c r="J291" s="167"/>
      <c r="K291" s="166"/>
      <c r="L291" s="166"/>
      <c r="M291" s="166"/>
      <c r="N291" s="166"/>
      <c r="O291" s="166"/>
      <c r="P291" s="166"/>
      <c r="Q291" s="166"/>
      <c r="R291" s="166"/>
      <c r="S291" s="166"/>
      <c r="T291" s="166"/>
      <c r="U291" s="166"/>
      <c r="V291" s="166"/>
      <c r="W291" s="166"/>
      <c r="X291" s="166"/>
      <c r="Y291" s="166"/>
      <c r="Z291" s="166"/>
      <c r="AA291" s="166"/>
      <c r="AB291" s="166"/>
      <c r="AC291" s="166"/>
      <c r="AD291" s="166"/>
      <c r="AE291" s="166"/>
      <c r="AF291" s="166"/>
      <c r="AG291" s="166"/>
      <c r="AH291" s="166"/>
      <c r="AI291" s="166"/>
    </row>
    <row r="292" spans="7:35" x14ac:dyDescent="0.25">
      <c r="G292" s="165"/>
      <c r="H292" s="166"/>
      <c r="I292" s="167"/>
      <c r="J292" s="167"/>
      <c r="K292" s="166"/>
      <c r="L292" s="166"/>
      <c r="M292" s="166"/>
      <c r="N292" s="166"/>
      <c r="O292" s="166"/>
      <c r="P292" s="166"/>
      <c r="Q292" s="166"/>
      <c r="R292" s="166"/>
      <c r="S292" s="166"/>
      <c r="T292" s="166"/>
      <c r="U292" s="166"/>
      <c r="V292" s="166"/>
      <c r="W292" s="166"/>
      <c r="X292" s="166"/>
      <c r="Y292" s="166"/>
      <c r="Z292" s="166"/>
      <c r="AA292" s="166"/>
      <c r="AB292" s="166"/>
      <c r="AC292" s="166"/>
      <c r="AD292" s="166"/>
      <c r="AE292" s="166"/>
      <c r="AF292" s="166"/>
      <c r="AG292" s="166"/>
      <c r="AH292" s="166"/>
      <c r="AI292" s="166"/>
    </row>
    <row r="293" spans="7:35" x14ac:dyDescent="0.25">
      <c r="G293" s="165"/>
      <c r="H293" s="166"/>
      <c r="I293" s="167"/>
      <c r="J293" s="167"/>
      <c r="K293" s="166"/>
      <c r="L293" s="166"/>
      <c r="M293" s="166"/>
      <c r="N293" s="166"/>
      <c r="O293" s="166"/>
      <c r="P293" s="166"/>
      <c r="Q293" s="166"/>
      <c r="R293" s="166"/>
      <c r="S293" s="166"/>
      <c r="T293" s="166"/>
      <c r="U293" s="166"/>
      <c r="V293" s="166"/>
      <c r="W293" s="166"/>
      <c r="X293" s="166"/>
      <c r="Y293" s="166"/>
      <c r="Z293" s="166"/>
      <c r="AA293" s="166"/>
      <c r="AB293" s="166"/>
      <c r="AC293" s="166"/>
      <c r="AD293" s="166"/>
      <c r="AE293" s="166"/>
      <c r="AF293" s="166"/>
      <c r="AG293" s="166"/>
      <c r="AH293" s="166"/>
      <c r="AI293" s="166"/>
    </row>
    <row r="294" spans="7:35" x14ac:dyDescent="0.25">
      <c r="G294" s="165"/>
      <c r="H294" s="166"/>
      <c r="I294" s="167"/>
      <c r="J294" s="167"/>
      <c r="K294" s="166"/>
      <c r="L294" s="166"/>
      <c r="M294" s="166"/>
      <c r="N294" s="166"/>
      <c r="O294" s="166"/>
      <c r="P294" s="166"/>
      <c r="Q294" s="166"/>
      <c r="R294" s="166"/>
      <c r="S294" s="166"/>
      <c r="T294" s="166"/>
      <c r="U294" s="166"/>
      <c r="V294" s="166"/>
      <c r="W294" s="166"/>
      <c r="X294" s="166"/>
      <c r="Y294" s="166"/>
      <c r="Z294" s="166"/>
      <c r="AA294" s="166"/>
      <c r="AB294" s="166"/>
      <c r="AC294" s="166"/>
      <c r="AD294" s="166"/>
      <c r="AE294" s="166"/>
      <c r="AF294" s="166"/>
      <c r="AG294" s="166"/>
      <c r="AH294" s="166"/>
      <c r="AI294" s="166"/>
    </row>
    <row r="295" spans="7:35" x14ac:dyDescent="0.25">
      <c r="G295" s="165"/>
      <c r="H295" s="166"/>
      <c r="I295" s="167"/>
      <c r="J295" s="167"/>
      <c r="K295" s="166"/>
      <c r="L295" s="166"/>
      <c r="M295" s="166"/>
      <c r="N295" s="166"/>
      <c r="O295" s="166"/>
      <c r="P295" s="166"/>
      <c r="Q295" s="166"/>
      <c r="R295" s="166"/>
      <c r="S295" s="166"/>
      <c r="T295" s="166"/>
      <c r="U295" s="166"/>
      <c r="V295" s="166"/>
      <c r="W295" s="166"/>
      <c r="X295" s="166"/>
      <c r="Y295" s="166"/>
      <c r="Z295" s="166"/>
      <c r="AA295" s="166"/>
      <c r="AB295" s="166"/>
      <c r="AC295" s="166"/>
      <c r="AD295" s="166"/>
      <c r="AE295" s="166"/>
      <c r="AF295" s="166"/>
      <c r="AG295" s="166"/>
      <c r="AH295" s="166"/>
      <c r="AI295" s="166"/>
    </row>
    <row r="296" spans="7:35" x14ac:dyDescent="0.25">
      <c r="G296" s="165"/>
      <c r="H296" s="166"/>
      <c r="I296" s="167"/>
      <c r="J296" s="167"/>
      <c r="K296" s="166"/>
      <c r="L296" s="166"/>
      <c r="M296" s="166"/>
      <c r="N296" s="166"/>
      <c r="O296" s="166"/>
      <c r="P296" s="166"/>
      <c r="Q296" s="166"/>
      <c r="R296" s="166"/>
      <c r="S296" s="166"/>
      <c r="T296" s="166"/>
      <c r="U296" s="166"/>
      <c r="V296" s="166"/>
      <c r="W296" s="166"/>
      <c r="X296" s="166"/>
      <c r="Y296" s="166"/>
      <c r="Z296" s="166"/>
      <c r="AA296" s="166"/>
      <c r="AB296" s="166"/>
      <c r="AC296" s="166"/>
      <c r="AD296" s="166"/>
      <c r="AE296" s="166"/>
      <c r="AF296" s="166"/>
      <c r="AG296" s="166"/>
      <c r="AH296" s="166"/>
      <c r="AI296" s="166"/>
    </row>
    <row r="297" spans="7:35" x14ac:dyDescent="0.25">
      <c r="G297" s="165"/>
      <c r="H297" s="166"/>
      <c r="I297" s="167"/>
      <c r="J297" s="167"/>
      <c r="K297" s="166"/>
      <c r="L297" s="166"/>
      <c r="M297" s="166"/>
      <c r="N297" s="166"/>
      <c r="O297" s="166"/>
      <c r="P297" s="166"/>
      <c r="Q297" s="166"/>
      <c r="R297" s="166"/>
      <c r="S297" s="166"/>
      <c r="T297" s="166"/>
      <c r="U297" s="166"/>
      <c r="V297" s="166"/>
      <c r="W297" s="166"/>
      <c r="X297" s="166"/>
      <c r="Y297" s="166"/>
      <c r="Z297" s="166"/>
      <c r="AA297" s="166"/>
      <c r="AB297" s="166"/>
      <c r="AC297" s="166"/>
      <c r="AD297" s="166"/>
      <c r="AE297" s="166"/>
      <c r="AF297" s="166"/>
      <c r="AG297" s="166"/>
      <c r="AH297" s="166"/>
      <c r="AI297" s="166"/>
    </row>
    <row r="298" spans="7:35" x14ac:dyDescent="0.25">
      <c r="G298" s="165"/>
      <c r="H298" s="166"/>
      <c r="I298" s="167"/>
      <c r="J298" s="167"/>
      <c r="K298" s="166"/>
      <c r="L298" s="166"/>
      <c r="M298" s="166"/>
      <c r="N298" s="166"/>
      <c r="O298" s="166"/>
      <c r="P298" s="166"/>
      <c r="Q298" s="166"/>
      <c r="R298" s="166"/>
      <c r="S298" s="166"/>
      <c r="T298" s="166"/>
      <c r="U298" s="166"/>
      <c r="V298" s="166"/>
      <c r="W298" s="166"/>
      <c r="X298" s="166"/>
      <c r="Y298" s="166"/>
      <c r="Z298" s="166"/>
      <c r="AA298" s="166"/>
      <c r="AB298" s="166"/>
      <c r="AC298" s="166"/>
      <c r="AD298" s="166"/>
      <c r="AE298" s="166"/>
      <c r="AF298" s="166"/>
      <c r="AG298" s="166"/>
      <c r="AH298" s="166"/>
      <c r="AI298" s="166"/>
    </row>
    <row r="299" spans="7:35" x14ac:dyDescent="0.25">
      <c r="G299" s="165"/>
      <c r="H299" s="166"/>
      <c r="I299" s="167"/>
      <c r="J299" s="167"/>
      <c r="K299" s="166"/>
      <c r="L299" s="166"/>
      <c r="M299" s="166"/>
      <c r="N299" s="166"/>
      <c r="O299" s="166"/>
      <c r="P299" s="166"/>
      <c r="Q299" s="166"/>
      <c r="R299" s="166"/>
      <c r="S299" s="166"/>
      <c r="T299" s="166"/>
      <c r="U299" s="166"/>
      <c r="V299" s="166"/>
      <c r="W299" s="166"/>
      <c r="X299" s="166"/>
      <c r="Y299" s="166"/>
      <c r="Z299" s="166"/>
      <c r="AA299" s="166"/>
      <c r="AB299" s="166"/>
      <c r="AC299" s="166"/>
      <c r="AD299" s="166"/>
      <c r="AE299" s="166"/>
      <c r="AF299" s="166"/>
      <c r="AG299" s="166"/>
      <c r="AH299" s="166"/>
      <c r="AI299" s="166"/>
    </row>
    <row r="300" spans="7:35" x14ac:dyDescent="0.25">
      <c r="G300" s="165"/>
      <c r="H300" s="166"/>
      <c r="I300" s="167"/>
      <c r="J300" s="167"/>
      <c r="K300" s="166"/>
      <c r="L300" s="166"/>
      <c r="M300" s="166"/>
      <c r="N300" s="166"/>
      <c r="O300" s="166"/>
      <c r="P300" s="166"/>
      <c r="Q300" s="166"/>
      <c r="R300" s="166"/>
      <c r="S300" s="166"/>
      <c r="T300" s="166"/>
      <c r="U300" s="166"/>
      <c r="V300" s="166"/>
      <c r="W300" s="166"/>
      <c r="X300" s="166"/>
      <c r="Y300" s="166"/>
      <c r="Z300" s="166"/>
      <c r="AA300" s="166"/>
      <c r="AB300" s="166"/>
      <c r="AC300" s="166"/>
      <c r="AD300" s="166"/>
      <c r="AE300" s="166"/>
      <c r="AF300" s="166"/>
      <c r="AG300" s="166"/>
      <c r="AH300" s="166"/>
      <c r="AI300" s="166"/>
    </row>
    <row r="301" spans="7:35" x14ac:dyDescent="0.25">
      <c r="G301" s="165"/>
      <c r="H301" s="166"/>
      <c r="I301" s="167"/>
      <c r="J301" s="167"/>
      <c r="K301" s="166"/>
      <c r="L301" s="166"/>
      <c r="M301" s="166"/>
      <c r="N301" s="166"/>
      <c r="O301" s="166"/>
      <c r="P301" s="166"/>
      <c r="Q301" s="166"/>
      <c r="R301" s="166"/>
      <c r="S301" s="166"/>
      <c r="T301" s="166"/>
      <c r="U301" s="166"/>
      <c r="V301" s="166"/>
      <c r="W301" s="166"/>
      <c r="X301" s="166"/>
      <c r="Y301" s="166"/>
      <c r="Z301" s="166"/>
      <c r="AA301" s="166"/>
      <c r="AB301" s="166"/>
      <c r="AC301" s="166"/>
      <c r="AD301" s="166"/>
      <c r="AE301" s="166"/>
      <c r="AF301" s="166"/>
      <c r="AG301" s="166"/>
      <c r="AH301" s="166"/>
      <c r="AI301" s="166"/>
    </row>
    <row r="302" spans="7:35" x14ac:dyDescent="0.25">
      <c r="G302" s="165"/>
      <c r="H302" s="166"/>
      <c r="I302" s="167"/>
      <c r="J302" s="167"/>
      <c r="K302" s="166"/>
      <c r="L302" s="166"/>
      <c r="M302" s="166"/>
      <c r="N302" s="166"/>
      <c r="O302" s="166"/>
      <c r="P302" s="166"/>
      <c r="Q302" s="166"/>
      <c r="R302" s="166"/>
      <c r="S302" s="166"/>
      <c r="T302" s="166"/>
      <c r="U302" s="166"/>
      <c r="V302" s="166"/>
      <c r="W302" s="166"/>
      <c r="X302" s="166"/>
      <c r="Y302" s="166"/>
      <c r="Z302" s="166"/>
      <c r="AA302" s="166"/>
      <c r="AB302" s="166"/>
      <c r="AC302" s="166"/>
      <c r="AD302" s="166"/>
      <c r="AE302" s="166"/>
      <c r="AF302" s="166"/>
      <c r="AG302" s="166"/>
      <c r="AH302" s="166"/>
      <c r="AI302" s="166"/>
    </row>
    <row r="303" spans="7:35" x14ac:dyDescent="0.25">
      <c r="G303" s="165"/>
      <c r="H303" s="166"/>
      <c r="I303" s="167"/>
      <c r="J303" s="167"/>
      <c r="K303" s="166"/>
      <c r="L303" s="166"/>
      <c r="M303" s="166"/>
      <c r="N303" s="166"/>
      <c r="O303" s="166"/>
      <c r="P303" s="166"/>
      <c r="Q303" s="166"/>
      <c r="R303" s="166"/>
      <c r="S303" s="166"/>
      <c r="T303" s="166"/>
      <c r="U303" s="166"/>
      <c r="V303" s="166"/>
      <c r="W303" s="166"/>
      <c r="X303" s="166"/>
      <c r="Y303" s="166"/>
      <c r="Z303" s="166"/>
      <c r="AA303" s="166"/>
      <c r="AB303" s="166"/>
      <c r="AC303" s="166"/>
      <c r="AD303" s="166"/>
      <c r="AE303" s="166"/>
      <c r="AF303" s="166"/>
      <c r="AG303" s="166"/>
      <c r="AH303" s="166"/>
      <c r="AI303" s="166"/>
    </row>
    <row r="304" spans="7:35" x14ac:dyDescent="0.25">
      <c r="G304" s="165"/>
      <c r="H304" s="166"/>
      <c r="I304" s="167"/>
      <c r="J304" s="167"/>
      <c r="K304" s="166"/>
      <c r="L304" s="166"/>
      <c r="M304" s="166"/>
      <c r="N304" s="166"/>
      <c r="O304" s="166"/>
      <c r="P304" s="166"/>
      <c r="Q304" s="166"/>
      <c r="R304" s="166"/>
      <c r="S304" s="166"/>
      <c r="T304" s="166"/>
      <c r="U304" s="166"/>
      <c r="V304" s="166"/>
      <c r="W304" s="166"/>
      <c r="X304" s="166"/>
      <c r="Y304" s="166"/>
      <c r="Z304" s="166"/>
      <c r="AA304" s="166"/>
      <c r="AB304" s="166"/>
      <c r="AC304" s="166"/>
      <c r="AD304" s="166"/>
      <c r="AE304" s="166"/>
      <c r="AF304" s="166"/>
      <c r="AG304" s="166"/>
      <c r="AH304" s="166"/>
      <c r="AI304" s="166"/>
    </row>
    <row r="305" spans="7:35" x14ac:dyDescent="0.25">
      <c r="G305" s="165"/>
      <c r="H305" s="166"/>
      <c r="I305" s="167"/>
      <c r="J305" s="167"/>
      <c r="K305" s="166"/>
      <c r="L305" s="166"/>
      <c r="M305" s="166"/>
      <c r="N305" s="166"/>
      <c r="O305" s="166"/>
      <c r="P305" s="166"/>
      <c r="Q305" s="166"/>
      <c r="R305" s="166"/>
      <c r="S305" s="166"/>
      <c r="T305" s="166"/>
      <c r="U305" s="166"/>
      <c r="V305" s="166"/>
      <c r="W305" s="166"/>
      <c r="X305" s="166"/>
      <c r="Y305" s="166"/>
      <c r="Z305" s="166"/>
      <c r="AA305" s="166"/>
      <c r="AB305" s="166"/>
      <c r="AC305" s="166"/>
      <c r="AD305" s="166"/>
      <c r="AE305" s="166"/>
      <c r="AF305" s="166"/>
      <c r="AG305" s="166"/>
      <c r="AH305" s="166"/>
      <c r="AI305" s="166"/>
    </row>
    <row r="306" spans="7:35" x14ac:dyDescent="0.25">
      <c r="G306" s="165"/>
      <c r="H306" s="166"/>
      <c r="I306" s="167"/>
      <c r="J306" s="167"/>
      <c r="K306" s="166"/>
      <c r="L306" s="166"/>
      <c r="M306" s="166"/>
      <c r="N306" s="166"/>
      <c r="O306" s="166"/>
      <c r="P306" s="166"/>
      <c r="Q306" s="166"/>
      <c r="R306" s="166"/>
      <c r="S306" s="166"/>
      <c r="T306" s="166"/>
      <c r="U306" s="166"/>
      <c r="V306" s="166"/>
      <c r="W306" s="166"/>
      <c r="X306" s="166"/>
      <c r="Y306" s="166"/>
      <c r="Z306" s="166"/>
      <c r="AA306" s="166"/>
      <c r="AB306" s="166"/>
      <c r="AC306" s="166"/>
      <c r="AD306" s="166"/>
      <c r="AE306" s="166"/>
      <c r="AF306" s="166"/>
      <c r="AG306" s="166"/>
      <c r="AH306" s="166"/>
      <c r="AI306" s="166"/>
    </row>
    <row r="307" spans="7:35" x14ac:dyDescent="0.25">
      <c r="G307" s="165"/>
      <c r="H307" s="166"/>
      <c r="I307" s="167"/>
      <c r="J307" s="167"/>
      <c r="K307" s="166"/>
      <c r="L307" s="166"/>
      <c r="M307" s="166"/>
      <c r="N307" s="166"/>
      <c r="O307" s="166"/>
      <c r="P307" s="166"/>
      <c r="Q307" s="166"/>
      <c r="R307" s="166"/>
      <c r="S307" s="166"/>
      <c r="T307" s="166"/>
      <c r="U307" s="166"/>
      <c r="V307" s="166"/>
      <c r="W307" s="166"/>
      <c r="X307" s="166"/>
      <c r="Y307" s="166"/>
      <c r="Z307" s="166"/>
      <c r="AA307" s="166"/>
      <c r="AB307" s="166"/>
      <c r="AC307" s="166"/>
      <c r="AD307" s="166"/>
      <c r="AE307" s="166"/>
      <c r="AF307" s="166"/>
      <c r="AG307" s="166"/>
      <c r="AH307" s="166"/>
      <c r="AI307" s="166"/>
    </row>
    <row r="308" spans="7:35" x14ac:dyDescent="0.25">
      <c r="G308" s="165"/>
      <c r="H308" s="166"/>
      <c r="I308" s="167"/>
      <c r="J308" s="167"/>
      <c r="K308" s="166"/>
      <c r="L308" s="166"/>
      <c r="M308" s="166"/>
      <c r="N308" s="166"/>
      <c r="O308" s="166"/>
      <c r="P308" s="166"/>
      <c r="Q308" s="166"/>
      <c r="R308" s="166"/>
      <c r="S308" s="166"/>
      <c r="T308" s="166"/>
      <c r="U308" s="166"/>
      <c r="V308" s="166"/>
      <c r="W308" s="166"/>
      <c r="X308" s="166"/>
      <c r="Y308" s="166"/>
      <c r="Z308" s="166"/>
      <c r="AA308" s="166"/>
      <c r="AB308" s="166"/>
      <c r="AC308" s="166"/>
      <c r="AD308" s="166"/>
      <c r="AE308" s="166"/>
      <c r="AF308" s="166"/>
      <c r="AG308" s="166"/>
      <c r="AH308" s="166"/>
      <c r="AI308" s="166"/>
    </row>
    <row r="309" spans="7:35" x14ac:dyDescent="0.25">
      <c r="G309" s="165"/>
      <c r="H309" s="166"/>
      <c r="I309" s="167"/>
      <c r="J309" s="167"/>
      <c r="K309" s="166"/>
      <c r="L309" s="166"/>
      <c r="M309" s="166"/>
      <c r="N309" s="166"/>
      <c r="O309" s="166"/>
      <c r="P309" s="166"/>
      <c r="Q309" s="166"/>
      <c r="R309" s="166"/>
      <c r="S309" s="166"/>
      <c r="T309" s="166"/>
      <c r="U309" s="166"/>
      <c r="V309" s="166"/>
      <c r="W309" s="166"/>
      <c r="X309" s="166"/>
      <c r="Y309" s="166"/>
      <c r="Z309" s="166"/>
      <c r="AA309" s="166"/>
      <c r="AB309" s="166"/>
      <c r="AC309" s="166"/>
      <c r="AD309" s="166"/>
      <c r="AE309" s="166"/>
      <c r="AF309" s="166"/>
      <c r="AG309" s="166"/>
      <c r="AH309" s="166"/>
      <c r="AI309" s="166"/>
    </row>
    <row r="310" spans="7:35" x14ac:dyDescent="0.25">
      <c r="G310" s="165"/>
      <c r="H310" s="166"/>
      <c r="I310" s="167"/>
      <c r="J310" s="167"/>
      <c r="K310" s="166"/>
      <c r="L310" s="166"/>
      <c r="M310" s="166"/>
      <c r="N310" s="166"/>
      <c r="O310" s="166"/>
      <c r="P310" s="166"/>
      <c r="Q310" s="166"/>
      <c r="R310" s="166"/>
      <c r="S310" s="166"/>
      <c r="T310" s="166"/>
      <c r="U310" s="166"/>
      <c r="V310" s="166"/>
      <c r="W310" s="166"/>
      <c r="X310" s="166"/>
      <c r="Y310" s="166"/>
      <c r="Z310" s="166"/>
      <c r="AA310" s="166"/>
      <c r="AB310" s="166"/>
      <c r="AC310" s="166"/>
      <c r="AD310" s="166"/>
      <c r="AE310" s="166"/>
      <c r="AF310" s="166"/>
      <c r="AG310" s="166"/>
      <c r="AH310" s="166"/>
      <c r="AI310" s="166"/>
    </row>
    <row r="311" spans="7:35" x14ac:dyDescent="0.25">
      <c r="G311" s="165"/>
      <c r="H311" s="166"/>
      <c r="I311" s="167"/>
      <c r="J311" s="167"/>
      <c r="K311" s="166"/>
      <c r="L311" s="166"/>
      <c r="M311" s="166"/>
      <c r="N311" s="166"/>
      <c r="O311" s="166"/>
      <c r="P311" s="166"/>
      <c r="Q311" s="166"/>
      <c r="R311" s="166"/>
      <c r="S311" s="166"/>
      <c r="T311" s="166"/>
      <c r="U311" s="166"/>
      <c r="V311" s="166"/>
      <c r="W311" s="166"/>
      <c r="X311" s="166"/>
      <c r="Y311" s="166"/>
      <c r="Z311" s="166"/>
      <c r="AA311" s="166"/>
      <c r="AB311" s="166"/>
      <c r="AC311" s="166"/>
      <c r="AD311" s="166"/>
      <c r="AE311" s="166"/>
      <c r="AF311" s="166"/>
      <c r="AG311" s="166"/>
      <c r="AH311" s="166"/>
      <c r="AI311" s="166"/>
    </row>
    <row r="312" spans="7:35" x14ac:dyDescent="0.25">
      <c r="G312" s="165"/>
      <c r="H312" s="166"/>
      <c r="I312" s="167"/>
      <c r="J312" s="167"/>
      <c r="K312" s="166"/>
      <c r="L312" s="166"/>
      <c r="M312" s="166"/>
      <c r="N312" s="166"/>
      <c r="O312" s="166"/>
      <c r="P312" s="166"/>
      <c r="Q312" s="166"/>
      <c r="R312" s="166"/>
      <c r="S312" s="166"/>
      <c r="T312" s="166"/>
      <c r="U312" s="166"/>
      <c r="V312" s="166"/>
      <c r="W312" s="166"/>
      <c r="X312" s="166"/>
      <c r="Y312" s="166"/>
      <c r="Z312" s="166"/>
      <c r="AA312" s="166"/>
      <c r="AB312" s="166"/>
      <c r="AC312" s="166"/>
      <c r="AD312" s="166"/>
      <c r="AE312" s="166"/>
      <c r="AF312" s="166"/>
      <c r="AG312" s="166"/>
      <c r="AH312" s="166"/>
      <c r="AI312" s="166"/>
    </row>
    <row r="313" spans="7:35" x14ac:dyDescent="0.25">
      <c r="G313" s="165"/>
      <c r="H313" s="166"/>
      <c r="I313" s="167"/>
      <c r="J313" s="167"/>
      <c r="K313" s="166"/>
      <c r="L313" s="166"/>
      <c r="M313" s="166"/>
      <c r="N313" s="166"/>
      <c r="O313" s="166"/>
      <c r="P313" s="166"/>
      <c r="Q313" s="166"/>
      <c r="R313" s="166"/>
      <c r="S313" s="166"/>
      <c r="T313" s="166"/>
      <c r="U313" s="166"/>
      <c r="V313" s="166"/>
      <c r="W313" s="166"/>
      <c r="X313" s="166"/>
      <c r="Y313" s="166"/>
      <c r="Z313" s="166"/>
      <c r="AA313" s="166"/>
      <c r="AB313" s="166"/>
      <c r="AC313" s="166"/>
      <c r="AD313" s="166"/>
      <c r="AE313" s="166"/>
      <c r="AF313" s="166"/>
      <c r="AG313" s="166"/>
      <c r="AH313" s="166"/>
      <c r="AI313" s="166"/>
    </row>
    <row r="314" spans="7:35" x14ac:dyDescent="0.25">
      <c r="G314" s="165"/>
      <c r="H314" s="166"/>
      <c r="I314" s="167"/>
      <c r="J314" s="167"/>
      <c r="K314" s="166"/>
      <c r="L314" s="166"/>
      <c r="M314" s="166"/>
      <c r="N314" s="166"/>
      <c r="O314" s="166"/>
      <c r="P314" s="166"/>
      <c r="Q314" s="166"/>
      <c r="R314" s="166"/>
      <c r="S314" s="166"/>
      <c r="T314" s="166"/>
      <c r="U314" s="166"/>
      <c r="V314" s="166"/>
      <c r="W314" s="166"/>
      <c r="X314" s="166"/>
      <c r="Y314" s="166"/>
      <c r="Z314" s="166"/>
      <c r="AA314" s="166"/>
      <c r="AB314" s="166"/>
      <c r="AC314" s="166"/>
      <c r="AD314" s="166"/>
      <c r="AE314" s="166"/>
      <c r="AF314" s="166"/>
      <c r="AG314" s="166"/>
      <c r="AH314" s="166"/>
      <c r="AI314" s="166"/>
    </row>
    <row r="315" spans="7:35" x14ac:dyDescent="0.25">
      <c r="G315" s="165"/>
      <c r="H315" s="166"/>
      <c r="I315" s="167"/>
      <c r="J315" s="167"/>
      <c r="K315" s="166"/>
      <c r="L315" s="166"/>
      <c r="M315" s="166"/>
      <c r="N315" s="166"/>
      <c r="O315" s="166"/>
      <c r="P315" s="166"/>
      <c r="Q315" s="166"/>
      <c r="R315" s="166"/>
      <c r="S315" s="166"/>
      <c r="T315" s="166"/>
      <c r="U315" s="166"/>
      <c r="V315" s="166"/>
      <c r="W315" s="166"/>
      <c r="X315" s="166"/>
      <c r="Y315" s="166"/>
      <c r="Z315" s="166"/>
      <c r="AA315" s="166"/>
      <c r="AB315" s="166"/>
      <c r="AC315" s="166"/>
      <c r="AD315" s="166"/>
      <c r="AE315" s="166"/>
      <c r="AF315" s="166"/>
      <c r="AG315" s="166"/>
      <c r="AH315" s="166"/>
      <c r="AI315" s="166"/>
    </row>
    <row r="316" spans="7:35" x14ac:dyDescent="0.25">
      <c r="G316" s="165"/>
      <c r="H316" s="166"/>
      <c r="I316" s="167"/>
      <c r="J316" s="167"/>
      <c r="K316" s="166"/>
      <c r="L316" s="166"/>
      <c r="M316" s="166"/>
      <c r="N316" s="166"/>
      <c r="O316" s="166"/>
      <c r="P316" s="166"/>
      <c r="Q316" s="166"/>
      <c r="R316" s="166"/>
      <c r="S316" s="166"/>
      <c r="T316" s="166"/>
      <c r="U316" s="166"/>
      <c r="V316" s="166"/>
      <c r="W316" s="166"/>
      <c r="X316" s="166"/>
      <c r="Y316" s="166"/>
      <c r="Z316" s="166"/>
      <c r="AA316" s="166"/>
      <c r="AB316" s="166"/>
      <c r="AC316" s="166"/>
      <c r="AD316" s="166"/>
      <c r="AE316" s="166"/>
      <c r="AF316" s="166"/>
      <c r="AG316" s="166"/>
      <c r="AH316" s="166"/>
      <c r="AI316" s="166"/>
    </row>
    <row r="317" spans="7:35" x14ac:dyDescent="0.25">
      <c r="G317" s="165"/>
      <c r="H317" s="166"/>
      <c r="I317" s="167"/>
      <c r="J317" s="167"/>
      <c r="K317" s="166"/>
      <c r="L317" s="166"/>
      <c r="M317" s="166"/>
      <c r="N317" s="166"/>
      <c r="O317" s="166"/>
      <c r="P317" s="166"/>
      <c r="Q317" s="166"/>
      <c r="R317" s="166"/>
      <c r="S317" s="166"/>
      <c r="T317" s="166"/>
      <c r="U317" s="166"/>
      <c r="V317" s="166"/>
      <c r="W317" s="166"/>
      <c r="X317" s="166"/>
      <c r="Y317" s="166"/>
      <c r="Z317" s="166"/>
      <c r="AA317" s="166"/>
      <c r="AB317" s="166"/>
      <c r="AC317" s="166"/>
      <c r="AD317" s="166"/>
      <c r="AE317" s="166"/>
      <c r="AF317" s="166"/>
      <c r="AG317" s="166"/>
      <c r="AH317" s="166"/>
      <c r="AI317" s="166"/>
    </row>
    <row r="318" spans="7:35" x14ac:dyDescent="0.25">
      <c r="G318" s="165"/>
      <c r="H318" s="166"/>
      <c r="I318" s="167"/>
      <c r="J318" s="167"/>
      <c r="K318" s="166"/>
      <c r="L318" s="166"/>
      <c r="M318" s="166"/>
      <c r="N318" s="166"/>
      <c r="O318" s="166"/>
      <c r="P318" s="166"/>
      <c r="Q318" s="166"/>
      <c r="R318" s="166"/>
      <c r="S318" s="166"/>
      <c r="T318" s="166"/>
      <c r="U318" s="166"/>
      <c r="V318" s="166"/>
      <c r="W318" s="166"/>
      <c r="X318" s="166"/>
      <c r="Y318" s="166"/>
      <c r="Z318" s="166"/>
      <c r="AA318" s="166"/>
      <c r="AB318" s="166"/>
      <c r="AC318" s="166"/>
      <c r="AD318" s="166"/>
      <c r="AE318" s="166"/>
      <c r="AF318" s="166"/>
      <c r="AG318" s="166"/>
      <c r="AH318" s="166"/>
      <c r="AI318" s="166"/>
    </row>
    <row r="319" spans="7:35" x14ac:dyDescent="0.25">
      <c r="G319" s="165"/>
      <c r="H319" s="166"/>
      <c r="I319" s="167"/>
      <c r="J319" s="167"/>
      <c r="K319" s="166"/>
      <c r="L319" s="166"/>
      <c r="M319" s="166"/>
      <c r="N319" s="166"/>
      <c r="O319" s="166"/>
      <c r="P319" s="166"/>
      <c r="Q319" s="166"/>
      <c r="R319" s="166"/>
      <c r="S319" s="166"/>
      <c r="T319" s="166"/>
      <c r="U319" s="166"/>
      <c r="V319" s="166"/>
      <c r="W319" s="166"/>
      <c r="X319" s="166"/>
      <c r="Y319" s="166"/>
      <c r="Z319" s="166"/>
      <c r="AA319" s="166"/>
      <c r="AB319" s="166"/>
      <c r="AC319" s="166"/>
      <c r="AD319" s="166"/>
      <c r="AE319" s="166"/>
      <c r="AF319" s="166"/>
      <c r="AG319" s="166"/>
      <c r="AH319" s="166"/>
      <c r="AI319" s="166"/>
    </row>
    <row r="320" spans="7:35" x14ac:dyDescent="0.25">
      <c r="G320" s="165"/>
      <c r="H320" s="166"/>
      <c r="I320" s="167"/>
      <c r="J320" s="167"/>
      <c r="K320" s="166"/>
      <c r="L320" s="166"/>
      <c r="M320" s="166"/>
      <c r="N320" s="166"/>
      <c r="O320" s="166"/>
      <c r="P320" s="166"/>
      <c r="Q320" s="166"/>
      <c r="R320" s="166"/>
      <c r="S320" s="166"/>
      <c r="T320" s="166"/>
      <c r="U320" s="166"/>
      <c r="V320" s="166"/>
      <c r="W320" s="166"/>
      <c r="X320" s="166"/>
      <c r="Y320" s="166"/>
      <c r="Z320" s="166"/>
      <c r="AA320" s="166"/>
      <c r="AB320" s="166"/>
      <c r="AC320" s="166"/>
      <c r="AD320" s="166"/>
      <c r="AE320" s="166"/>
      <c r="AF320" s="166"/>
      <c r="AG320" s="166"/>
      <c r="AH320" s="166"/>
      <c r="AI320" s="166"/>
    </row>
    <row r="321" spans="7:35" x14ac:dyDescent="0.25">
      <c r="G321" s="165"/>
      <c r="H321" s="166"/>
      <c r="I321" s="167"/>
      <c r="J321" s="167"/>
      <c r="K321" s="166"/>
      <c r="L321" s="166"/>
      <c r="M321" s="166"/>
      <c r="N321" s="166"/>
      <c r="O321" s="166"/>
      <c r="P321" s="166"/>
      <c r="Q321" s="166"/>
      <c r="R321" s="166"/>
      <c r="S321" s="166"/>
      <c r="T321" s="166"/>
      <c r="U321" s="166"/>
      <c r="V321" s="166"/>
      <c r="W321" s="166"/>
      <c r="X321" s="166"/>
      <c r="Y321" s="166"/>
      <c r="Z321" s="166"/>
      <c r="AA321" s="166"/>
      <c r="AB321" s="166"/>
      <c r="AC321" s="166"/>
      <c r="AD321" s="166"/>
      <c r="AE321" s="166"/>
      <c r="AF321" s="166"/>
      <c r="AG321" s="166"/>
      <c r="AH321" s="166"/>
      <c r="AI321" s="166"/>
    </row>
    <row r="322" spans="7:35" x14ac:dyDescent="0.25">
      <c r="G322" s="165"/>
      <c r="H322" s="166"/>
      <c r="I322" s="167"/>
      <c r="J322" s="167"/>
      <c r="K322" s="166"/>
      <c r="L322" s="166"/>
      <c r="M322" s="166"/>
      <c r="N322" s="166"/>
      <c r="O322" s="166"/>
      <c r="P322" s="166"/>
      <c r="Q322" s="166"/>
      <c r="R322" s="166"/>
      <c r="S322" s="166"/>
      <c r="T322" s="166"/>
      <c r="U322" s="166"/>
      <c r="V322" s="166"/>
      <c r="W322" s="166"/>
      <c r="X322" s="166"/>
      <c r="Y322" s="166"/>
      <c r="Z322" s="166"/>
      <c r="AA322" s="166"/>
      <c r="AB322" s="166"/>
      <c r="AC322" s="166"/>
      <c r="AD322" s="166"/>
      <c r="AE322" s="166"/>
      <c r="AF322" s="166"/>
      <c r="AG322" s="166"/>
      <c r="AH322" s="166"/>
      <c r="AI322" s="166"/>
    </row>
    <row r="323" spans="7:35" x14ac:dyDescent="0.25">
      <c r="G323" s="165"/>
      <c r="H323" s="166"/>
      <c r="I323" s="167"/>
      <c r="J323" s="167"/>
      <c r="K323" s="166"/>
      <c r="L323" s="166"/>
      <c r="M323" s="166"/>
      <c r="N323" s="166"/>
      <c r="O323" s="166"/>
      <c r="P323" s="166"/>
      <c r="Q323" s="166"/>
      <c r="R323" s="166"/>
      <c r="S323" s="166"/>
      <c r="T323" s="166"/>
      <c r="U323" s="166"/>
      <c r="V323" s="166"/>
      <c r="W323" s="166"/>
      <c r="X323" s="166"/>
      <c r="Y323" s="166"/>
      <c r="Z323" s="166"/>
      <c r="AA323" s="166"/>
      <c r="AB323" s="166"/>
      <c r="AC323" s="166"/>
      <c r="AD323" s="166"/>
      <c r="AE323" s="166"/>
      <c r="AF323" s="166"/>
      <c r="AG323" s="166"/>
      <c r="AH323" s="166"/>
      <c r="AI323" s="166"/>
    </row>
    <row r="324" spans="7:35" x14ac:dyDescent="0.25">
      <c r="G324" s="165"/>
      <c r="H324" s="166"/>
      <c r="I324" s="167"/>
      <c r="J324" s="167"/>
      <c r="K324" s="166"/>
      <c r="L324" s="166"/>
      <c r="M324" s="166"/>
      <c r="N324" s="166"/>
      <c r="O324" s="166"/>
      <c r="P324" s="166"/>
      <c r="Q324" s="166"/>
      <c r="R324" s="166"/>
      <c r="S324" s="166"/>
      <c r="T324" s="166"/>
      <c r="U324" s="166"/>
      <c r="V324" s="166"/>
      <c r="W324" s="166"/>
      <c r="X324" s="166"/>
      <c r="Y324" s="166"/>
      <c r="Z324" s="166"/>
      <c r="AA324" s="166"/>
      <c r="AB324" s="166"/>
      <c r="AC324" s="166"/>
      <c r="AD324" s="166"/>
      <c r="AE324" s="166"/>
      <c r="AF324" s="166"/>
      <c r="AG324" s="166"/>
      <c r="AH324" s="166"/>
      <c r="AI324" s="166"/>
    </row>
    <row r="325" spans="7:35" x14ac:dyDescent="0.25">
      <c r="G325" s="165"/>
      <c r="H325" s="166"/>
      <c r="I325" s="167"/>
      <c r="J325" s="167"/>
      <c r="K325" s="166"/>
      <c r="L325" s="166"/>
      <c r="M325" s="166"/>
      <c r="N325" s="166"/>
      <c r="O325" s="166"/>
      <c r="P325" s="166"/>
      <c r="Q325" s="166"/>
      <c r="R325" s="166"/>
      <c r="S325" s="166"/>
      <c r="T325" s="166"/>
      <c r="U325" s="166"/>
      <c r="V325" s="166"/>
      <c r="W325" s="166"/>
      <c r="X325" s="166"/>
      <c r="Y325" s="166"/>
      <c r="Z325" s="166"/>
      <c r="AA325" s="166"/>
      <c r="AB325" s="166"/>
      <c r="AC325" s="166"/>
      <c r="AD325" s="166"/>
      <c r="AE325" s="166"/>
      <c r="AF325" s="166"/>
      <c r="AG325" s="166"/>
      <c r="AH325" s="166"/>
      <c r="AI325" s="166"/>
    </row>
    <row r="326" spans="7:35" x14ac:dyDescent="0.25">
      <c r="G326" s="165"/>
      <c r="H326" s="166"/>
      <c r="I326" s="167"/>
      <c r="J326" s="167"/>
      <c r="K326" s="166"/>
      <c r="L326" s="166"/>
      <c r="M326" s="166"/>
      <c r="N326" s="166"/>
      <c r="O326" s="166"/>
      <c r="P326" s="166"/>
      <c r="Q326" s="166"/>
      <c r="R326" s="166"/>
      <c r="S326" s="166"/>
      <c r="T326" s="166"/>
      <c r="U326" s="166"/>
      <c r="V326" s="166"/>
      <c r="W326" s="166"/>
      <c r="X326" s="166"/>
      <c r="Y326" s="166"/>
      <c r="Z326" s="166"/>
      <c r="AA326" s="166"/>
      <c r="AB326" s="166"/>
      <c r="AC326" s="166"/>
      <c r="AD326" s="166"/>
      <c r="AE326" s="166"/>
      <c r="AF326" s="166"/>
      <c r="AG326" s="166"/>
      <c r="AH326" s="166"/>
      <c r="AI326" s="166"/>
    </row>
    <row r="327" spans="7:35" x14ac:dyDescent="0.25">
      <c r="G327" s="165"/>
      <c r="H327" s="166"/>
      <c r="I327" s="167"/>
      <c r="J327" s="167"/>
      <c r="K327" s="166"/>
      <c r="L327" s="166"/>
      <c r="M327" s="166"/>
      <c r="N327" s="166"/>
      <c r="O327" s="166"/>
      <c r="P327" s="166"/>
      <c r="Q327" s="166"/>
      <c r="R327" s="166"/>
      <c r="S327" s="166"/>
      <c r="T327" s="166"/>
      <c r="U327" s="166"/>
      <c r="V327" s="166"/>
      <c r="W327" s="166"/>
      <c r="X327" s="166"/>
      <c r="Y327" s="166"/>
      <c r="Z327" s="166"/>
      <c r="AA327" s="166"/>
      <c r="AB327" s="166"/>
      <c r="AC327" s="166"/>
      <c r="AD327" s="166"/>
      <c r="AE327" s="166"/>
      <c r="AF327" s="166"/>
      <c r="AG327" s="166"/>
      <c r="AH327" s="166"/>
      <c r="AI327" s="166"/>
    </row>
    <row r="328" spans="7:35" x14ac:dyDescent="0.25">
      <c r="G328" s="165"/>
      <c r="H328" s="166"/>
      <c r="I328" s="167"/>
      <c r="J328" s="167"/>
      <c r="K328" s="166"/>
      <c r="L328" s="166"/>
      <c r="M328" s="166"/>
      <c r="N328" s="166"/>
      <c r="O328" s="166"/>
      <c r="P328" s="166"/>
      <c r="Q328" s="166"/>
      <c r="R328" s="166"/>
      <c r="S328" s="166"/>
      <c r="T328" s="166"/>
      <c r="U328" s="166"/>
      <c r="V328" s="166"/>
      <c r="W328" s="166"/>
      <c r="X328" s="166"/>
      <c r="Y328" s="166"/>
      <c r="Z328" s="166"/>
      <c r="AA328" s="166"/>
      <c r="AB328" s="166"/>
      <c r="AC328" s="166"/>
      <c r="AD328" s="166"/>
      <c r="AE328" s="166"/>
      <c r="AF328" s="166"/>
      <c r="AG328" s="166"/>
      <c r="AH328" s="166"/>
      <c r="AI328" s="166"/>
    </row>
    <row r="329" spans="7:35" x14ac:dyDescent="0.25">
      <c r="G329" s="165"/>
      <c r="H329" s="166"/>
      <c r="I329" s="167"/>
      <c r="J329" s="167"/>
      <c r="K329" s="166"/>
      <c r="L329" s="166"/>
      <c r="M329" s="166"/>
      <c r="N329" s="166"/>
      <c r="O329" s="166"/>
      <c r="P329" s="166"/>
      <c r="Q329" s="166"/>
      <c r="R329" s="166"/>
      <c r="S329" s="166"/>
      <c r="T329" s="166"/>
      <c r="U329" s="166"/>
      <c r="V329" s="166"/>
      <c r="W329" s="166"/>
      <c r="X329" s="166"/>
      <c r="Y329" s="166"/>
      <c r="Z329" s="166"/>
      <c r="AA329" s="166"/>
      <c r="AB329" s="166"/>
      <c r="AC329" s="166"/>
      <c r="AD329" s="166"/>
      <c r="AE329" s="166"/>
      <c r="AF329" s="166"/>
      <c r="AG329" s="166"/>
      <c r="AH329" s="166"/>
      <c r="AI329" s="166"/>
    </row>
    <row r="330" spans="7:35" x14ac:dyDescent="0.25">
      <c r="G330" s="165"/>
      <c r="H330" s="166"/>
      <c r="I330" s="167"/>
      <c r="J330" s="167"/>
      <c r="K330" s="166"/>
      <c r="L330" s="166"/>
      <c r="M330" s="166"/>
      <c r="N330" s="166"/>
      <c r="O330" s="166"/>
      <c r="P330" s="166"/>
      <c r="Q330" s="166"/>
      <c r="R330" s="166"/>
      <c r="S330" s="166"/>
      <c r="T330" s="166"/>
      <c r="U330" s="166"/>
      <c r="V330" s="166"/>
      <c r="W330" s="166"/>
      <c r="X330" s="166"/>
      <c r="Y330" s="166"/>
      <c r="Z330" s="166"/>
      <c r="AA330" s="166"/>
      <c r="AB330" s="166"/>
      <c r="AC330" s="166"/>
      <c r="AD330" s="166"/>
      <c r="AE330" s="166"/>
      <c r="AF330" s="166"/>
      <c r="AG330" s="166"/>
      <c r="AH330" s="166"/>
      <c r="AI330" s="166"/>
    </row>
    <row r="331" spans="7:35" x14ac:dyDescent="0.25">
      <c r="G331" s="165"/>
      <c r="H331" s="166"/>
      <c r="I331" s="167"/>
      <c r="J331" s="167"/>
      <c r="K331" s="166"/>
      <c r="L331" s="166"/>
      <c r="M331" s="166"/>
      <c r="N331" s="166"/>
      <c r="O331" s="166"/>
      <c r="P331" s="166"/>
      <c r="Q331" s="166"/>
      <c r="R331" s="166"/>
      <c r="S331" s="166"/>
      <c r="T331" s="166"/>
      <c r="U331" s="166"/>
      <c r="V331" s="166"/>
      <c r="W331" s="166"/>
      <c r="X331" s="166"/>
      <c r="Y331" s="166"/>
      <c r="Z331" s="166"/>
      <c r="AA331" s="166"/>
      <c r="AB331" s="166"/>
      <c r="AC331" s="166"/>
      <c r="AD331" s="166"/>
      <c r="AE331" s="166"/>
      <c r="AF331" s="166"/>
      <c r="AG331" s="166"/>
      <c r="AH331" s="166"/>
      <c r="AI331" s="166"/>
    </row>
    <row r="332" spans="7:35" x14ac:dyDescent="0.25">
      <c r="G332" s="165"/>
      <c r="H332" s="166"/>
      <c r="I332" s="167"/>
      <c r="J332" s="167"/>
      <c r="K332" s="166"/>
      <c r="L332" s="166"/>
      <c r="M332" s="166"/>
      <c r="N332" s="166"/>
      <c r="O332" s="166"/>
      <c r="P332" s="166"/>
      <c r="Q332" s="166"/>
      <c r="R332" s="166"/>
      <c r="S332" s="166"/>
      <c r="T332" s="166"/>
      <c r="U332" s="166"/>
      <c r="V332" s="166"/>
      <c r="W332" s="166"/>
      <c r="X332" s="166"/>
      <c r="Y332" s="166"/>
      <c r="Z332" s="166"/>
      <c r="AA332" s="166"/>
      <c r="AB332" s="166"/>
      <c r="AC332" s="166"/>
      <c r="AD332" s="166"/>
      <c r="AE332" s="166"/>
      <c r="AF332" s="166"/>
      <c r="AG332" s="166"/>
      <c r="AH332" s="166"/>
      <c r="AI332" s="166"/>
    </row>
    <row r="333" spans="7:35" x14ac:dyDescent="0.25">
      <c r="G333" s="165"/>
      <c r="H333" s="166"/>
      <c r="I333" s="167"/>
      <c r="J333" s="167"/>
      <c r="K333" s="166"/>
      <c r="L333" s="166"/>
      <c r="M333" s="166"/>
      <c r="N333" s="166"/>
      <c r="O333" s="166"/>
      <c r="P333" s="166"/>
      <c r="Q333" s="166"/>
      <c r="R333" s="166"/>
      <c r="S333" s="166"/>
      <c r="T333" s="166"/>
      <c r="U333" s="166"/>
      <c r="V333" s="166"/>
      <c r="W333" s="166"/>
      <c r="X333" s="166"/>
      <c r="Y333" s="166"/>
      <c r="Z333" s="166"/>
      <c r="AA333" s="166"/>
      <c r="AB333" s="166"/>
      <c r="AC333" s="166"/>
      <c r="AD333" s="166"/>
      <c r="AE333" s="166"/>
      <c r="AF333" s="166"/>
      <c r="AG333" s="166"/>
      <c r="AH333" s="166"/>
      <c r="AI333" s="166"/>
    </row>
    <row r="334" spans="7:35" x14ac:dyDescent="0.25">
      <c r="G334" s="165"/>
      <c r="H334" s="166"/>
      <c r="I334" s="167"/>
      <c r="J334" s="167"/>
      <c r="K334" s="166"/>
      <c r="L334" s="166"/>
      <c r="M334" s="166"/>
      <c r="N334" s="166"/>
      <c r="O334" s="166"/>
      <c r="P334" s="166"/>
      <c r="Q334" s="166"/>
      <c r="R334" s="166"/>
      <c r="S334" s="166"/>
      <c r="T334" s="166"/>
      <c r="U334" s="166"/>
      <c r="V334" s="166"/>
      <c r="W334" s="166"/>
      <c r="X334" s="166"/>
      <c r="Y334" s="166"/>
      <c r="Z334" s="166"/>
      <c r="AA334" s="166"/>
      <c r="AB334" s="166"/>
      <c r="AC334" s="166"/>
      <c r="AD334" s="166"/>
      <c r="AE334" s="166"/>
      <c r="AF334" s="166"/>
      <c r="AG334" s="166"/>
      <c r="AH334" s="166"/>
      <c r="AI334" s="166"/>
    </row>
    <row r="335" spans="7:35" x14ac:dyDescent="0.25">
      <c r="G335" s="165"/>
      <c r="H335" s="166"/>
      <c r="I335" s="167"/>
      <c r="J335" s="167"/>
      <c r="K335" s="166"/>
      <c r="L335" s="166"/>
      <c r="M335" s="166"/>
      <c r="N335" s="166"/>
      <c r="O335" s="166"/>
      <c r="P335" s="166"/>
      <c r="Q335" s="166"/>
      <c r="R335" s="166"/>
      <c r="S335" s="166"/>
      <c r="T335" s="166"/>
      <c r="U335" s="166"/>
      <c r="V335" s="166"/>
      <c r="W335" s="166"/>
      <c r="X335" s="166"/>
      <c r="Y335" s="166"/>
      <c r="Z335" s="166"/>
      <c r="AA335" s="166"/>
      <c r="AB335" s="166"/>
      <c r="AC335" s="166"/>
      <c r="AD335" s="166"/>
      <c r="AE335" s="166"/>
      <c r="AF335" s="166"/>
      <c r="AG335" s="166"/>
      <c r="AH335" s="166"/>
      <c r="AI335" s="166"/>
    </row>
    <row r="336" spans="7:35" x14ac:dyDescent="0.25">
      <c r="G336" s="165"/>
      <c r="H336" s="166"/>
      <c r="I336" s="167"/>
      <c r="J336" s="167"/>
      <c r="K336" s="166"/>
      <c r="L336" s="166"/>
      <c r="M336" s="166"/>
      <c r="N336" s="166"/>
      <c r="O336" s="166"/>
      <c r="P336" s="166"/>
      <c r="Q336" s="166"/>
      <c r="R336" s="166"/>
      <c r="S336" s="166"/>
      <c r="T336" s="166"/>
      <c r="U336" s="166"/>
      <c r="V336" s="166"/>
      <c r="W336" s="166"/>
      <c r="X336" s="166"/>
      <c r="Y336" s="166"/>
      <c r="Z336" s="166"/>
      <c r="AA336" s="166"/>
      <c r="AB336" s="166"/>
      <c r="AC336" s="166"/>
      <c r="AD336" s="166"/>
      <c r="AE336" s="166"/>
      <c r="AF336" s="166"/>
      <c r="AG336" s="166"/>
      <c r="AH336" s="166"/>
      <c r="AI336" s="166"/>
    </row>
    <row r="337" spans="7:35" x14ac:dyDescent="0.25">
      <c r="G337" s="165"/>
      <c r="H337" s="166"/>
      <c r="I337" s="167"/>
      <c r="J337" s="167"/>
      <c r="K337" s="166"/>
      <c r="L337" s="166"/>
      <c r="M337" s="166"/>
      <c r="N337" s="166"/>
      <c r="O337" s="166"/>
      <c r="P337" s="166"/>
      <c r="Q337" s="166"/>
      <c r="R337" s="166"/>
      <c r="S337" s="166"/>
      <c r="T337" s="166"/>
      <c r="U337" s="166"/>
      <c r="V337" s="166"/>
      <c r="W337" s="166"/>
      <c r="X337" s="166"/>
      <c r="Y337" s="166"/>
      <c r="Z337" s="166"/>
      <c r="AA337" s="166"/>
      <c r="AB337" s="166"/>
      <c r="AC337" s="166"/>
      <c r="AD337" s="166"/>
      <c r="AE337" s="166"/>
      <c r="AF337" s="166"/>
      <c r="AG337" s="166"/>
      <c r="AH337" s="166"/>
      <c r="AI337" s="166"/>
    </row>
    <row r="338" spans="7:35" x14ac:dyDescent="0.25">
      <c r="G338" s="165"/>
      <c r="H338" s="166"/>
      <c r="I338" s="167"/>
      <c r="J338" s="167"/>
      <c r="K338" s="166"/>
      <c r="L338" s="166"/>
      <c r="M338" s="166"/>
      <c r="N338" s="166"/>
      <c r="O338" s="166"/>
      <c r="P338" s="166"/>
      <c r="Q338" s="166"/>
      <c r="R338" s="166"/>
      <c r="S338" s="166"/>
      <c r="T338" s="166"/>
      <c r="U338" s="166"/>
      <c r="V338" s="166"/>
      <c r="W338" s="166"/>
      <c r="X338" s="166"/>
      <c r="Y338" s="166"/>
      <c r="Z338" s="166"/>
      <c r="AA338" s="166"/>
      <c r="AB338" s="166"/>
      <c r="AC338" s="166"/>
      <c r="AD338" s="166"/>
      <c r="AE338" s="166"/>
      <c r="AF338" s="166"/>
      <c r="AG338" s="166"/>
      <c r="AH338" s="166"/>
      <c r="AI338" s="166"/>
    </row>
    <row r="339" spans="7:35" x14ac:dyDescent="0.25">
      <c r="G339" s="165"/>
      <c r="H339" s="166"/>
      <c r="I339" s="167"/>
      <c r="J339" s="167"/>
      <c r="K339" s="166"/>
      <c r="L339" s="166"/>
      <c r="M339" s="166"/>
      <c r="N339" s="166"/>
      <c r="O339" s="166"/>
      <c r="P339" s="166"/>
      <c r="Q339" s="166"/>
      <c r="R339" s="166"/>
      <c r="S339" s="166"/>
      <c r="T339" s="166"/>
      <c r="U339" s="166"/>
      <c r="V339" s="166"/>
      <c r="W339" s="166"/>
      <c r="X339" s="166"/>
      <c r="Y339" s="166"/>
      <c r="Z339" s="166"/>
      <c r="AA339" s="166"/>
      <c r="AB339" s="166"/>
      <c r="AC339" s="166"/>
      <c r="AD339" s="166"/>
      <c r="AE339" s="166"/>
      <c r="AF339" s="166"/>
      <c r="AG339" s="166"/>
      <c r="AH339" s="166"/>
      <c r="AI339" s="166"/>
    </row>
    <row r="340" spans="7:35" x14ac:dyDescent="0.25">
      <c r="G340" s="165"/>
      <c r="H340" s="166"/>
      <c r="I340" s="167"/>
      <c r="J340" s="167"/>
      <c r="K340" s="166"/>
      <c r="L340" s="166"/>
      <c r="M340" s="166"/>
      <c r="N340" s="166"/>
      <c r="O340" s="166"/>
      <c r="P340" s="166"/>
      <c r="Q340" s="166"/>
      <c r="R340" s="166"/>
      <c r="S340" s="166"/>
      <c r="T340" s="166"/>
      <c r="U340" s="166"/>
      <c r="V340" s="166"/>
      <c r="W340" s="166"/>
      <c r="X340" s="166"/>
      <c r="Y340" s="166"/>
      <c r="Z340" s="166"/>
      <c r="AA340" s="166"/>
      <c r="AB340" s="166"/>
      <c r="AC340" s="166"/>
      <c r="AD340" s="166"/>
      <c r="AE340" s="166"/>
      <c r="AF340" s="166"/>
      <c r="AG340" s="166"/>
      <c r="AH340" s="166"/>
      <c r="AI340" s="166"/>
    </row>
    <row r="341" spans="7:35" x14ac:dyDescent="0.25">
      <c r="G341" s="165"/>
      <c r="H341" s="166"/>
      <c r="I341" s="167"/>
      <c r="J341" s="167"/>
      <c r="K341" s="166"/>
      <c r="L341" s="166"/>
      <c r="M341" s="166"/>
      <c r="N341" s="166"/>
      <c r="O341" s="166"/>
      <c r="P341" s="166"/>
      <c r="Q341" s="166"/>
      <c r="R341" s="166"/>
      <c r="S341" s="166"/>
      <c r="T341" s="166"/>
      <c r="U341" s="166"/>
      <c r="V341" s="166"/>
      <c r="W341" s="166"/>
      <c r="X341" s="166"/>
      <c r="Y341" s="166"/>
      <c r="Z341" s="166"/>
      <c r="AA341" s="166"/>
      <c r="AB341" s="166"/>
      <c r="AC341" s="166"/>
      <c r="AD341" s="166"/>
      <c r="AE341" s="166"/>
      <c r="AF341" s="166"/>
      <c r="AG341" s="166"/>
      <c r="AH341" s="166"/>
      <c r="AI341" s="166"/>
    </row>
    <row r="342" spans="7:35" x14ac:dyDescent="0.25">
      <c r="G342" s="165"/>
      <c r="H342" s="166"/>
      <c r="I342" s="167"/>
      <c r="J342" s="167"/>
      <c r="K342" s="166"/>
      <c r="L342" s="166"/>
      <c r="M342" s="166"/>
      <c r="N342" s="166"/>
      <c r="O342" s="166"/>
      <c r="P342" s="166"/>
      <c r="Q342" s="166"/>
      <c r="R342" s="166"/>
      <c r="S342" s="166"/>
      <c r="T342" s="166"/>
      <c r="U342" s="166"/>
      <c r="V342" s="166"/>
      <c r="W342" s="166"/>
      <c r="X342" s="166"/>
      <c r="Y342" s="166"/>
      <c r="Z342" s="166"/>
      <c r="AA342" s="166"/>
      <c r="AB342" s="166"/>
      <c r="AC342" s="166"/>
      <c r="AD342" s="166"/>
      <c r="AE342" s="166"/>
      <c r="AF342" s="166"/>
      <c r="AG342" s="166"/>
      <c r="AH342" s="166"/>
      <c r="AI342" s="166"/>
    </row>
    <row r="343" spans="7:35" x14ac:dyDescent="0.25">
      <c r="G343" s="165"/>
      <c r="H343" s="166"/>
      <c r="I343" s="167"/>
      <c r="J343" s="167"/>
      <c r="K343" s="166"/>
      <c r="L343" s="166"/>
      <c r="M343" s="166"/>
      <c r="N343" s="166"/>
      <c r="O343" s="166"/>
      <c r="P343" s="166"/>
      <c r="Q343" s="166"/>
      <c r="R343" s="166"/>
      <c r="S343" s="166"/>
      <c r="T343" s="166"/>
      <c r="U343" s="166"/>
      <c r="V343" s="166"/>
      <c r="W343" s="166"/>
      <c r="X343" s="166"/>
      <c r="Y343" s="166"/>
      <c r="Z343" s="166"/>
      <c r="AA343" s="166"/>
      <c r="AB343" s="166"/>
      <c r="AC343" s="166"/>
      <c r="AD343" s="166"/>
      <c r="AE343" s="166"/>
      <c r="AF343" s="166"/>
      <c r="AG343" s="166"/>
      <c r="AH343" s="166"/>
      <c r="AI343" s="166"/>
    </row>
    <row r="344" spans="7:35" x14ac:dyDescent="0.25">
      <c r="G344" s="165"/>
      <c r="H344" s="166"/>
      <c r="I344" s="167"/>
      <c r="J344" s="167"/>
      <c r="K344" s="166"/>
      <c r="L344" s="166"/>
      <c r="M344" s="166"/>
      <c r="N344" s="166"/>
      <c r="O344" s="166"/>
      <c r="P344" s="166"/>
      <c r="Q344" s="166"/>
      <c r="R344" s="166"/>
      <c r="S344" s="166"/>
      <c r="T344" s="166"/>
      <c r="U344" s="166"/>
      <c r="V344" s="166"/>
      <c r="W344" s="166"/>
      <c r="X344" s="166"/>
      <c r="Y344" s="166"/>
      <c r="Z344" s="166"/>
      <c r="AA344" s="166"/>
      <c r="AB344" s="166"/>
      <c r="AC344" s="166"/>
      <c r="AD344" s="166"/>
      <c r="AE344" s="166"/>
      <c r="AF344" s="166"/>
      <c r="AG344" s="166"/>
      <c r="AH344" s="166"/>
      <c r="AI344" s="166"/>
    </row>
    <row r="345" spans="7:35" x14ac:dyDescent="0.25">
      <c r="G345" s="165"/>
      <c r="H345" s="166"/>
      <c r="I345" s="167"/>
      <c r="J345" s="167"/>
      <c r="K345" s="166"/>
      <c r="L345" s="166"/>
      <c r="M345" s="166"/>
      <c r="N345" s="166"/>
      <c r="O345" s="166"/>
      <c r="P345" s="166"/>
      <c r="Q345" s="166"/>
      <c r="R345" s="166"/>
      <c r="S345" s="166"/>
      <c r="T345" s="166"/>
      <c r="U345" s="166"/>
      <c r="V345" s="166"/>
      <c r="W345" s="166"/>
      <c r="X345" s="166"/>
      <c r="Y345" s="166"/>
      <c r="Z345" s="166"/>
      <c r="AA345" s="166"/>
      <c r="AB345" s="166"/>
      <c r="AC345" s="166"/>
      <c r="AD345" s="166"/>
      <c r="AE345" s="166"/>
      <c r="AF345" s="166"/>
      <c r="AG345" s="166"/>
      <c r="AH345" s="166"/>
      <c r="AI345" s="166"/>
    </row>
    <row r="346" spans="7:35" x14ac:dyDescent="0.25">
      <c r="G346" s="165"/>
      <c r="H346" s="166"/>
      <c r="I346" s="167"/>
      <c r="J346" s="167"/>
      <c r="K346" s="166"/>
      <c r="L346" s="166"/>
      <c r="M346" s="166"/>
      <c r="N346" s="166"/>
      <c r="O346" s="166"/>
      <c r="P346" s="166"/>
      <c r="Q346" s="166"/>
      <c r="R346" s="166"/>
      <c r="S346" s="166"/>
      <c r="T346" s="166"/>
      <c r="U346" s="166"/>
      <c r="V346" s="166"/>
      <c r="W346" s="166"/>
      <c r="X346" s="166"/>
      <c r="Y346" s="166"/>
      <c r="Z346" s="166"/>
      <c r="AA346" s="166"/>
      <c r="AB346" s="166"/>
      <c r="AC346" s="166"/>
      <c r="AD346" s="166"/>
      <c r="AE346" s="166"/>
      <c r="AF346" s="166"/>
      <c r="AG346" s="166"/>
      <c r="AH346" s="166"/>
      <c r="AI346" s="166"/>
    </row>
    <row r="347" spans="7:35" x14ac:dyDescent="0.25">
      <c r="G347" s="165"/>
      <c r="H347" s="166"/>
      <c r="I347" s="167"/>
      <c r="J347" s="167"/>
      <c r="K347" s="166"/>
      <c r="L347" s="166"/>
      <c r="M347" s="166"/>
      <c r="N347" s="166"/>
      <c r="O347" s="166"/>
      <c r="P347" s="166"/>
      <c r="Q347" s="166"/>
      <c r="R347" s="166"/>
      <c r="S347" s="166"/>
      <c r="T347" s="166"/>
      <c r="U347" s="166"/>
      <c r="V347" s="166"/>
      <c r="W347" s="166"/>
      <c r="X347" s="166"/>
      <c r="Y347" s="166"/>
      <c r="Z347" s="166"/>
      <c r="AA347" s="166"/>
      <c r="AB347" s="166"/>
      <c r="AC347" s="166"/>
      <c r="AD347" s="166"/>
      <c r="AE347" s="166"/>
      <c r="AF347" s="166"/>
      <c r="AG347" s="166"/>
      <c r="AH347" s="166"/>
      <c r="AI347" s="166"/>
    </row>
    <row r="348" spans="7:35" x14ac:dyDescent="0.25">
      <c r="G348" s="165"/>
      <c r="H348" s="166"/>
      <c r="I348" s="167"/>
      <c r="J348" s="167"/>
      <c r="K348" s="166"/>
      <c r="L348" s="166"/>
      <c r="M348" s="166"/>
      <c r="N348" s="166"/>
      <c r="O348" s="166"/>
      <c r="P348" s="166"/>
      <c r="Q348" s="166"/>
      <c r="R348" s="166"/>
      <c r="S348" s="166"/>
      <c r="T348" s="166"/>
      <c r="U348" s="166"/>
      <c r="V348" s="166"/>
      <c r="W348" s="166"/>
      <c r="X348" s="166"/>
      <c r="Y348" s="166"/>
      <c r="Z348" s="166"/>
      <c r="AA348" s="166"/>
      <c r="AB348" s="166"/>
      <c r="AC348" s="166"/>
      <c r="AD348" s="166"/>
      <c r="AE348" s="166"/>
      <c r="AF348" s="166"/>
      <c r="AG348" s="166"/>
      <c r="AH348" s="166"/>
      <c r="AI348" s="166"/>
    </row>
    <row r="349" spans="7:35" x14ac:dyDescent="0.25">
      <c r="G349" s="165"/>
      <c r="H349" s="166"/>
      <c r="I349" s="167"/>
      <c r="J349" s="167"/>
      <c r="K349" s="166"/>
      <c r="L349" s="166"/>
      <c r="M349" s="166"/>
      <c r="N349" s="166"/>
      <c r="O349" s="166"/>
      <c r="P349" s="166"/>
      <c r="Q349" s="166"/>
      <c r="R349" s="166"/>
      <c r="S349" s="166"/>
      <c r="T349" s="166"/>
      <c r="U349" s="166"/>
      <c r="V349" s="166"/>
      <c r="W349" s="166"/>
      <c r="X349" s="166"/>
      <c r="Y349" s="166"/>
      <c r="Z349" s="166"/>
      <c r="AA349" s="166"/>
      <c r="AB349" s="166"/>
      <c r="AC349" s="166"/>
      <c r="AD349" s="166"/>
      <c r="AE349" s="166"/>
      <c r="AF349" s="166"/>
      <c r="AG349" s="166"/>
      <c r="AH349" s="166"/>
      <c r="AI349" s="166"/>
    </row>
    <row r="350" spans="7:35" x14ac:dyDescent="0.25">
      <c r="G350" s="165"/>
      <c r="H350" s="166"/>
      <c r="I350" s="167"/>
      <c r="J350" s="167"/>
      <c r="K350" s="166"/>
      <c r="L350" s="166"/>
      <c r="M350" s="166"/>
      <c r="N350" s="166"/>
      <c r="O350" s="166"/>
      <c r="P350" s="166"/>
      <c r="Q350" s="166"/>
      <c r="R350" s="166"/>
      <c r="S350" s="166"/>
      <c r="T350" s="166"/>
      <c r="U350" s="166"/>
      <c r="V350" s="166"/>
      <c r="W350" s="166"/>
      <c r="X350" s="166"/>
      <c r="Y350" s="166"/>
      <c r="Z350" s="166"/>
      <c r="AA350" s="166"/>
      <c r="AB350" s="166"/>
      <c r="AC350" s="166"/>
      <c r="AD350" s="166"/>
      <c r="AE350" s="166"/>
      <c r="AF350" s="166"/>
      <c r="AG350" s="166"/>
      <c r="AH350" s="166"/>
      <c r="AI350" s="166"/>
    </row>
    <row r="351" spans="7:35" x14ac:dyDescent="0.25">
      <c r="G351" s="165"/>
      <c r="H351" s="166"/>
      <c r="I351" s="167"/>
      <c r="J351" s="167"/>
      <c r="K351" s="166"/>
      <c r="L351" s="166"/>
      <c r="M351" s="166"/>
      <c r="N351" s="166"/>
      <c r="O351" s="166"/>
      <c r="P351" s="166"/>
      <c r="Q351" s="166"/>
      <c r="R351" s="166"/>
      <c r="S351" s="166"/>
      <c r="T351" s="166"/>
      <c r="U351" s="166"/>
      <c r="V351" s="166"/>
      <c r="W351" s="166"/>
      <c r="X351" s="166"/>
      <c r="Y351" s="166"/>
      <c r="Z351" s="166"/>
      <c r="AA351" s="166"/>
      <c r="AB351" s="166"/>
      <c r="AC351" s="166"/>
      <c r="AD351" s="166"/>
      <c r="AE351" s="166"/>
      <c r="AF351" s="166"/>
      <c r="AG351" s="166"/>
      <c r="AH351" s="166"/>
      <c r="AI351" s="166"/>
    </row>
    <row r="352" spans="7:35" x14ac:dyDescent="0.25">
      <c r="G352" s="165"/>
      <c r="H352" s="166"/>
      <c r="I352" s="167"/>
      <c r="J352" s="167"/>
      <c r="K352" s="166"/>
      <c r="L352" s="166"/>
      <c r="M352" s="166"/>
      <c r="N352" s="166"/>
      <c r="O352" s="166"/>
      <c r="P352" s="166"/>
      <c r="Q352" s="166"/>
      <c r="R352" s="166"/>
      <c r="S352" s="166"/>
      <c r="T352" s="166"/>
      <c r="U352" s="166"/>
      <c r="V352" s="166"/>
      <c r="W352" s="166"/>
      <c r="X352" s="166"/>
      <c r="Y352" s="166"/>
      <c r="Z352" s="166"/>
      <c r="AA352" s="166"/>
      <c r="AB352" s="166"/>
      <c r="AC352" s="166"/>
      <c r="AD352" s="166"/>
      <c r="AE352" s="166"/>
      <c r="AF352" s="166"/>
      <c r="AG352" s="166"/>
      <c r="AH352" s="166"/>
      <c r="AI352" s="166"/>
    </row>
    <row r="353" spans="7:35" x14ac:dyDescent="0.25">
      <c r="G353" s="165"/>
      <c r="H353" s="166"/>
      <c r="I353" s="167"/>
      <c r="J353" s="167"/>
      <c r="K353" s="166"/>
      <c r="L353" s="166"/>
      <c r="M353" s="166"/>
      <c r="N353" s="166"/>
      <c r="O353" s="166"/>
      <c r="P353" s="166"/>
      <c r="Q353" s="166"/>
      <c r="R353" s="166"/>
      <c r="S353" s="166"/>
      <c r="T353" s="166"/>
      <c r="U353" s="166"/>
      <c r="V353" s="166"/>
      <c r="W353" s="166"/>
      <c r="X353" s="166"/>
      <c r="Y353" s="166"/>
      <c r="Z353" s="166"/>
      <c r="AA353" s="166"/>
      <c r="AB353" s="166"/>
      <c r="AC353" s="166"/>
      <c r="AD353" s="166"/>
      <c r="AE353" s="166"/>
      <c r="AF353" s="166"/>
      <c r="AG353" s="166"/>
      <c r="AH353" s="166"/>
      <c r="AI353" s="166"/>
    </row>
    <row r="354" spans="7:35" x14ac:dyDescent="0.25">
      <c r="G354" s="165"/>
      <c r="H354" s="166"/>
      <c r="I354" s="167"/>
      <c r="J354" s="167"/>
      <c r="K354" s="166"/>
      <c r="L354" s="166"/>
      <c r="M354" s="166"/>
      <c r="N354" s="166"/>
      <c r="O354" s="166"/>
      <c r="P354" s="166"/>
      <c r="Q354" s="166"/>
      <c r="R354" s="166"/>
      <c r="S354" s="166"/>
      <c r="T354" s="166"/>
      <c r="U354" s="166"/>
      <c r="V354" s="166"/>
      <c r="W354" s="166"/>
      <c r="X354" s="166"/>
      <c r="Y354" s="166"/>
      <c r="Z354" s="166"/>
      <c r="AA354" s="166"/>
      <c r="AB354" s="166"/>
      <c r="AC354" s="166"/>
      <c r="AD354" s="166"/>
      <c r="AE354" s="166"/>
      <c r="AF354" s="166"/>
      <c r="AG354" s="166"/>
      <c r="AH354" s="166"/>
      <c r="AI354" s="166"/>
    </row>
    <row r="355" spans="7:35" x14ac:dyDescent="0.25">
      <c r="G355" s="165"/>
      <c r="H355" s="166"/>
      <c r="I355" s="167"/>
      <c r="J355" s="167"/>
      <c r="K355" s="166"/>
      <c r="L355" s="166"/>
      <c r="M355" s="166"/>
      <c r="N355" s="166"/>
      <c r="O355" s="166"/>
      <c r="P355" s="166"/>
      <c r="Q355" s="166"/>
      <c r="R355" s="166"/>
      <c r="S355" s="166"/>
      <c r="T355" s="166"/>
      <c r="U355" s="166"/>
      <c r="V355" s="166"/>
      <c r="W355" s="166"/>
      <c r="X355" s="166"/>
      <c r="Y355" s="166"/>
      <c r="Z355" s="166"/>
      <c r="AA355" s="166"/>
      <c r="AB355" s="166"/>
      <c r="AC355" s="166"/>
      <c r="AD355" s="166"/>
      <c r="AE355" s="166"/>
      <c r="AF355" s="166"/>
      <c r="AG355" s="166"/>
      <c r="AH355" s="166"/>
      <c r="AI355" s="166"/>
    </row>
    <row r="356" spans="7:35" x14ac:dyDescent="0.25">
      <c r="G356" s="165"/>
      <c r="H356" s="166"/>
      <c r="I356" s="167"/>
      <c r="J356" s="167"/>
      <c r="K356" s="166"/>
      <c r="L356" s="166"/>
      <c r="M356" s="166"/>
      <c r="N356" s="166"/>
      <c r="O356" s="166"/>
      <c r="P356" s="166"/>
      <c r="Q356" s="166"/>
      <c r="R356" s="166"/>
      <c r="S356" s="166"/>
      <c r="T356" s="166"/>
      <c r="U356" s="166"/>
      <c r="V356" s="166"/>
      <c r="W356" s="166"/>
      <c r="X356" s="166"/>
      <c r="Y356" s="166"/>
      <c r="Z356" s="166"/>
      <c r="AA356" s="166"/>
      <c r="AB356" s="166"/>
      <c r="AC356" s="166"/>
      <c r="AD356" s="166"/>
      <c r="AE356" s="166"/>
      <c r="AF356" s="166"/>
      <c r="AG356" s="166"/>
      <c r="AH356" s="166"/>
      <c r="AI356" s="166"/>
    </row>
    <row r="357" spans="7:35" x14ac:dyDescent="0.25">
      <c r="G357" s="165"/>
      <c r="H357" s="166"/>
      <c r="I357" s="167"/>
      <c r="J357" s="167"/>
      <c r="K357" s="166"/>
      <c r="L357" s="166"/>
      <c r="M357" s="166"/>
      <c r="N357" s="166"/>
      <c r="O357" s="166"/>
      <c r="P357" s="166"/>
      <c r="Q357" s="166"/>
      <c r="R357" s="166"/>
      <c r="S357" s="166"/>
      <c r="T357" s="166"/>
      <c r="U357" s="166"/>
      <c r="V357" s="166"/>
      <c r="W357" s="166"/>
      <c r="X357" s="166"/>
      <c r="Y357" s="166"/>
      <c r="Z357" s="166"/>
      <c r="AA357" s="166"/>
      <c r="AB357" s="166"/>
      <c r="AC357" s="166"/>
      <c r="AD357" s="166"/>
      <c r="AE357" s="166"/>
      <c r="AF357" s="166"/>
      <c r="AG357" s="166"/>
      <c r="AH357" s="166"/>
      <c r="AI357" s="166"/>
    </row>
    <row r="358" spans="7:35" x14ac:dyDescent="0.25">
      <c r="G358" s="165"/>
      <c r="H358" s="166"/>
      <c r="I358" s="167"/>
      <c r="J358" s="167"/>
      <c r="K358" s="166"/>
      <c r="L358" s="166"/>
      <c r="M358" s="166"/>
      <c r="N358" s="166"/>
      <c r="O358" s="166"/>
      <c r="P358" s="166"/>
      <c r="Q358" s="166"/>
      <c r="R358" s="166"/>
      <c r="S358" s="166"/>
      <c r="T358" s="166"/>
      <c r="U358" s="166"/>
      <c r="V358" s="166"/>
      <c r="W358" s="166"/>
      <c r="X358" s="166"/>
      <c r="Y358" s="166"/>
      <c r="Z358" s="166"/>
      <c r="AA358" s="166"/>
      <c r="AB358" s="166"/>
      <c r="AC358" s="166"/>
      <c r="AD358" s="166"/>
      <c r="AE358" s="166"/>
      <c r="AF358" s="166"/>
      <c r="AG358" s="166"/>
      <c r="AH358" s="166"/>
      <c r="AI358" s="166"/>
    </row>
    <row r="359" spans="7:35" x14ac:dyDescent="0.25">
      <c r="G359" s="165"/>
      <c r="H359" s="166"/>
      <c r="I359" s="167"/>
      <c r="J359" s="167"/>
      <c r="K359" s="166"/>
      <c r="L359" s="166"/>
      <c r="M359" s="166"/>
      <c r="N359" s="166"/>
      <c r="O359" s="166"/>
      <c r="P359" s="166"/>
      <c r="Q359" s="166"/>
      <c r="R359" s="166"/>
      <c r="S359" s="166"/>
      <c r="T359" s="166"/>
      <c r="U359" s="166"/>
      <c r="V359" s="166"/>
      <c r="W359" s="166"/>
      <c r="X359" s="166"/>
      <c r="Y359" s="166"/>
      <c r="Z359" s="166"/>
      <c r="AA359" s="166"/>
      <c r="AB359" s="166"/>
      <c r="AC359" s="166"/>
      <c r="AD359" s="166"/>
      <c r="AE359" s="166"/>
      <c r="AF359" s="166"/>
      <c r="AG359" s="166"/>
      <c r="AH359" s="166"/>
      <c r="AI359" s="166"/>
    </row>
    <row r="360" spans="7:35" x14ac:dyDescent="0.25">
      <c r="G360" s="165"/>
      <c r="H360" s="166"/>
      <c r="I360" s="167"/>
      <c r="J360" s="167"/>
      <c r="K360" s="166"/>
      <c r="L360" s="166"/>
      <c r="M360" s="166"/>
      <c r="N360" s="166"/>
      <c r="O360" s="166"/>
      <c r="P360" s="166"/>
      <c r="Q360" s="166"/>
      <c r="R360" s="166"/>
      <c r="S360" s="166"/>
      <c r="T360" s="166"/>
      <c r="U360" s="166"/>
      <c r="V360" s="166"/>
      <c r="W360" s="166"/>
      <c r="X360" s="166"/>
      <c r="Y360" s="166"/>
      <c r="Z360" s="166"/>
      <c r="AA360" s="166"/>
      <c r="AB360" s="166"/>
      <c r="AC360" s="166"/>
      <c r="AD360" s="166"/>
      <c r="AE360" s="166"/>
      <c r="AF360" s="166"/>
      <c r="AG360" s="166"/>
      <c r="AH360" s="166"/>
      <c r="AI360" s="166"/>
    </row>
    <row r="361" spans="7:35" x14ac:dyDescent="0.25">
      <c r="G361" s="165"/>
      <c r="H361" s="166"/>
      <c r="I361" s="167"/>
      <c r="J361" s="167"/>
      <c r="K361" s="166"/>
      <c r="L361" s="166"/>
      <c r="M361" s="166"/>
      <c r="N361" s="166"/>
      <c r="O361" s="166"/>
      <c r="P361" s="166"/>
      <c r="Q361" s="166"/>
      <c r="R361" s="166"/>
      <c r="S361" s="166"/>
      <c r="T361" s="166"/>
      <c r="U361" s="166"/>
      <c r="V361" s="166"/>
      <c r="W361" s="166"/>
      <c r="X361" s="166"/>
      <c r="Y361" s="166"/>
      <c r="Z361" s="166"/>
      <c r="AA361" s="166"/>
      <c r="AB361" s="166"/>
      <c r="AC361" s="166"/>
      <c r="AD361" s="166"/>
      <c r="AE361" s="166"/>
      <c r="AF361" s="166"/>
      <c r="AG361" s="166"/>
      <c r="AH361" s="166"/>
      <c r="AI361" s="166"/>
    </row>
    <row r="362" spans="7:35" x14ac:dyDescent="0.25">
      <c r="G362" s="165"/>
      <c r="H362" s="166"/>
      <c r="I362" s="167"/>
      <c r="J362" s="167"/>
      <c r="K362" s="166"/>
      <c r="L362" s="166"/>
      <c r="M362" s="166"/>
      <c r="N362" s="166"/>
      <c r="O362" s="166"/>
      <c r="P362" s="166"/>
      <c r="Q362" s="166"/>
      <c r="R362" s="166"/>
      <c r="S362" s="166"/>
      <c r="T362" s="166"/>
      <c r="U362" s="166"/>
      <c r="V362" s="166"/>
      <c r="W362" s="166"/>
      <c r="X362" s="166"/>
      <c r="Y362" s="166"/>
      <c r="Z362" s="166"/>
      <c r="AA362" s="166"/>
      <c r="AB362" s="166"/>
      <c r="AC362" s="166"/>
      <c r="AD362" s="166"/>
      <c r="AE362" s="166"/>
      <c r="AF362" s="166"/>
      <c r="AG362" s="166"/>
      <c r="AH362" s="166"/>
      <c r="AI362" s="166"/>
    </row>
    <row r="363" spans="7:35" x14ac:dyDescent="0.25">
      <c r="G363" s="165"/>
      <c r="H363" s="166"/>
      <c r="I363" s="167"/>
      <c r="J363" s="167"/>
      <c r="K363" s="166"/>
      <c r="L363" s="166"/>
      <c r="M363" s="166"/>
      <c r="N363" s="166"/>
      <c r="O363" s="166"/>
      <c r="P363" s="166"/>
      <c r="Q363" s="166"/>
      <c r="R363" s="166"/>
      <c r="S363" s="166"/>
      <c r="T363" s="166"/>
      <c r="U363" s="166"/>
      <c r="V363" s="166"/>
      <c r="W363" s="166"/>
      <c r="X363" s="166"/>
      <c r="Y363" s="166"/>
      <c r="Z363" s="166"/>
      <c r="AA363" s="166"/>
      <c r="AB363" s="166"/>
      <c r="AC363" s="166"/>
      <c r="AD363" s="166"/>
      <c r="AE363" s="166"/>
      <c r="AF363" s="166"/>
      <c r="AG363" s="166"/>
      <c r="AH363" s="166"/>
      <c r="AI363" s="166"/>
    </row>
    <row r="364" spans="7:35" x14ac:dyDescent="0.25">
      <c r="G364" s="165"/>
      <c r="H364" s="166"/>
      <c r="I364" s="167"/>
      <c r="J364" s="167"/>
      <c r="K364" s="166"/>
      <c r="L364" s="166"/>
      <c r="M364" s="166"/>
      <c r="N364" s="166"/>
      <c r="O364" s="166"/>
      <c r="P364" s="166"/>
      <c r="Q364" s="166"/>
      <c r="R364" s="166"/>
      <c r="S364" s="166"/>
      <c r="T364" s="166"/>
      <c r="U364" s="166"/>
      <c r="V364" s="166"/>
      <c r="W364" s="166"/>
      <c r="X364" s="166"/>
      <c r="Y364" s="166"/>
      <c r="Z364" s="166"/>
      <c r="AA364" s="166"/>
      <c r="AB364" s="166"/>
      <c r="AC364" s="166"/>
      <c r="AD364" s="166"/>
      <c r="AE364" s="166"/>
      <c r="AF364" s="166"/>
      <c r="AG364" s="166"/>
      <c r="AH364" s="166"/>
      <c r="AI364" s="166"/>
    </row>
    <row r="365" spans="7:35" x14ac:dyDescent="0.25">
      <c r="G365" s="165"/>
      <c r="H365" s="166"/>
      <c r="I365" s="167"/>
      <c r="J365" s="167"/>
      <c r="K365" s="166"/>
      <c r="L365" s="166"/>
      <c r="M365" s="166"/>
      <c r="N365" s="166"/>
      <c r="O365" s="166"/>
      <c r="P365" s="166"/>
      <c r="Q365" s="166"/>
      <c r="R365" s="166"/>
      <c r="S365" s="166"/>
      <c r="T365" s="166"/>
      <c r="U365" s="166"/>
      <c r="V365" s="166"/>
      <c r="W365" s="166"/>
      <c r="X365" s="166"/>
      <c r="Y365" s="166"/>
      <c r="Z365" s="166"/>
      <c r="AA365" s="166"/>
      <c r="AB365" s="166"/>
      <c r="AC365" s="166"/>
      <c r="AD365" s="166"/>
      <c r="AE365" s="166"/>
      <c r="AF365" s="166"/>
      <c r="AG365" s="166"/>
      <c r="AH365" s="166"/>
      <c r="AI365" s="166"/>
    </row>
    <row r="366" spans="7:35" x14ac:dyDescent="0.25">
      <c r="G366" s="165"/>
      <c r="H366" s="166"/>
      <c r="I366" s="167"/>
      <c r="J366" s="167"/>
      <c r="K366" s="166"/>
      <c r="L366" s="166"/>
      <c r="M366" s="166"/>
      <c r="N366" s="166"/>
      <c r="O366" s="166"/>
      <c r="P366" s="166"/>
      <c r="Q366" s="166"/>
      <c r="R366" s="166"/>
      <c r="S366" s="166"/>
      <c r="T366" s="166"/>
      <c r="U366" s="166"/>
      <c r="V366" s="166"/>
      <c r="W366" s="166"/>
      <c r="X366" s="166"/>
      <c r="Y366" s="166"/>
      <c r="Z366" s="166"/>
      <c r="AA366" s="166"/>
      <c r="AB366" s="166"/>
      <c r="AC366" s="166"/>
      <c r="AD366" s="166"/>
      <c r="AE366" s="166"/>
      <c r="AF366" s="166"/>
      <c r="AG366" s="166"/>
      <c r="AH366" s="166"/>
      <c r="AI366" s="166"/>
    </row>
    <row r="367" spans="7:35" x14ac:dyDescent="0.25">
      <c r="G367" s="165"/>
      <c r="H367" s="166"/>
      <c r="I367" s="167"/>
      <c r="J367" s="167"/>
      <c r="K367" s="166"/>
      <c r="L367" s="166"/>
      <c r="M367" s="166"/>
      <c r="N367" s="166"/>
      <c r="O367" s="166"/>
      <c r="P367" s="166"/>
      <c r="Q367" s="166"/>
      <c r="R367" s="166"/>
      <c r="S367" s="166"/>
      <c r="T367" s="166"/>
      <c r="U367" s="166"/>
      <c r="V367" s="166"/>
      <c r="W367" s="166"/>
      <c r="X367" s="166"/>
      <c r="Y367" s="166"/>
      <c r="Z367" s="166"/>
      <c r="AA367" s="166"/>
      <c r="AB367" s="166"/>
      <c r="AC367" s="166"/>
      <c r="AD367" s="166"/>
      <c r="AE367" s="166"/>
      <c r="AF367" s="166"/>
      <c r="AG367" s="166"/>
      <c r="AH367" s="166"/>
      <c r="AI367" s="166"/>
    </row>
    <row r="368" spans="7:35" x14ac:dyDescent="0.25">
      <c r="G368" s="165"/>
      <c r="H368" s="166"/>
      <c r="I368" s="167"/>
      <c r="J368" s="167"/>
      <c r="K368" s="166"/>
      <c r="L368" s="166"/>
      <c r="M368" s="166"/>
      <c r="N368" s="166"/>
      <c r="O368" s="166"/>
      <c r="P368" s="166"/>
      <c r="Q368" s="166"/>
      <c r="R368" s="166"/>
      <c r="S368" s="166"/>
      <c r="T368" s="166"/>
      <c r="U368" s="166"/>
      <c r="V368" s="166"/>
      <c r="W368" s="166"/>
      <c r="X368" s="166"/>
      <c r="Y368" s="166"/>
      <c r="Z368" s="166"/>
      <c r="AA368" s="166"/>
      <c r="AB368" s="166"/>
      <c r="AC368" s="166"/>
      <c r="AD368" s="166"/>
      <c r="AE368" s="166"/>
      <c r="AF368" s="166"/>
      <c r="AG368" s="166"/>
      <c r="AH368" s="166"/>
      <c r="AI368" s="166"/>
    </row>
    <row r="369" spans="7:35" x14ac:dyDescent="0.25">
      <c r="G369" s="165"/>
      <c r="H369" s="166"/>
      <c r="I369" s="167"/>
      <c r="J369" s="167"/>
      <c r="K369" s="166"/>
      <c r="L369" s="166"/>
      <c r="M369" s="166"/>
      <c r="N369" s="166"/>
      <c r="O369" s="166"/>
      <c r="P369" s="166"/>
      <c r="Q369" s="166"/>
      <c r="R369" s="166"/>
      <c r="S369" s="166"/>
      <c r="T369" s="166"/>
      <c r="U369" s="166"/>
      <c r="V369" s="166"/>
      <c r="W369" s="166"/>
      <c r="X369" s="166"/>
      <c r="Y369" s="166"/>
      <c r="Z369" s="166"/>
      <c r="AA369" s="166"/>
      <c r="AB369" s="166"/>
      <c r="AC369" s="166"/>
      <c r="AD369" s="166"/>
      <c r="AE369" s="166"/>
      <c r="AF369" s="166"/>
      <c r="AG369" s="166"/>
      <c r="AH369" s="166"/>
      <c r="AI369" s="166"/>
    </row>
    <row r="370" spans="7:35" x14ac:dyDescent="0.25">
      <c r="G370" s="165"/>
      <c r="H370" s="166"/>
      <c r="I370" s="167"/>
      <c r="J370" s="167"/>
      <c r="K370" s="166"/>
      <c r="L370" s="166"/>
      <c r="M370" s="166"/>
      <c r="N370" s="166"/>
      <c r="O370" s="166"/>
      <c r="P370" s="166"/>
      <c r="Q370" s="166"/>
      <c r="R370" s="166"/>
      <c r="S370" s="166"/>
      <c r="T370" s="166"/>
      <c r="U370" s="166"/>
      <c r="V370" s="166"/>
      <c r="W370" s="166"/>
      <c r="X370" s="166"/>
      <c r="Y370" s="166"/>
      <c r="Z370" s="166"/>
      <c r="AA370" s="166"/>
      <c r="AB370" s="166"/>
      <c r="AC370" s="166"/>
      <c r="AD370" s="166"/>
      <c r="AE370" s="166"/>
      <c r="AF370" s="166"/>
      <c r="AG370" s="166"/>
      <c r="AH370" s="166"/>
      <c r="AI370" s="166"/>
    </row>
    <row r="371" spans="7:35" x14ac:dyDescent="0.25">
      <c r="G371" s="165"/>
      <c r="H371" s="166"/>
      <c r="I371" s="167"/>
      <c r="J371" s="167"/>
      <c r="K371" s="166"/>
      <c r="L371" s="166"/>
      <c r="M371" s="166"/>
      <c r="N371" s="166"/>
      <c r="O371" s="166"/>
      <c r="P371" s="166"/>
      <c r="Q371" s="166"/>
      <c r="R371" s="166"/>
      <c r="S371" s="166"/>
      <c r="T371" s="166"/>
      <c r="U371" s="166"/>
      <c r="V371" s="166"/>
      <c r="W371" s="166"/>
      <c r="X371" s="166"/>
      <c r="Y371" s="166"/>
      <c r="Z371" s="166"/>
      <c r="AA371" s="166"/>
      <c r="AB371" s="166"/>
      <c r="AC371" s="166"/>
      <c r="AD371" s="166"/>
      <c r="AE371" s="166"/>
      <c r="AF371" s="166"/>
      <c r="AG371" s="166"/>
      <c r="AH371" s="166"/>
      <c r="AI371" s="166"/>
    </row>
    <row r="372" spans="7:35" x14ac:dyDescent="0.25">
      <c r="G372" s="165"/>
      <c r="H372" s="166"/>
      <c r="I372" s="167"/>
      <c r="J372" s="167"/>
      <c r="K372" s="166"/>
      <c r="L372" s="166"/>
      <c r="M372" s="166"/>
      <c r="N372" s="166"/>
      <c r="O372" s="166"/>
      <c r="P372" s="166"/>
      <c r="Q372" s="166"/>
      <c r="R372" s="166"/>
      <c r="S372" s="166"/>
      <c r="T372" s="166"/>
      <c r="U372" s="166"/>
      <c r="V372" s="166"/>
      <c r="W372" s="166"/>
      <c r="X372" s="166"/>
      <c r="Y372" s="166"/>
      <c r="Z372" s="166"/>
      <c r="AA372" s="166"/>
      <c r="AB372" s="166"/>
      <c r="AC372" s="166"/>
      <c r="AD372" s="166"/>
      <c r="AE372" s="166"/>
      <c r="AF372" s="166"/>
      <c r="AG372" s="166"/>
      <c r="AH372" s="166"/>
      <c r="AI372" s="166"/>
    </row>
    <row r="373" spans="7:35" x14ac:dyDescent="0.25">
      <c r="G373" s="165"/>
      <c r="H373" s="166"/>
      <c r="I373" s="167"/>
      <c r="J373" s="167"/>
      <c r="K373" s="166"/>
      <c r="L373" s="166"/>
      <c r="M373" s="166"/>
      <c r="N373" s="166"/>
      <c r="O373" s="166"/>
      <c r="P373" s="166"/>
      <c r="Q373" s="166"/>
      <c r="R373" s="166"/>
      <c r="S373" s="166"/>
      <c r="T373" s="166"/>
      <c r="U373" s="166"/>
      <c r="V373" s="166"/>
      <c r="W373" s="166"/>
      <c r="X373" s="166"/>
      <c r="Y373" s="166"/>
      <c r="Z373" s="166"/>
      <c r="AA373" s="166"/>
      <c r="AB373" s="166"/>
      <c r="AC373" s="166"/>
      <c r="AD373" s="166"/>
      <c r="AE373" s="166"/>
      <c r="AF373" s="166"/>
      <c r="AG373" s="166"/>
      <c r="AH373" s="166"/>
      <c r="AI373" s="166"/>
    </row>
    <row r="374" spans="7:35" x14ac:dyDescent="0.25">
      <c r="G374" s="165"/>
      <c r="H374" s="166"/>
      <c r="I374" s="167"/>
      <c r="J374" s="167"/>
      <c r="K374" s="166"/>
      <c r="L374" s="166"/>
      <c r="M374" s="166"/>
      <c r="N374" s="166"/>
      <c r="O374" s="166"/>
      <c r="P374" s="166"/>
      <c r="Q374" s="166"/>
      <c r="R374" s="166"/>
      <c r="S374" s="166"/>
      <c r="T374" s="166"/>
      <c r="U374" s="166"/>
      <c r="V374" s="166"/>
      <c r="W374" s="166"/>
      <c r="X374" s="166"/>
      <c r="Y374" s="166"/>
      <c r="Z374" s="166"/>
      <c r="AA374" s="166"/>
      <c r="AB374" s="166"/>
      <c r="AC374" s="166"/>
      <c r="AD374" s="166"/>
      <c r="AE374" s="166"/>
      <c r="AF374" s="166"/>
      <c r="AG374" s="166"/>
      <c r="AH374" s="166"/>
      <c r="AI374" s="166"/>
    </row>
    <row r="375" spans="7:35" x14ac:dyDescent="0.25">
      <c r="G375" s="165"/>
      <c r="H375" s="166"/>
      <c r="I375" s="167"/>
      <c r="J375" s="167"/>
      <c r="K375" s="166"/>
      <c r="L375" s="166"/>
      <c r="M375" s="166"/>
      <c r="N375" s="166"/>
      <c r="O375" s="166"/>
      <c r="P375" s="166"/>
      <c r="Q375" s="166"/>
      <c r="R375" s="166"/>
      <c r="S375" s="166"/>
      <c r="T375" s="166"/>
      <c r="U375" s="166"/>
      <c r="V375" s="166"/>
      <c r="W375" s="166"/>
      <c r="X375" s="166"/>
      <c r="Y375" s="166"/>
      <c r="Z375" s="166"/>
      <c r="AA375" s="166"/>
      <c r="AB375" s="166"/>
      <c r="AC375" s="166"/>
      <c r="AD375" s="166"/>
      <c r="AE375" s="166"/>
      <c r="AF375" s="166"/>
      <c r="AG375" s="166"/>
      <c r="AH375" s="166"/>
      <c r="AI375" s="166"/>
    </row>
    <row r="376" spans="7:35" x14ac:dyDescent="0.25">
      <c r="G376" s="165"/>
      <c r="H376" s="166"/>
      <c r="I376" s="167"/>
      <c r="J376" s="167"/>
      <c r="K376" s="166"/>
      <c r="L376" s="166"/>
      <c r="M376" s="166"/>
      <c r="N376" s="166"/>
      <c r="O376" s="166"/>
      <c r="P376" s="166"/>
      <c r="Q376" s="166"/>
      <c r="R376" s="166"/>
      <c r="S376" s="166"/>
      <c r="T376" s="166"/>
      <c r="U376" s="166"/>
      <c r="V376" s="166"/>
      <c r="W376" s="166"/>
      <c r="X376" s="166"/>
      <c r="Y376" s="166"/>
      <c r="Z376" s="166"/>
      <c r="AA376" s="166"/>
      <c r="AB376" s="166"/>
      <c r="AC376" s="166"/>
      <c r="AD376" s="166"/>
      <c r="AE376" s="166"/>
      <c r="AF376" s="166"/>
      <c r="AG376" s="166"/>
      <c r="AH376" s="166"/>
      <c r="AI376" s="166"/>
    </row>
    <row r="377" spans="7:35" x14ac:dyDescent="0.25">
      <c r="G377" s="165"/>
      <c r="H377" s="166"/>
      <c r="I377" s="167"/>
      <c r="J377" s="167"/>
      <c r="K377" s="166"/>
      <c r="L377" s="166"/>
      <c r="M377" s="166"/>
      <c r="N377" s="166"/>
      <c r="O377" s="166"/>
      <c r="P377" s="166"/>
      <c r="Q377" s="166"/>
      <c r="R377" s="166"/>
      <c r="S377" s="166"/>
      <c r="T377" s="166"/>
      <c r="U377" s="166"/>
      <c r="V377" s="166"/>
      <c r="W377" s="166"/>
      <c r="X377" s="166"/>
      <c r="Y377" s="166"/>
      <c r="Z377" s="166"/>
      <c r="AA377" s="166"/>
      <c r="AB377" s="166"/>
      <c r="AC377" s="166"/>
      <c r="AD377" s="166"/>
      <c r="AE377" s="166"/>
      <c r="AF377" s="166"/>
      <c r="AG377" s="166"/>
      <c r="AH377" s="166"/>
      <c r="AI377" s="166"/>
    </row>
    <row r="378" spans="7:35" x14ac:dyDescent="0.25">
      <c r="G378" s="165"/>
      <c r="H378" s="166"/>
      <c r="I378" s="167"/>
      <c r="J378" s="167"/>
      <c r="K378" s="166"/>
      <c r="L378" s="166"/>
      <c r="M378" s="166"/>
      <c r="N378" s="166"/>
      <c r="O378" s="166"/>
      <c r="P378" s="166"/>
      <c r="Q378" s="166"/>
      <c r="R378" s="166"/>
      <c r="S378" s="166"/>
      <c r="T378" s="166"/>
      <c r="U378" s="166"/>
      <c r="V378" s="166"/>
      <c r="W378" s="166"/>
      <c r="X378" s="166"/>
      <c r="Y378" s="166"/>
      <c r="Z378" s="166"/>
      <c r="AA378" s="166"/>
      <c r="AB378" s="166"/>
      <c r="AC378" s="166"/>
      <c r="AD378" s="166"/>
      <c r="AE378" s="166"/>
      <c r="AF378" s="166"/>
      <c r="AG378" s="166"/>
      <c r="AH378" s="166"/>
      <c r="AI378" s="166"/>
    </row>
    <row r="379" spans="7:35" x14ac:dyDescent="0.25">
      <c r="G379" s="165"/>
      <c r="H379" s="166"/>
      <c r="I379" s="167"/>
      <c r="J379" s="167"/>
      <c r="K379" s="166"/>
      <c r="L379" s="166"/>
      <c r="M379" s="166"/>
      <c r="N379" s="166"/>
      <c r="O379" s="166"/>
      <c r="P379" s="166"/>
      <c r="Q379" s="166"/>
      <c r="R379" s="166"/>
      <c r="S379" s="166"/>
      <c r="T379" s="166"/>
      <c r="U379" s="166"/>
      <c r="V379" s="166"/>
      <c r="W379" s="166"/>
      <c r="X379" s="166"/>
      <c r="Y379" s="166"/>
      <c r="Z379" s="166"/>
      <c r="AA379" s="166"/>
      <c r="AB379" s="166"/>
      <c r="AC379" s="166"/>
      <c r="AD379" s="166"/>
      <c r="AE379" s="166"/>
      <c r="AF379" s="166"/>
      <c r="AG379" s="166"/>
      <c r="AH379" s="166"/>
      <c r="AI379" s="166"/>
    </row>
    <row r="380" spans="7:35" x14ac:dyDescent="0.25">
      <c r="G380" s="165"/>
      <c r="H380" s="166"/>
      <c r="I380" s="167"/>
      <c r="J380" s="167"/>
      <c r="K380" s="166"/>
      <c r="L380" s="166"/>
      <c r="M380" s="166"/>
      <c r="N380" s="166"/>
      <c r="O380" s="166"/>
      <c r="P380" s="166"/>
      <c r="Q380" s="166"/>
      <c r="R380" s="166"/>
      <c r="S380" s="166"/>
      <c r="T380" s="166"/>
      <c r="U380" s="166"/>
      <c r="V380" s="166"/>
      <c r="W380" s="166"/>
      <c r="X380" s="166"/>
      <c r="Y380" s="166"/>
      <c r="Z380" s="166"/>
      <c r="AA380" s="166"/>
      <c r="AB380" s="166"/>
      <c r="AC380" s="166"/>
      <c r="AD380" s="166"/>
      <c r="AE380" s="166"/>
      <c r="AF380" s="166"/>
      <c r="AG380" s="166"/>
      <c r="AH380" s="166"/>
      <c r="AI380" s="166"/>
    </row>
    <row r="381" spans="7:35" x14ac:dyDescent="0.25">
      <c r="G381" s="165"/>
      <c r="H381" s="166"/>
      <c r="I381" s="167"/>
      <c r="J381" s="167"/>
      <c r="K381" s="166"/>
      <c r="L381" s="166"/>
      <c r="M381" s="166"/>
      <c r="N381" s="166"/>
      <c r="O381" s="166"/>
      <c r="P381" s="166"/>
      <c r="Q381" s="166"/>
      <c r="R381" s="166"/>
      <c r="S381" s="166"/>
      <c r="T381" s="166"/>
      <c r="U381" s="166"/>
      <c r="V381" s="166"/>
      <c r="W381" s="166"/>
      <c r="X381" s="166"/>
      <c r="Y381" s="166"/>
      <c r="Z381" s="166"/>
      <c r="AA381" s="166"/>
      <c r="AB381" s="166"/>
      <c r="AC381" s="166"/>
      <c r="AD381" s="166"/>
      <c r="AE381" s="166"/>
      <c r="AF381" s="166"/>
      <c r="AG381" s="166"/>
      <c r="AH381" s="166"/>
      <c r="AI381" s="166"/>
    </row>
    <row r="382" spans="7:35" x14ac:dyDescent="0.25">
      <c r="G382" s="165"/>
      <c r="H382" s="166"/>
      <c r="I382" s="167"/>
      <c r="J382" s="167"/>
      <c r="K382" s="166"/>
      <c r="L382" s="166"/>
      <c r="M382" s="166"/>
      <c r="N382" s="166"/>
      <c r="O382" s="166"/>
      <c r="P382" s="166"/>
      <c r="Q382" s="166"/>
      <c r="R382" s="166"/>
      <c r="S382" s="166"/>
      <c r="T382" s="166"/>
      <c r="U382" s="166"/>
      <c r="V382" s="166"/>
      <c r="W382" s="166"/>
      <c r="X382" s="166"/>
      <c r="Y382" s="166"/>
      <c r="Z382" s="166"/>
      <c r="AA382" s="166"/>
      <c r="AB382" s="166"/>
      <c r="AC382" s="166"/>
      <c r="AD382" s="166"/>
      <c r="AE382" s="166"/>
      <c r="AF382" s="166"/>
      <c r="AG382" s="166"/>
      <c r="AH382" s="166"/>
      <c r="AI382" s="166"/>
    </row>
    <row r="383" spans="7:35" x14ac:dyDescent="0.25">
      <c r="G383" s="165"/>
      <c r="H383" s="166"/>
      <c r="I383" s="167"/>
      <c r="J383" s="167"/>
      <c r="K383" s="166"/>
      <c r="L383" s="166"/>
      <c r="M383" s="166"/>
      <c r="N383" s="166"/>
      <c r="O383" s="166"/>
      <c r="P383" s="166"/>
      <c r="Q383" s="166"/>
      <c r="R383" s="166"/>
      <c r="S383" s="166"/>
      <c r="T383" s="166"/>
      <c r="U383" s="166"/>
      <c r="V383" s="166"/>
      <c r="W383" s="166"/>
      <c r="X383" s="166"/>
      <c r="Y383" s="166"/>
      <c r="Z383" s="166"/>
      <c r="AA383" s="166"/>
      <c r="AB383" s="166"/>
      <c r="AC383" s="166"/>
      <c r="AD383" s="166"/>
      <c r="AE383" s="166"/>
      <c r="AF383" s="166"/>
      <c r="AG383" s="166"/>
      <c r="AH383" s="166"/>
      <c r="AI383" s="166"/>
    </row>
    <row r="384" spans="7:35" x14ac:dyDescent="0.25">
      <c r="G384" s="165"/>
      <c r="H384" s="166"/>
      <c r="I384" s="167"/>
      <c r="J384" s="167"/>
      <c r="K384" s="166"/>
      <c r="L384" s="166"/>
      <c r="M384" s="166"/>
      <c r="N384" s="166"/>
      <c r="O384" s="166"/>
      <c r="P384" s="166"/>
      <c r="Q384" s="166"/>
      <c r="R384" s="166"/>
      <c r="S384" s="166"/>
      <c r="T384" s="166"/>
      <c r="U384" s="166"/>
      <c r="V384" s="166"/>
      <c r="W384" s="166"/>
      <c r="X384" s="166"/>
      <c r="Y384" s="166"/>
      <c r="Z384" s="166"/>
      <c r="AA384" s="166"/>
      <c r="AB384" s="166"/>
      <c r="AC384" s="166"/>
      <c r="AD384" s="166"/>
      <c r="AE384" s="166"/>
      <c r="AF384" s="166"/>
      <c r="AG384" s="166"/>
      <c r="AH384" s="166"/>
      <c r="AI384" s="166"/>
    </row>
    <row r="385" spans="7:35" x14ac:dyDescent="0.25">
      <c r="G385" s="165"/>
      <c r="H385" s="166"/>
      <c r="I385" s="167"/>
      <c r="J385" s="167"/>
      <c r="K385" s="166"/>
      <c r="L385" s="166"/>
      <c r="M385" s="166"/>
      <c r="N385" s="166"/>
      <c r="O385" s="166"/>
      <c r="P385" s="166"/>
      <c r="Q385" s="166"/>
      <c r="R385" s="166"/>
      <c r="S385" s="166"/>
      <c r="T385" s="166"/>
      <c r="U385" s="166"/>
      <c r="V385" s="166"/>
      <c r="W385" s="166"/>
      <c r="X385" s="166"/>
      <c r="Y385" s="166"/>
      <c r="Z385" s="166"/>
      <c r="AA385" s="166"/>
      <c r="AB385" s="166"/>
      <c r="AC385" s="166"/>
      <c r="AD385" s="166"/>
      <c r="AE385" s="166"/>
      <c r="AF385" s="166"/>
      <c r="AG385" s="166"/>
      <c r="AH385" s="166"/>
      <c r="AI385" s="166"/>
    </row>
    <row r="386" spans="7:35" x14ac:dyDescent="0.25">
      <c r="G386" s="165"/>
      <c r="H386" s="166"/>
      <c r="I386" s="167"/>
      <c r="J386" s="167"/>
      <c r="K386" s="166"/>
      <c r="L386" s="166"/>
      <c r="M386" s="166"/>
      <c r="N386" s="166"/>
      <c r="O386" s="166"/>
      <c r="P386" s="166"/>
      <c r="Q386" s="166"/>
      <c r="R386" s="166"/>
      <c r="S386" s="166"/>
      <c r="T386" s="166"/>
      <c r="U386" s="166"/>
      <c r="V386" s="166"/>
      <c r="W386" s="166"/>
      <c r="X386" s="166"/>
      <c r="Y386" s="166"/>
      <c r="Z386" s="166"/>
      <c r="AA386" s="166"/>
      <c r="AB386" s="166"/>
      <c r="AC386" s="166"/>
      <c r="AD386" s="166"/>
      <c r="AE386" s="166"/>
      <c r="AF386" s="166"/>
      <c r="AG386" s="166"/>
      <c r="AH386" s="166"/>
      <c r="AI386" s="166"/>
    </row>
    <row r="387" spans="7:35" x14ac:dyDescent="0.25">
      <c r="G387" s="165"/>
      <c r="H387" s="166"/>
      <c r="I387" s="167"/>
      <c r="J387" s="167"/>
      <c r="K387" s="166"/>
      <c r="L387" s="166"/>
      <c r="M387" s="166"/>
      <c r="N387" s="166"/>
      <c r="O387" s="166"/>
      <c r="P387" s="166"/>
      <c r="Q387" s="166"/>
      <c r="R387" s="166"/>
      <c r="S387" s="166"/>
      <c r="T387" s="166"/>
      <c r="U387" s="166"/>
      <c r="V387" s="166"/>
      <c r="W387" s="166"/>
      <c r="X387" s="166"/>
      <c r="Y387" s="166"/>
      <c r="Z387" s="166"/>
      <c r="AA387" s="166"/>
      <c r="AB387" s="166"/>
      <c r="AC387" s="166"/>
      <c r="AD387" s="166"/>
      <c r="AE387" s="166"/>
      <c r="AF387" s="166"/>
      <c r="AG387" s="166"/>
      <c r="AH387" s="166"/>
      <c r="AI387" s="166"/>
    </row>
    <row r="388" spans="7:35" x14ac:dyDescent="0.25">
      <c r="G388" s="165"/>
      <c r="H388" s="166"/>
      <c r="I388" s="167"/>
      <c r="J388" s="167"/>
      <c r="K388" s="166"/>
      <c r="L388" s="166"/>
      <c r="M388" s="166"/>
      <c r="N388" s="166"/>
      <c r="O388" s="166"/>
      <c r="P388" s="166"/>
      <c r="Q388" s="166"/>
      <c r="R388" s="166"/>
      <c r="S388" s="166"/>
      <c r="T388" s="166"/>
      <c r="U388" s="166"/>
      <c r="V388" s="166"/>
      <c r="W388" s="166"/>
      <c r="X388" s="166"/>
      <c r="Y388" s="166"/>
      <c r="Z388" s="166"/>
      <c r="AA388" s="166"/>
      <c r="AB388" s="166"/>
      <c r="AC388" s="166"/>
      <c r="AD388" s="166"/>
      <c r="AE388" s="166"/>
      <c r="AF388" s="166"/>
      <c r="AG388" s="166"/>
      <c r="AH388" s="166"/>
      <c r="AI388" s="166"/>
    </row>
    <row r="389" spans="7:35" x14ac:dyDescent="0.25">
      <c r="G389" s="165"/>
      <c r="H389" s="166"/>
      <c r="I389" s="167"/>
      <c r="J389" s="167"/>
      <c r="K389" s="166"/>
      <c r="L389" s="166"/>
      <c r="M389" s="166"/>
      <c r="N389" s="166"/>
      <c r="O389" s="166"/>
      <c r="P389" s="166"/>
      <c r="Q389" s="166"/>
      <c r="R389" s="166"/>
      <c r="S389" s="166"/>
      <c r="T389" s="166"/>
      <c r="U389" s="166"/>
      <c r="V389" s="166"/>
      <c r="W389" s="166"/>
      <c r="X389" s="166"/>
      <c r="Y389" s="166"/>
      <c r="Z389" s="166"/>
      <c r="AA389" s="166"/>
      <c r="AB389" s="166"/>
      <c r="AC389" s="166"/>
      <c r="AD389" s="166"/>
      <c r="AE389" s="166"/>
      <c r="AF389" s="166"/>
      <c r="AG389" s="166"/>
      <c r="AH389" s="166"/>
      <c r="AI389" s="166"/>
    </row>
    <row r="390" spans="7:35" x14ac:dyDescent="0.25">
      <c r="G390" s="165"/>
      <c r="H390" s="166"/>
      <c r="I390" s="167"/>
      <c r="J390" s="167"/>
      <c r="K390" s="166"/>
      <c r="L390" s="166"/>
      <c r="M390" s="166"/>
      <c r="N390" s="166"/>
      <c r="O390" s="166"/>
      <c r="P390" s="166"/>
      <c r="Q390" s="166"/>
      <c r="R390" s="166"/>
      <c r="S390" s="166"/>
      <c r="T390" s="166"/>
      <c r="U390" s="166"/>
      <c r="V390" s="166"/>
      <c r="W390" s="166"/>
      <c r="X390" s="166"/>
      <c r="Y390" s="166"/>
      <c r="Z390" s="166"/>
      <c r="AA390" s="166"/>
      <c r="AB390" s="166"/>
      <c r="AC390" s="166"/>
      <c r="AD390" s="166"/>
      <c r="AE390" s="166"/>
      <c r="AF390" s="166"/>
      <c r="AG390" s="166"/>
      <c r="AH390" s="166"/>
      <c r="AI390" s="166"/>
    </row>
    <row r="391" spans="7:35" x14ac:dyDescent="0.25">
      <c r="G391" s="165"/>
      <c r="H391" s="166"/>
      <c r="I391" s="167"/>
      <c r="J391" s="167"/>
      <c r="K391" s="166"/>
      <c r="L391" s="166"/>
      <c r="M391" s="166"/>
      <c r="N391" s="166"/>
      <c r="O391" s="166"/>
      <c r="P391" s="166"/>
      <c r="Q391" s="166"/>
      <c r="R391" s="166"/>
      <c r="S391" s="166"/>
      <c r="T391" s="166"/>
      <c r="U391" s="166"/>
      <c r="V391" s="166"/>
      <c r="W391" s="166"/>
      <c r="X391" s="166"/>
      <c r="Y391" s="166"/>
      <c r="Z391" s="166"/>
      <c r="AA391" s="166"/>
      <c r="AB391" s="166"/>
      <c r="AC391" s="166"/>
      <c r="AD391" s="166"/>
      <c r="AE391" s="166"/>
      <c r="AF391" s="166"/>
      <c r="AG391" s="166"/>
      <c r="AH391" s="166"/>
      <c r="AI391" s="166"/>
    </row>
    <row r="392" spans="7:35" x14ac:dyDescent="0.25">
      <c r="G392" s="165"/>
      <c r="H392" s="166"/>
      <c r="I392" s="167"/>
      <c r="J392" s="167"/>
      <c r="K392" s="166"/>
      <c r="L392" s="166"/>
      <c r="M392" s="166"/>
      <c r="N392" s="166"/>
      <c r="O392" s="166"/>
      <c r="P392" s="166"/>
      <c r="Q392" s="166"/>
      <c r="R392" s="166"/>
      <c r="S392" s="166"/>
      <c r="T392" s="166"/>
      <c r="U392" s="166"/>
      <c r="V392" s="166"/>
      <c r="W392" s="166"/>
      <c r="X392" s="166"/>
      <c r="Y392" s="166"/>
      <c r="Z392" s="166"/>
      <c r="AA392" s="166"/>
      <c r="AB392" s="166"/>
      <c r="AC392" s="166"/>
      <c r="AD392" s="166"/>
      <c r="AE392" s="166"/>
      <c r="AF392" s="166"/>
      <c r="AG392" s="166"/>
      <c r="AH392" s="166"/>
      <c r="AI392" s="166"/>
    </row>
    <row r="393" spans="7:35" x14ac:dyDescent="0.25">
      <c r="G393" s="165"/>
      <c r="H393" s="166"/>
      <c r="I393" s="167"/>
      <c r="J393" s="167"/>
      <c r="K393" s="166"/>
      <c r="L393" s="166"/>
      <c r="M393" s="166"/>
      <c r="N393" s="166"/>
      <c r="O393" s="166"/>
      <c r="P393" s="166"/>
      <c r="Q393" s="166"/>
      <c r="R393" s="166"/>
      <c r="S393" s="166"/>
      <c r="T393" s="166"/>
      <c r="U393" s="166"/>
      <c r="V393" s="166"/>
      <c r="W393" s="166"/>
      <c r="X393" s="166"/>
      <c r="Y393" s="166"/>
      <c r="Z393" s="166"/>
      <c r="AA393" s="166"/>
      <c r="AB393" s="166"/>
      <c r="AC393" s="166"/>
      <c r="AD393" s="166"/>
      <c r="AE393" s="166"/>
      <c r="AF393" s="166"/>
      <c r="AG393" s="166"/>
      <c r="AH393" s="166"/>
      <c r="AI393" s="166"/>
    </row>
    <row r="394" spans="7:35" x14ac:dyDescent="0.25">
      <c r="G394" s="165"/>
      <c r="H394" s="166"/>
      <c r="I394" s="167"/>
      <c r="J394" s="167"/>
      <c r="K394" s="166"/>
      <c r="L394" s="166"/>
      <c r="M394" s="166"/>
      <c r="N394" s="166"/>
      <c r="O394" s="166"/>
      <c r="P394" s="166"/>
      <c r="Q394" s="166"/>
      <c r="R394" s="166"/>
      <c r="S394" s="166"/>
      <c r="T394" s="166"/>
      <c r="U394" s="166"/>
      <c r="V394" s="166"/>
      <c r="W394" s="166"/>
      <c r="X394" s="166"/>
      <c r="Y394" s="166"/>
      <c r="Z394" s="166"/>
      <c r="AA394" s="166"/>
      <c r="AB394" s="166"/>
      <c r="AC394" s="166"/>
      <c r="AD394" s="166"/>
      <c r="AE394" s="166"/>
      <c r="AF394" s="166"/>
      <c r="AG394" s="166"/>
      <c r="AH394" s="166"/>
      <c r="AI394" s="166"/>
    </row>
    <row r="395" spans="7:35" x14ac:dyDescent="0.25">
      <c r="G395" s="165"/>
      <c r="H395" s="166"/>
      <c r="I395" s="167"/>
      <c r="J395" s="167"/>
      <c r="K395" s="166"/>
      <c r="L395" s="166"/>
      <c r="M395" s="166"/>
      <c r="N395" s="166"/>
      <c r="O395" s="166"/>
      <c r="P395" s="166"/>
      <c r="Q395" s="166"/>
      <c r="R395" s="166"/>
      <c r="S395" s="166"/>
      <c r="T395" s="166"/>
      <c r="U395" s="166"/>
      <c r="V395" s="166"/>
      <c r="W395" s="166"/>
      <c r="X395" s="166"/>
      <c r="Y395" s="166"/>
      <c r="Z395" s="166"/>
      <c r="AA395" s="166"/>
      <c r="AB395" s="166"/>
      <c r="AC395" s="166"/>
      <c r="AD395" s="166"/>
      <c r="AE395" s="166"/>
      <c r="AF395" s="166"/>
      <c r="AG395" s="166"/>
      <c r="AH395" s="166"/>
      <c r="AI395" s="166"/>
    </row>
    <row r="396" spans="7:35" x14ac:dyDescent="0.25">
      <c r="G396" s="165"/>
      <c r="H396" s="166"/>
      <c r="I396" s="167"/>
      <c r="J396" s="167"/>
      <c r="K396" s="166"/>
      <c r="L396" s="166"/>
      <c r="M396" s="166"/>
      <c r="N396" s="166"/>
      <c r="O396" s="166"/>
      <c r="P396" s="166"/>
      <c r="Q396" s="166"/>
      <c r="R396" s="166"/>
      <c r="S396" s="166"/>
      <c r="T396" s="166"/>
      <c r="U396" s="166"/>
      <c r="V396" s="166"/>
      <c r="W396" s="166"/>
      <c r="X396" s="166"/>
      <c r="Y396" s="166"/>
      <c r="Z396" s="166"/>
      <c r="AA396" s="166"/>
      <c r="AB396" s="166"/>
      <c r="AC396" s="166"/>
      <c r="AD396" s="166"/>
      <c r="AE396" s="166"/>
      <c r="AF396" s="166"/>
      <c r="AG396" s="166"/>
      <c r="AH396" s="166"/>
      <c r="AI396" s="166"/>
    </row>
    <row r="397" spans="7:35" x14ac:dyDescent="0.25">
      <c r="G397" s="165"/>
      <c r="H397" s="166"/>
      <c r="I397" s="167"/>
      <c r="J397" s="167"/>
      <c r="K397" s="166"/>
      <c r="L397" s="166"/>
      <c r="M397" s="166"/>
      <c r="N397" s="166"/>
      <c r="O397" s="166"/>
      <c r="P397" s="166"/>
      <c r="Q397" s="166"/>
      <c r="R397" s="166"/>
      <c r="S397" s="166"/>
      <c r="T397" s="166"/>
      <c r="U397" s="166"/>
      <c r="V397" s="166"/>
      <c r="W397" s="166"/>
      <c r="X397" s="166"/>
      <c r="Y397" s="166"/>
      <c r="Z397" s="166"/>
      <c r="AA397" s="166"/>
      <c r="AB397" s="166"/>
      <c r="AC397" s="166"/>
      <c r="AD397" s="166"/>
      <c r="AE397" s="166"/>
      <c r="AF397" s="166"/>
      <c r="AG397" s="166"/>
      <c r="AH397" s="166"/>
      <c r="AI397" s="166"/>
    </row>
    <row r="398" spans="7:35" x14ac:dyDescent="0.25">
      <c r="G398" s="165"/>
      <c r="H398" s="166"/>
      <c r="I398" s="167"/>
      <c r="J398" s="167"/>
      <c r="K398" s="166"/>
      <c r="L398" s="166"/>
      <c r="M398" s="166"/>
      <c r="N398" s="166"/>
      <c r="O398" s="166"/>
      <c r="P398" s="166"/>
      <c r="Q398" s="166"/>
      <c r="R398" s="166"/>
      <c r="S398" s="166"/>
      <c r="T398" s="166"/>
      <c r="U398" s="166"/>
      <c r="V398" s="166"/>
      <c r="W398" s="166"/>
      <c r="X398" s="166"/>
      <c r="Y398" s="166"/>
      <c r="Z398" s="166"/>
      <c r="AA398" s="166"/>
      <c r="AB398" s="166"/>
      <c r="AC398" s="166"/>
      <c r="AD398" s="166"/>
      <c r="AE398" s="166"/>
      <c r="AF398" s="166"/>
      <c r="AG398" s="166"/>
      <c r="AH398" s="166"/>
      <c r="AI398" s="166"/>
    </row>
    <row r="399" spans="7:35" x14ac:dyDescent="0.25">
      <c r="G399" s="165"/>
      <c r="H399" s="166"/>
      <c r="I399" s="167"/>
      <c r="J399" s="167"/>
      <c r="K399" s="166"/>
      <c r="L399" s="166"/>
      <c r="M399" s="166"/>
      <c r="N399" s="166"/>
      <c r="O399" s="166"/>
      <c r="P399" s="166"/>
      <c r="Q399" s="166"/>
      <c r="R399" s="166"/>
      <c r="S399" s="166"/>
      <c r="T399" s="166"/>
      <c r="U399" s="166"/>
      <c r="V399" s="166"/>
      <c r="W399" s="166"/>
      <c r="X399" s="166"/>
      <c r="Y399" s="166"/>
      <c r="Z399" s="166"/>
      <c r="AA399" s="166"/>
      <c r="AB399" s="166"/>
      <c r="AC399" s="166"/>
      <c r="AD399" s="166"/>
      <c r="AE399" s="166"/>
      <c r="AF399" s="166"/>
      <c r="AG399" s="166"/>
      <c r="AH399" s="166"/>
      <c r="AI399" s="166"/>
    </row>
    <row r="400" spans="7:35" x14ac:dyDescent="0.25">
      <c r="G400" s="165"/>
      <c r="H400" s="166"/>
      <c r="I400" s="167"/>
      <c r="J400" s="167"/>
      <c r="K400" s="166"/>
      <c r="L400" s="166"/>
      <c r="M400" s="166"/>
      <c r="N400" s="166"/>
      <c r="O400" s="166"/>
      <c r="P400" s="166"/>
      <c r="Q400" s="166"/>
      <c r="R400" s="166"/>
      <c r="S400" s="166"/>
      <c r="T400" s="166"/>
      <c r="U400" s="166"/>
      <c r="V400" s="166"/>
      <c r="W400" s="166"/>
      <c r="X400" s="166"/>
      <c r="Y400" s="166"/>
      <c r="Z400" s="166"/>
      <c r="AA400" s="166"/>
      <c r="AB400" s="166"/>
      <c r="AC400" s="166"/>
      <c r="AD400" s="166"/>
      <c r="AE400" s="166"/>
      <c r="AF400" s="166"/>
      <c r="AG400" s="166"/>
      <c r="AH400" s="166"/>
      <c r="AI400" s="166"/>
    </row>
    <row r="401" spans="7:35" x14ac:dyDescent="0.25">
      <c r="G401" s="165"/>
      <c r="H401" s="166"/>
      <c r="I401" s="167"/>
      <c r="J401" s="167"/>
      <c r="K401" s="166"/>
      <c r="L401" s="166"/>
      <c r="M401" s="166"/>
      <c r="N401" s="166"/>
      <c r="O401" s="166"/>
      <c r="P401" s="166"/>
      <c r="Q401" s="166"/>
      <c r="R401" s="166"/>
      <c r="S401" s="166"/>
      <c r="T401" s="166"/>
      <c r="U401" s="166"/>
      <c r="V401" s="166"/>
      <c r="W401" s="166"/>
      <c r="X401" s="166"/>
      <c r="Y401" s="166"/>
      <c r="Z401" s="166"/>
      <c r="AA401" s="166"/>
      <c r="AB401" s="166"/>
      <c r="AC401" s="166"/>
      <c r="AD401" s="166"/>
      <c r="AE401" s="166"/>
      <c r="AF401" s="166"/>
      <c r="AG401" s="166"/>
      <c r="AH401" s="166"/>
      <c r="AI401" s="166"/>
    </row>
    <row r="402" spans="7:35" x14ac:dyDescent="0.25">
      <c r="G402" s="165"/>
      <c r="H402" s="166"/>
      <c r="I402" s="167"/>
      <c r="J402" s="167"/>
      <c r="K402" s="166"/>
      <c r="L402" s="166"/>
      <c r="M402" s="166"/>
      <c r="N402" s="166"/>
      <c r="O402" s="166"/>
      <c r="P402" s="166"/>
      <c r="Q402" s="166"/>
      <c r="R402" s="166"/>
      <c r="S402" s="166"/>
      <c r="T402" s="166"/>
      <c r="U402" s="166"/>
      <c r="V402" s="166"/>
      <c r="W402" s="166"/>
      <c r="X402" s="166"/>
      <c r="Y402" s="166"/>
      <c r="Z402" s="166"/>
      <c r="AA402" s="166"/>
      <c r="AB402" s="166"/>
      <c r="AC402" s="166"/>
      <c r="AD402" s="166"/>
      <c r="AE402" s="166"/>
      <c r="AF402" s="166"/>
      <c r="AG402" s="166"/>
      <c r="AH402" s="166"/>
      <c r="AI402" s="166"/>
    </row>
    <row r="403" spans="7:35" x14ac:dyDescent="0.25">
      <c r="G403" s="165"/>
      <c r="H403" s="166"/>
      <c r="I403" s="167"/>
      <c r="J403" s="167"/>
      <c r="K403" s="166"/>
      <c r="L403" s="166"/>
      <c r="M403" s="166"/>
      <c r="N403" s="166"/>
      <c r="O403" s="166"/>
      <c r="P403" s="166"/>
      <c r="Q403" s="166"/>
      <c r="R403" s="166"/>
      <c r="S403" s="166"/>
      <c r="T403" s="166"/>
      <c r="U403" s="166"/>
      <c r="V403" s="166"/>
      <c r="W403" s="166"/>
      <c r="X403" s="166"/>
      <c r="Y403" s="166"/>
      <c r="Z403" s="166"/>
      <c r="AA403" s="166"/>
      <c r="AB403" s="166"/>
      <c r="AC403" s="166"/>
      <c r="AD403" s="166"/>
      <c r="AE403" s="166"/>
      <c r="AF403" s="166"/>
      <c r="AG403" s="166"/>
      <c r="AH403" s="166"/>
      <c r="AI403" s="166"/>
    </row>
    <row r="404" spans="7:35" x14ac:dyDescent="0.25">
      <c r="G404" s="165"/>
      <c r="H404" s="166"/>
      <c r="I404" s="167"/>
      <c r="J404" s="167"/>
      <c r="K404" s="166"/>
      <c r="L404" s="166"/>
      <c r="M404" s="166"/>
      <c r="N404" s="166"/>
      <c r="O404" s="166"/>
      <c r="P404" s="166"/>
      <c r="Q404" s="166"/>
      <c r="R404" s="166"/>
      <c r="S404" s="166"/>
      <c r="T404" s="166"/>
      <c r="U404" s="166"/>
      <c r="V404" s="166"/>
      <c r="W404" s="166"/>
      <c r="X404" s="166"/>
      <c r="Y404" s="166"/>
      <c r="Z404" s="166"/>
      <c r="AA404" s="166"/>
      <c r="AB404" s="166"/>
      <c r="AC404" s="166"/>
      <c r="AD404" s="166"/>
      <c r="AE404" s="166"/>
      <c r="AF404" s="166"/>
      <c r="AG404" s="166"/>
      <c r="AH404" s="166"/>
      <c r="AI404" s="166"/>
    </row>
    <row r="405" spans="7:35" x14ac:dyDescent="0.25">
      <c r="G405" s="165"/>
      <c r="H405" s="166"/>
      <c r="I405" s="167"/>
      <c r="J405" s="167"/>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row>
    <row r="406" spans="7:35" x14ac:dyDescent="0.25">
      <c r="G406" s="165"/>
      <c r="H406" s="166"/>
      <c r="I406" s="167"/>
      <c r="J406" s="167"/>
      <c r="K406" s="166"/>
      <c r="L406" s="166"/>
      <c r="M406" s="166"/>
      <c r="N406" s="166"/>
      <c r="O406" s="166"/>
      <c r="P406" s="166"/>
      <c r="Q406" s="166"/>
      <c r="R406" s="166"/>
      <c r="S406" s="166"/>
      <c r="T406" s="166"/>
      <c r="U406" s="166"/>
      <c r="V406" s="166"/>
      <c r="W406" s="166"/>
      <c r="X406" s="166"/>
      <c r="Y406" s="166"/>
      <c r="Z406" s="166"/>
      <c r="AA406" s="166"/>
      <c r="AB406" s="166"/>
      <c r="AC406" s="166"/>
      <c r="AD406" s="166"/>
      <c r="AE406" s="166"/>
      <c r="AF406" s="166"/>
      <c r="AG406" s="166"/>
      <c r="AH406" s="166"/>
      <c r="AI406" s="166"/>
    </row>
    <row r="407" spans="7:35" x14ac:dyDescent="0.25">
      <c r="G407" s="165"/>
      <c r="H407" s="166"/>
      <c r="I407" s="167"/>
      <c r="J407" s="167"/>
      <c r="K407" s="166"/>
      <c r="L407" s="166"/>
      <c r="M407" s="166"/>
      <c r="N407" s="166"/>
      <c r="O407" s="166"/>
      <c r="P407" s="166"/>
      <c r="Q407" s="166"/>
      <c r="R407" s="166"/>
      <c r="S407" s="166"/>
      <c r="T407" s="166"/>
      <c r="U407" s="166"/>
      <c r="V407" s="166"/>
      <c r="W407" s="166"/>
      <c r="X407" s="166"/>
      <c r="Y407" s="166"/>
      <c r="Z407" s="166"/>
      <c r="AA407" s="166"/>
      <c r="AB407" s="166"/>
      <c r="AC407" s="166"/>
      <c r="AD407" s="166"/>
      <c r="AE407" s="166"/>
      <c r="AF407" s="166"/>
      <c r="AG407" s="166"/>
      <c r="AH407" s="166"/>
      <c r="AI407" s="166"/>
    </row>
    <row r="408" spans="7:35" x14ac:dyDescent="0.25">
      <c r="G408" s="165"/>
      <c r="H408" s="166"/>
      <c r="I408" s="167"/>
      <c r="J408" s="167"/>
      <c r="K408" s="166"/>
      <c r="L408" s="166"/>
      <c r="M408" s="166"/>
      <c r="N408" s="166"/>
      <c r="O408" s="166"/>
      <c r="P408" s="166"/>
      <c r="Q408" s="166"/>
      <c r="R408" s="166"/>
      <c r="S408" s="166"/>
      <c r="T408" s="166"/>
      <c r="U408" s="166"/>
      <c r="V408" s="166"/>
      <c r="W408" s="166"/>
      <c r="X408" s="166"/>
      <c r="Y408" s="166"/>
      <c r="Z408" s="166"/>
      <c r="AA408" s="166"/>
      <c r="AB408" s="166"/>
      <c r="AC408" s="166"/>
      <c r="AD408" s="166"/>
      <c r="AE408" s="166"/>
      <c r="AF408" s="166"/>
      <c r="AG408" s="166"/>
      <c r="AH408" s="166"/>
      <c r="AI408" s="166"/>
    </row>
    <row r="409" spans="7:35" x14ac:dyDescent="0.25">
      <c r="G409" s="165"/>
      <c r="H409" s="166"/>
      <c r="I409" s="167"/>
      <c r="J409" s="167"/>
      <c r="K409" s="166"/>
      <c r="L409" s="166"/>
      <c r="M409" s="166"/>
      <c r="N409" s="166"/>
      <c r="O409" s="166"/>
      <c r="P409" s="166"/>
      <c r="Q409" s="166"/>
      <c r="R409" s="166"/>
      <c r="S409" s="166"/>
      <c r="T409" s="166"/>
      <c r="U409" s="166"/>
      <c r="V409" s="166"/>
      <c r="W409" s="166"/>
      <c r="X409" s="166"/>
      <c r="Y409" s="166"/>
      <c r="Z409" s="166"/>
      <c r="AA409" s="166"/>
      <c r="AB409" s="166"/>
      <c r="AC409" s="166"/>
      <c r="AD409" s="166"/>
      <c r="AE409" s="166"/>
      <c r="AF409" s="166"/>
      <c r="AG409" s="166"/>
      <c r="AH409" s="166"/>
      <c r="AI409" s="166"/>
    </row>
    <row r="410" spans="7:35" x14ac:dyDescent="0.25">
      <c r="G410" s="165"/>
      <c r="H410" s="166"/>
      <c r="I410" s="167"/>
      <c r="J410" s="167"/>
      <c r="K410" s="166"/>
      <c r="L410" s="166"/>
      <c r="M410" s="166"/>
      <c r="N410" s="166"/>
      <c r="O410" s="166"/>
      <c r="P410" s="166"/>
      <c r="Q410" s="166"/>
      <c r="R410" s="166"/>
      <c r="S410" s="166"/>
      <c r="T410" s="166"/>
      <c r="U410" s="166"/>
      <c r="V410" s="166"/>
      <c r="W410" s="166"/>
      <c r="X410" s="166"/>
      <c r="Y410" s="166"/>
      <c r="Z410" s="166"/>
      <c r="AA410" s="166"/>
      <c r="AB410" s="166"/>
      <c r="AC410" s="166"/>
      <c r="AD410" s="166"/>
      <c r="AE410" s="166"/>
      <c r="AF410" s="166"/>
      <c r="AG410" s="166"/>
      <c r="AH410" s="166"/>
      <c r="AI410" s="166"/>
    </row>
    <row r="411" spans="7:35" x14ac:dyDescent="0.25">
      <c r="G411" s="165"/>
      <c r="H411" s="166"/>
      <c r="I411" s="167"/>
      <c r="J411" s="167"/>
      <c r="K411" s="166"/>
      <c r="L411" s="166"/>
      <c r="M411" s="166"/>
      <c r="N411" s="166"/>
      <c r="O411" s="166"/>
      <c r="P411" s="166"/>
      <c r="Q411" s="166"/>
      <c r="R411" s="166"/>
      <c r="S411" s="166"/>
      <c r="T411" s="166"/>
      <c r="U411" s="166"/>
      <c r="V411" s="166"/>
      <c r="W411" s="166"/>
      <c r="X411" s="166"/>
      <c r="Y411" s="166"/>
      <c r="Z411" s="166"/>
      <c r="AA411" s="166"/>
      <c r="AB411" s="166"/>
      <c r="AC411" s="166"/>
      <c r="AD411" s="166"/>
      <c r="AE411" s="166"/>
      <c r="AF411" s="166"/>
      <c r="AG411" s="166"/>
      <c r="AH411" s="166"/>
      <c r="AI411" s="166"/>
    </row>
    <row r="412" spans="7:35" x14ac:dyDescent="0.25">
      <c r="G412" s="165"/>
      <c r="H412" s="166"/>
      <c r="I412" s="167"/>
      <c r="J412" s="167"/>
      <c r="K412" s="166"/>
      <c r="L412" s="166"/>
      <c r="M412" s="166"/>
      <c r="N412" s="166"/>
      <c r="O412" s="166"/>
      <c r="P412" s="166"/>
      <c r="Q412" s="166"/>
      <c r="R412" s="166"/>
      <c r="S412" s="166"/>
      <c r="T412" s="166"/>
      <c r="U412" s="166"/>
      <c r="V412" s="166"/>
      <c r="W412" s="166"/>
      <c r="X412" s="166"/>
      <c r="Y412" s="166"/>
      <c r="Z412" s="166"/>
      <c r="AA412" s="166"/>
      <c r="AB412" s="166"/>
      <c r="AC412" s="166"/>
      <c r="AD412" s="166"/>
      <c r="AE412" s="166"/>
      <c r="AF412" s="166"/>
      <c r="AG412" s="166"/>
      <c r="AH412" s="166"/>
      <c r="AI412" s="166"/>
    </row>
    <row r="413" spans="7:35" x14ac:dyDescent="0.25">
      <c r="G413" s="165"/>
      <c r="H413" s="166"/>
      <c r="I413" s="167"/>
      <c r="J413" s="167"/>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row>
    <row r="414" spans="7:35" x14ac:dyDescent="0.25">
      <c r="G414" s="165"/>
      <c r="H414" s="166"/>
      <c r="I414" s="167"/>
      <c r="J414" s="167"/>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row>
    <row r="415" spans="7:35" x14ac:dyDescent="0.25">
      <c r="G415" s="165"/>
      <c r="H415" s="166"/>
      <c r="I415" s="167"/>
      <c r="J415" s="167"/>
      <c r="K415" s="166"/>
      <c r="L415" s="166"/>
      <c r="M415" s="166"/>
      <c r="N415" s="166"/>
      <c r="O415" s="166"/>
      <c r="P415" s="166"/>
      <c r="Q415" s="166"/>
      <c r="R415" s="166"/>
      <c r="S415" s="166"/>
      <c r="T415" s="166"/>
      <c r="U415" s="166"/>
      <c r="V415" s="166"/>
      <c r="W415" s="166"/>
      <c r="X415" s="166"/>
      <c r="Y415" s="166"/>
      <c r="Z415" s="166"/>
      <c r="AA415" s="166"/>
      <c r="AB415" s="166"/>
      <c r="AC415" s="166"/>
      <c r="AD415" s="166"/>
      <c r="AE415" s="166"/>
      <c r="AF415" s="166"/>
      <c r="AG415" s="166"/>
      <c r="AH415" s="166"/>
      <c r="AI415" s="166"/>
    </row>
    <row r="416" spans="7:35" x14ac:dyDescent="0.25">
      <c r="G416" s="165"/>
      <c r="H416" s="166"/>
      <c r="I416" s="167"/>
      <c r="J416" s="167"/>
      <c r="K416" s="166"/>
      <c r="L416" s="166"/>
      <c r="M416" s="166"/>
      <c r="N416" s="166"/>
      <c r="O416" s="166"/>
      <c r="P416" s="166"/>
      <c r="Q416" s="166"/>
      <c r="R416" s="166"/>
      <c r="S416" s="166"/>
      <c r="T416" s="166"/>
      <c r="U416" s="166"/>
      <c r="V416" s="166"/>
      <c r="W416" s="166"/>
      <c r="X416" s="166"/>
      <c r="Y416" s="166"/>
      <c r="Z416" s="166"/>
      <c r="AA416" s="166"/>
      <c r="AB416" s="166"/>
      <c r="AC416" s="166"/>
      <c r="AD416" s="166"/>
      <c r="AE416" s="166"/>
      <c r="AF416" s="166"/>
      <c r="AG416" s="166"/>
      <c r="AH416" s="166"/>
      <c r="AI416" s="166"/>
    </row>
    <row r="417" spans="7:35" x14ac:dyDescent="0.25">
      <c r="G417" s="165"/>
      <c r="H417" s="166"/>
      <c r="I417" s="167"/>
      <c r="J417" s="167"/>
      <c r="K417" s="166"/>
      <c r="L417" s="166"/>
      <c r="M417" s="166"/>
      <c r="N417" s="166"/>
      <c r="O417" s="166"/>
      <c r="P417" s="166"/>
      <c r="Q417" s="166"/>
      <c r="R417" s="166"/>
      <c r="S417" s="166"/>
      <c r="T417" s="166"/>
      <c r="U417" s="166"/>
      <c r="V417" s="166"/>
      <c r="W417" s="166"/>
      <c r="X417" s="166"/>
      <c r="Y417" s="166"/>
      <c r="Z417" s="166"/>
      <c r="AA417" s="166"/>
      <c r="AB417" s="166"/>
      <c r="AC417" s="166"/>
      <c r="AD417" s="166"/>
      <c r="AE417" s="166"/>
      <c r="AF417" s="166"/>
      <c r="AG417" s="166"/>
      <c r="AH417" s="166"/>
      <c r="AI417" s="166"/>
    </row>
    <row r="418" spans="7:35" x14ac:dyDescent="0.25">
      <c r="G418" s="165"/>
      <c r="H418" s="166"/>
      <c r="I418" s="167"/>
      <c r="J418" s="167"/>
      <c r="K418" s="166"/>
      <c r="L418" s="166"/>
      <c r="M418" s="166"/>
      <c r="N418" s="166"/>
      <c r="O418" s="166"/>
      <c r="P418" s="166"/>
      <c r="Q418" s="166"/>
      <c r="R418" s="166"/>
      <c r="S418" s="166"/>
      <c r="T418" s="166"/>
      <c r="U418" s="166"/>
      <c r="V418" s="166"/>
      <c r="W418" s="166"/>
      <c r="X418" s="166"/>
      <c r="Y418" s="166"/>
      <c r="Z418" s="166"/>
      <c r="AA418" s="166"/>
      <c r="AB418" s="166"/>
      <c r="AC418" s="166"/>
      <c r="AD418" s="166"/>
      <c r="AE418" s="166"/>
      <c r="AF418" s="166"/>
      <c r="AG418" s="166"/>
      <c r="AH418" s="166"/>
      <c r="AI418" s="166"/>
    </row>
    <row r="419" spans="7:35" x14ac:dyDescent="0.25">
      <c r="G419" s="165"/>
      <c r="H419" s="166"/>
      <c r="I419" s="167"/>
      <c r="J419" s="167"/>
      <c r="K419" s="166"/>
      <c r="L419" s="166"/>
      <c r="M419" s="166"/>
      <c r="N419" s="166"/>
      <c r="O419" s="166"/>
      <c r="P419" s="166"/>
      <c r="Q419" s="166"/>
      <c r="R419" s="166"/>
      <c r="S419" s="166"/>
      <c r="T419" s="166"/>
      <c r="U419" s="166"/>
      <c r="V419" s="166"/>
      <c r="W419" s="166"/>
      <c r="X419" s="166"/>
      <c r="Y419" s="166"/>
      <c r="Z419" s="166"/>
      <c r="AA419" s="166"/>
      <c r="AB419" s="166"/>
      <c r="AC419" s="166"/>
      <c r="AD419" s="166"/>
      <c r="AE419" s="166"/>
      <c r="AF419" s="166"/>
      <c r="AG419" s="166"/>
      <c r="AH419" s="166"/>
      <c r="AI419" s="166"/>
    </row>
    <row r="420" spans="7:35" x14ac:dyDescent="0.25">
      <c r="G420" s="165"/>
      <c r="H420" s="166"/>
      <c r="I420" s="167"/>
      <c r="J420" s="167"/>
      <c r="K420" s="166"/>
      <c r="L420" s="166"/>
      <c r="M420" s="166"/>
      <c r="N420" s="166"/>
      <c r="O420" s="166"/>
      <c r="P420" s="166"/>
      <c r="Q420" s="166"/>
      <c r="R420" s="166"/>
      <c r="S420" s="166"/>
      <c r="T420" s="166"/>
      <c r="U420" s="166"/>
      <c r="V420" s="166"/>
      <c r="W420" s="166"/>
      <c r="X420" s="166"/>
      <c r="Y420" s="166"/>
      <c r="Z420" s="166"/>
      <c r="AA420" s="166"/>
      <c r="AB420" s="166"/>
      <c r="AC420" s="166"/>
      <c r="AD420" s="166"/>
      <c r="AE420" s="166"/>
      <c r="AF420" s="166"/>
      <c r="AG420" s="166"/>
      <c r="AH420" s="166"/>
      <c r="AI420" s="166"/>
    </row>
    <row r="421" spans="7:35" x14ac:dyDescent="0.25">
      <c r="G421" s="165"/>
      <c r="H421" s="166"/>
      <c r="I421" s="167"/>
      <c r="J421" s="167"/>
      <c r="K421" s="166"/>
      <c r="L421" s="166"/>
      <c r="M421" s="166"/>
      <c r="N421" s="166"/>
      <c r="O421" s="166"/>
      <c r="P421" s="166"/>
      <c r="Q421" s="166"/>
      <c r="R421" s="166"/>
      <c r="S421" s="166"/>
      <c r="T421" s="166"/>
      <c r="U421" s="166"/>
      <c r="V421" s="166"/>
      <c r="W421" s="166"/>
      <c r="X421" s="166"/>
      <c r="Y421" s="166"/>
      <c r="Z421" s="166"/>
      <c r="AA421" s="166"/>
      <c r="AB421" s="166"/>
      <c r="AC421" s="166"/>
      <c r="AD421" s="166"/>
      <c r="AE421" s="166"/>
      <c r="AF421" s="166"/>
      <c r="AG421" s="166"/>
      <c r="AH421" s="166"/>
      <c r="AI421" s="166"/>
    </row>
    <row r="422" spans="7:35" x14ac:dyDescent="0.25">
      <c r="G422" s="165"/>
      <c r="H422" s="166"/>
      <c r="I422" s="167"/>
      <c r="J422" s="167"/>
      <c r="K422" s="166"/>
      <c r="L422" s="166"/>
      <c r="M422" s="166"/>
      <c r="N422" s="166"/>
      <c r="O422" s="166"/>
      <c r="P422" s="166"/>
      <c r="Q422" s="166"/>
      <c r="R422" s="166"/>
      <c r="S422" s="166"/>
      <c r="T422" s="166"/>
      <c r="U422" s="166"/>
      <c r="V422" s="166"/>
      <c r="W422" s="166"/>
      <c r="X422" s="166"/>
      <c r="Y422" s="166"/>
      <c r="Z422" s="166"/>
      <c r="AA422" s="166"/>
      <c r="AB422" s="166"/>
      <c r="AC422" s="166"/>
      <c r="AD422" s="166"/>
      <c r="AE422" s="166"/>
      <c r="AF422" s="166"/>
      <c r="AG422" s="166"/>
      <c r="AH422" s="166"/>
      <c r="AI422" s="166"/>
    </row>
    <row r="423" spans="7:35" x14ac:dyDescent="0.25">
      <c r="G423" s="165"/>
      <c r="H423" s="166"/>
      <c r="I423" s="167"/>
      <c r="J423" s="167"/>
      <c r="K423" s="166"/>
      <c r="L423" s="166"/>
      <c r="M423" s="166"/>
      <c r="N423" s="166"/>
      <c r="O423" s="166"/>
      <c r="P423" s="166"/>
      <c r="Q423" s="166"/>
      <c r="R423" s="166"/>
      <c r="S423" s="166"/>
      <c r="T423" s="166"/>
      <c r="U423" s="166"/>
      <c r="V423" s="166"/>
      <c r="W423" s="166"/>
      <c r="X423" s="166"/>
      <c r="Y423" s="166"/>
      <c r="Z423" s="166"/>
      <c r="AA423" s="166"/>
      <c r="AB423" s="166"/>
      <c r="AC423" s="166"/>
      <c r="AD423" s="166"/>
      <c r="AE423" s="166"/>
      <c r="AF423" s="166"/>
      <c r="AG423" s="166"/>
      <c r="AH423" s="166"/>
      <c r="AI423" s="166"/>
    </row>
    <row r="424" spans="7:35" x14ac:dyDescent="0.25">
      <c r="G424" s="165"/>
      <c r="H424" s="166"/>
      <c r="I424" s="167"/>
      <c r="J424" s="167"/>
      <c r="K424" s="166"/>
      <c r="L424" s="166"/>
      <c r="M424" s="166"/>
      <c r="N424" s="166"/>
      <c r="O424" s="166"/>
      <c r="P424" s="166"/>
      <c r="Q424" s="166"/>
      <c r="R424" s="166"/>
      <c r="S424" s="166"/>
      <c r="T424" s="166"/>
      <c r="U424" s="166"/>
      <c r="V424" s="166"/>
      <c r="W424" s="166"/>
      <c r="X424" s="166"/>
      <c r="Y424" s="166"/>
      <c r="Z424" s="166"/>
      <c r="AA424" s="166"/>
      <c r="AB424" s="166"/>
      <c r="AC424" s="166"/>
      <c r="AD424" s="166"/>
      <c r="AE424" s="166"/>
      <c r="AF424" s="166"/>
      <c r="AG424" s="166"/>
      <c r="AH424" s="166"/>
      <c r="AI424" s="166"/>
    </row>
    <row r="425" spans="7:35" x14ac:dyDescent="0.25">
      <c r="G425" s="165"/>
      <c r="H425" s="166"/>
      <c r="I425" s="167"/>
      <c r="J425" s="167"/>
      <c r="K425" s="166"/>
      <c r="L425" s="166"/>
      <c r="M425" s="166"/>
      <c r="N425" s="166"/>
      <c r="O425" s="166"/>
      <c r="P425" s="166"/>
      <c r="Q425" s="166"/>
      <c r="R425" s="166"/>
      <c r="S425" s="166"/>
      <c r="T425" s="166"/>
      <c r="U425" s="166"/>
      <c r="V425" s="166"/>
      <c r="W425" s="166"/>
      <c r="X425" s="166"/>
      <c r="Y425" s="166"/>
      <c r="Z425" s="166"/>
      <c r="AA425" s="166"/>
      <c r="AB425" s="166"/>
      <c r="AC425" s="166"/>
      <c r="AD425" s="166"/>
      <c r="AE425" s="166"/>
      <c r="AF425" s="166"/>
      <c r="AG425" s="166"/>
      <c r="AH425" s="166"/>
      <c r="AI425" s="166"/>
    </row>
    <row r="426" spans="7:35" x14ac:dyDescent="0.25">
      <c r="G426" s="165"/>
      <c r="H426" s="166"/>
      <c r="I426" s="167"/>
      <c r="J426" s="167"/>
      <c r="K426" s="166"/>
      <c r="L426" s="166"/>
      <c r="M426" s="166"/>
      <c r="N426" s="166"/>
      <c r="O426" s="166"/>
      <c r="P426" s="166"/>
      <c r="Q426" s="166"/>
      <c r="R426" s="166"/>
      <c r="S426" s="166"/>
      <c r="T426" s="166"/>
      <c r="U426" s="166"/>
      <c r="V426" s="166"/>
      <c r="W426" s="166"/>
      <c r="X426" s="166"/>
      <c r="Y426" s="166"/>
      <c r="Z426" s="166"/>
      <c r="AA426" s="166"/>
      <c r="AB426" s="166"/>
      <c r="AC426" s="166"/>
      <c r="AD426" s="166"/>
      <c r="AE426" s="166"/>
      <c r="AF426" s="166"/>
      <c r="AG426" s="166"/>
      <c r="AH426" s="166"/>
      <c r="AI426" s="166"/>
    </row>
    <row r="427" spans="7:35" x14ac:dyDescent="0.25">
      <c r="G427" s="165"/>
      <c r="H427" s="166"/>
      <c r="I427" s="167"/>
      <c r="J427" s="167"/>
      <c r="K427" s="166"/>
      <c r="L427" s="166"/>
      <c r="M427" s="166"/>
      <c r="N427" s="166"/>
      <c r="O427" s="166"/>
      <c r="P427" s="166"/>
      <c r="Q427" s="166"/>
      <c r="R427" s="166"/>
      <c r="S427" s="166"/>
      <c r="T427" s="166"/>
      <c r="U427" s="166"/>
      <c r="V427" s="166"/>
      <c r="W427" s="166"/>
      <c r="X427" s="166"/>
      <c r="Y427" s="166"/>
      <c r="Z427" s="166"/>
      <c r="AA427" s="166"/>
      <c r="AB427" s="166"/>
      <c r="AC427" s="166"/>
      <c r="AD427" s="166"/>
      <c r="AE427" s="166"/>
      <c r="AF427" s="166"/>
      <c r="AG427" s="166"/>
      <c r="AH427" s="166"/>
      <c r="AI427" s="166"/>
    </row>
    <row r="428" spans="7:35" x14ac:dyDescent="0.25">
      <c r="G428" s="165"/>
      <c r="H428" s="166"/>
      <c r="I428" s="167"/>
      <c r="J428" s="167"/>
      <c r="K428" s="166"/>
      <c r="L428" s="166"/>
      <c r="M428" s="166"/>
      <c r="N428" s="166"/>
      <c r="O428" s="166"/>
      <c r="P428" s="166"/>
      <c r="Q428" s="166"/>
      <c r="R428" s="166"/>
      <c r="S428" s="166"/>
      <c r="T428" s="166"/>
      <c r="U428" s="166"/>
      <c r="V428" s="166"/>
      <c r="W428" s="166"/>
      <c r="X428" s="166"/>
      <c r="Y428" s="166"/>
      <c r="Z428" s="166"/>
      <c r="AA428" s="166"/>
      <c r="AB428" s="166"/>
      <c r="AC428" s="166"/>
      <c r="AD428" s="166"/>
      <c r="AE428" s="166"/>
      <c r="AF428" s="166"/>
      <c r="AG428" s="166"/>
      <c r="AH428" s="166"/>
      <c r="AI428" s="166"/>
    </row>
    <row r="429" spans="7:35" x14ac:dyDescent="0.25">
      <c r="G429" s="165"/>
      <c r="H429" s="166"/>
      <c r="I429" s="167"/>
      <c r="J429" s="167"/>
      <c r="K429" s="166"/>
      <c r="L429" s="166"/>
      <c r="M429" s="166"/>
      <c r="N429" s="166"/>
      <c r="O429" s="166"/>
      <c r="P429" s="166"/>
      <c r="Q429" s="166"/>
      <c r="R429" s="166"/>
      <c r="S429" s="166"/>
      <c r="T429" s="166"/>
      <c r="U429" s="166"/>
      <c r="V429" s="166"/>
      <c r="W429" s="166"/>
      <c r="X429" s="166"/>
      <c r="Y429" s="166"/>
      <c r="Z429" s="166"/>
      <c r="AA429" s="166"/>
      <c r="AB429" s="166"/>
      <c r="AC429" s="166"/>
      <c r="AD429" s="166"/>
      <c r="AE429" s="166"/>
      <c r="AF429" s="166"/>
      <c r="AG429" s="166"/>
      <c r="AH429" s="166"/>
      <c r="AI429" s="166"/>
    </row>
    <row r="430" spans="7:35" x14ac:dyDescent="0.25">
      <c r="G430" s="165"/>
      <c r="H430" s="166"/>
      <c r="I430" s="167"/>
      <c r="J430" s="167"/>
      <c r="K430" s="166"/>
      <c r="L430" s="166"/>
      <c r="M430" s="166"/>
      <c r="N430" s="166"/>
      <c r="O430" s="166"/>
      <c r="P430" s="166"/>
      <c r="Q430" s="166"/>
      <c r="R430" s="166"/>
      <c r="S430" s="166"/>
      <c r="T430" s="166"/>
      <c r="U430" s="166"/>
      <c r="V430" s="166"/>
      <c r="W430" s="166"/>
      <c r="X430" s="166"/>
      <c r="Y430" s="166"/>
      <c r="Z430" s="166"/>
      <c r="AA430" s="166"/>
      <c r="AB430" s="166"/>
      <c r="AC430" s="166"/>
      <c r="AD430" s="166"/>
      <c r="AE430" s="166"/>
      <c r="AF430" s="166"/>
      <c r="AG430" s="166"/>
      <c r="AH430" s="166"/>
      <c r="AI430" s="166"/>
    </row>
    <row r="431" spans="7:35" x14ac:dyDescent="0.25">
      <c r="G431" s="165"/>
      <c r="H431" s="166"/>
      <c r="I431" s="167"/>
      <c r="J431" s="167"/>
      <c r="K431" s="166"/>
      <c r="L431" s="166"/>
      <c r="M431" s="166"/>
      <c r="N431" s="166"/>
      <c r="O431" s="166"/>
      <c r="P431" s="166"/>
      <c r="Q431" s="166"/>
      <c r="R431" s="166"/>
      <c r="S431" s="166"/>
      <c r="T431" s="166"/>
      <c r="U431" s="166"/>
      <c r="V431" s="166"/>
      <c r="W431" s="166"/>
      <c r="X431" s="166"/>
      <c r="Y431" s="166"/>
      <c r="Z431" s="166"/>
      <c r="AA431" s="166"/>
      <c r="AB431" s="166"/>
      <c r="AC431" s="166"/>
      <c r="AD431" s="166"/>
      <c r="AE431" s="166"/>
      <c r="AF431" s="166"/>
      <c r="AG431" s="166"/>
      <c r="AH431" s="166"/>
      <c r="AI431" s="166"/>
    </row>
    <row r="432" spans="7:35" x14ac:dyDescent="0.25">
      <c r="G432" s="165"/>
      <c r="H432" s="166"/>
      <c r="I432" s="167"/>
      <c r="J432" s="167"/>
      <c r="K432" s="166"/>
      <c r="L432" s="166"/>
      <c r="M432" s="166"/>
      <c r="N432" s="166"/>
      <c r="O432" s="166"/>
      <c r="P432" s="166"/>
      <c r="Q432" s="166"/>
      <c r="R432" s="166"/>
      <c r="S432" s="166"/>
      <c r="T432" s="166"/>
      <c r="U432" s="166"/>
      <c r="V432" s="166"/>
      <c r="W432" s="166"/>
      <c r="X432" s="166"/>
      <c r="Y432" s="166"/>
      <c r="Z432" s="166"/>
      <c r="AA432" s="166"/>
      <c r="AB432" s="166"/>
      <c r="AC432" s="166"/>
      <c r="AD432" s="166"/>
      <c r="AE432" s="166"/>
      <c r="AF432" s="166"/>
      <c r="AG432" s="166"/>
      <c r="AH432" s="166"/>
      <c r="AI432" s="166"/>
    </row>
    <row r="433" spans="7:35" x14ac:dyDescent="0.25">
      <c r="G433" s="165"/>
      <c r="H433" s="166"/>
      <c r="I433" s="167"/>
      <c r="J433" s="167"/>
      <c r="K433" s="166"/>
      <c r="L433" s="166"/>
      <c r="M433" s="166"/>
      <c r="N433" s="166"/>
      <c r="O433" s="166"/>
      <c r="P433" s="166"/>
      <c r="Q433" s="166"/>
      <c r="R433" s="166"/>
      <c r="S433" s="166"/>
      <c r="T433" s="166"/>
      <c r="U433" s="166"/>
      <c r="V433" s="166"/>
      <c r="W433" s="166"/>
      <c r="X433" s="166"/>
      <c r="Y433" s="166"/>
      <c r="Z433" s="166"/>
      <c r="AA433" s="166"/>
      <c r="AB433" s="166"/>
      <c r="AC433" s="166"/>
      <c r="AD433" s="166"/>
      <c r="AE433" s="166"/>
      <c r="AF433" s="166"/>
      <c r="AG433" s="166"/>
      <c r="AH433" s="166"/>
      <c r="AI433" s="166"/>
    </row>
    <row r="434" spans="7:35" x14ac:dyDescent="0.25">
      <c r="G434" s="165"/>
      <c r="H434" s="166"/>
      <c r="I434" s="167"/>
      <c r="J434" s="167"/>
      <c r="K434" s="166"/>
      <c r="L434" s="166"/>
      <c r="M434" s="166"/>
      <c r="N434" s="166"/>
      <c r="O434" s="166"/>
      <c r="P434" s="166"/>
      <c r="Q434" s="166"/>
      <c r="R434" s="166"/>
      <c r="S434" s="166"/>
      <c r="T434" s="166"/>
      <c r="U434" s="166"/>
      <c r="V434" s="166"/>
      <c r="W434" s="166"/>
      <c r="X434" s="166"/>
      <c r="Y434" s="166"/>
      <c r="Z434" s="166"/>
      <c r="AA434" s="166"/>
      <c r="AB434" s="166"/>
      <c r="AC434" s="166"/>
      <c r="AD434" s="166"/>
      <c r="AE434" s="166"/>
      <c r="AF434" s="166"/>
      <c r="AG434" s="166"/>
      <c r="AH434" s="166"/>
      <c r="AI434" s="166"/>
    </row>
    <row r="435" spans="7:35" x14ac:dyDescent="0.25">
      <c r="G435" s="165"/>
      <c r="H435" s="166"/>
      <c r="I435" s="167"/>
      <c r="J435" s="167"/>
      <c r="K435" s="166"/>
      <c r="L435" s="166"/>
      <c r="M435" s="166"/>
      <c r="N435" s="166"/>
      <c r="O435" s="166"/>
      <c r="P435" s="166"/>
      <c r="Q435" s="166"/>
      <c r="R435" s="166"/>
      <c r="S435" s="166"/>
      <c r="T435" s="166"/>
      <c r="U435" s="166"/>
      <c r="V435" s="166"/>
      <c r="W435" s="166"/>
      <c r="X435" s="166"/>
      <c r="Y435" s="166"/>
      <c r="Z435" s="166"/>
      <c r="AA435" s="166"/>
      <c r="AB435" s="166"/>
      <c r="AC435" s="166"/>
      <c r="AD435" s="166"/>
      <c r="AE435" s="166"/>
      <c r="AF435" s="166"/>
      <c r="AG435" s="166"/>
      <c r="AH435" s="166"/>
      <c r="AI435" s="166"/>
    </row>
    <row r="436" spans="7:35" x14ac:dyDescent="0.25">
      <c r="G436" s="165"/>
      <c r="H436" s="166"/>
      <c r="I436" s="167"/>
      <c r="J436" s="167"/>
      <c r="K436" s="166"/>
      <c r="L436" s="166"/>
      <c r="M436" s="166"/>
      <c r="N436" s="166"/>
      <c r="O436" s="166"/>
      <c r="P436" s="166"/>
      <c r="Q436" s="166"/>
      <c r="R436" s="166"/>
      <c r="S436" s="166"/>
      <c r="T436" s="166"/>
      <c r="U436" s="166"/>
      <c r="V436" s="166"/>
      <c r="W436" s="166"/>
      <c r="X436" s="166"/>
      <c r="Y436" s="166"/>
      <c r="Z436" s="166"/>
      <c r="AA436" s="166"/>
      <c r="AB436" s="166"/>
      <c r="AC436" s="166"/>
      <c r="AD436" s="166"/>
      <c r="AE436" s="166"/>
      <c r="AF436" s="166"/>
      <c r="AG436" s="166"/>
      <c r="AH436" s="166"/>
      <c r="AI436" s="166"/>
    </row>
    <row r="437" spans="7:35" x14ac:dyDescent="0.25">
      <c r="G437" s="165"/>
      <c r="H437" s="166"/>
      <c r="I437" s="167"/>
      <c r="J437" s="167"/>
      <c r="K437" s="166"/>
      <c r="L437" s="166"/>
      <c r="M437" s="166"/>
      <c r="N437" s="166"/>
      <c r="O437" s="166"/>
      <c r="P437" s="166"/>
      <c r="Q437" s="166"/>
      <c r="R437" s="166"/>
      <c r="S437" s="166"/>
      <c r="T437" s="166"/>
      <c r="U437" s="166"/>
      <c r="V437" s="166"/>
      <c r="W437" s="166"/>
      <c r="X437" s="166"/>
      <c r="Y437" s="166"/>
      <c r="Z437" s="166"/>
      <c r="AA437" s="166"/>
      <c r="AB437" s="166"/>
      <c r="AC437" s="166"/>
      <c r="AD437" s="166"/>
      <c r="AE437" s="166"/>
      <c r="AF437" s="166"/>
      <c r="AG437" s="166"/>
      <c r="AH437" s="166"/>
      <c r="AI437" s="166"/>
    </row>
    <row r="438" spans="7:35" x14ac:dyDescent="0.25">
      <c r="G438" s="165"/>
      <c r="H438" s="166"/>
      <c r="I438" s="167"/>
      <c r="J438" s="167"/>
      <c r="K438" s="166"/>
      <c r="L438" s="166"/>
      <c r="M438" s="166"/>
      <c r="N438" s="166"/>
      <c r="O438" s="166"/>
      <c r="P438" s="166"/>
      <c r="Q438" s="166"/>
      <c r="R438" s="166"/>
      <c r="S438" s="166"/>
      <c r="T438" s="166"/>
      <c r="U438" s="166"/>
      <c r="V438" s="166"/>
      <c r="W438" s="166"/>
      <c r="X438" s="166"/>
      <c r="Y438" s="166"/>
      <c r="Z438" s="166"/>
      <c r="AA438" s="166"/>
      <c r="AB438" s="166"/>
      <c r="AC438" s="166"/>
      <c r="AD438" s="166"/>
      <c r="AE438" s="166"/>
      <c r="AF438" s="166"/>
      <c r="AG438" s="166"/>
      <c r="AH438" s="166"/>
      <c r="AI438" s="166"/>
    </row>
    <row r="439" spans="7:35" x14ac:dyDescent="0.25">
      <c r="G439" s="165"/>
      <c r="H439" s="166"/>
      <c r="I439" s="167"/>
      <c r="J439" s="167"/>
      <c r="K439" s="166"/>
      <c r="L439" s="166"/>
      <c r="M439" s="166"/>
      <c r="N439" s="166"/>
      <c r="O439" s="166"/>
      <c r="P439" s="166"/>
      <c r="Q439" s="166"/>
      <c r="R439" s="166"/>
      <c r="S439" s="166"/>
      <c r="T439" s="166"/>
      <c r="U439" s="166"/>
      <c r="V439" s="166"/>
      <c r="W439" s="166"/>
      <c r="X439" s="166"/>
      <c r="Y439" s="166"/>
      <c r="Z439" s="166"/>
      <c r="AA439" s="166"/>
      <c r="AB439" s="166"/>
      <c r="AC439" s="166"/>
      <c r="AD439" s="166"/>
      <c r="AE439" s="166"/>
      <c r="AF439" s="166"/>
      <c r="AG439" s="166"/>
      <c r="AH439" s="166"/>
      <c r="AI439" s="166"/>
    </row>
    <row r="440" spans="7:35" x14ac:dyDescent="0.25">
      <c r="G440" s="165"/>
      <c r="H440" s="166"/>
      <c r="I440" s="167"/>
      <c r="J440" s="167"/>
      <c r="K440" s="166"/>
      <c r="L440" s="166"/>
      <c r="M440" s="166"/>
      <c r="N440" s="166"/>
      <c r="O440" s="166"/>
      <c r="P440" s="166"/>
      <c r="Q440" s="166"/>
      <c r="R440" s="166"/>
      <c r="S440" s="166"/>
      <c r="T440" s="166"/>
      <c r="U440" s="166"/>
      <c r="V440" s="166"/>
      <c r="W440" s="166"/>
      <c r="X440" s="166"/>
      <c r="Y440" s="166"/>
      <c r="Z440" s="166"/>
      <c r="AA440" s="166"/>
      <c r="AB440" s="166"/>
      <c r="AC440" s="166"/>
      <c r="AD440" s="166"/>
      <c r="AE440" s="166"/>
      <c r="AF440" s="166"/>
      <c r="AG440" s="166"/>
      <c r="AH440" s="166"/>
      <c r="AI440" s="166"/>
    </row>
    <row r="441" spans="7:35" x14ac:dyDescent="0.25">
      <c r="G441" s="165"/>
      <c r="H441" s="166"/>
      <c r="I441" s="167"/>
      <c r="J441" s="167"/>
      <c r="K441" s="166"/>
      <c r="L441" s="166"/>
      <c r="M441" s="166"/>
      <c r="N441" s="166"/>
      <c r="O441" s="166"/>
      <c r="P441" s="166"/>
      <c r="Q441" s="166"/>
      <c r="R441" s="166"/>
      <c r="S441" s="166"/>
      <c r="T441" s="166"/>
      <c r="U441" s="166"/>
      <c r="V441" s="166"/>
      <c r="W441" s="166"/>
      <c r="X441" s="166"/>
      <c r="Y441" s="166"/>
      <c r="Z441" s="166"/>
      <c r="AA441" s="166"/>
      <c r="AB441" s="166"/>
      <c r="AC441" s="166"/>
      <c r="AD441" s="166"/>
      <c r="AE441" s="166"/>
      <c r="AF441" s="166"/>
      <c r="AG441" s="166"/>
      <c r="AH441" s="166"/>
      <c r="AI441" s="166"/>
    </row>
    <row r="442" spans="7:35" x14ac:dyDescent="0.25">
      <c r="G442" s="165"/>
      <c r="H442" s="166"/>
      <c r="I442" s="167"/>
      <c r="J442" s="167"/>
      <c r="K442" s="166"/>
      <c r="L442" s="166"/>
      <c r="M442" s="166"/>
      <c r="N442" s="166"/>
      <c r="O442" s="166"/>
      <c r="P442" s="166"/>
      <c r="Q442" s="166"/>
      <c r="R442" s="166"/>
      <c r="S442" s="166"/>
      <c r="T442" s="166"/>
      <c r="U442" s="166"/>
      <c r="V442" s="166"/>
      <c r="W442" s="166"/>
      <c r="X442" s="166"/>
      <c r="Y442" s="166"/>
      <c r="Z442" s="166"/>
      <c r="AA442" s="166"/>
      <c r="AB442" s="166"/>
      <c r="AC442" s="166"/>
      <c r="AD442" s="166"/>
      <c r="AE442" s="166"/>
      <c r="AF442" s="166"/>
      <c r="AG442" s="166"/>
      <c r="AH442" s="166"/>
      <c r="AI442" s="166"/>
    </row>
    <row r="443" spans="7:35" x14ac:dyDescent="0.25">
      <c r="G443" s="165"/>
      <c r="H443" s="166"/>
      <c r="I443" s="167"/>
      <c r="J443" s="167"/>
      <c r="K443" s="166"/>
      <c r="L443" s="166"/>
      <c r="M443" s="166"/>
      <c r="N443" s="166"/>
      <c r="O443" s="166"/>
      <c r="P443" s="166"/>
      <c r="Q443" s="166"/>
      <c r="R443" s="166"/>
      <c r="S443" s="166"/>
      <c r="T443" s="166"/>
      <c r="U443" s="166"/>
      <c r="V443" s="166"/>
      <c r="W443" s="166"/>
      <c r="X443" s="166"/>
      <c r="Y443" s="166"/>
      <c r="Z443" s="166"/>
      <c r="AA443" s="166"/>
      <c r="AB443" s="166"/>
      <c r="AC443" s="166"/>
      <c r="AD443" s="166"/>
      <c r="AE443" s="166"/>
      <c r="AF443" s="166"/>
      <c r="AG443" s="166"/>
      <c r="AH443" s="166"/>
      <c r="AI443" s="166"/>
    </row>
    <row r="444" spans="7:35" x14ac:dyDescent="0.25">
      <c r="G444" s="165"/>
      <c r="H444" s="166"/>
      <c r="I444" s="167"/>
      <c r="J444" s="167"/>
      <c r="K444" s="166"/>
      <c r="L444" s="166"/>
      <c r="M444" s="166"/>
      <c r="N444" s="166"/>
      <c r="O444" s="166"/>
      <c r="P444" s="166"/>
      <c r="Q444" s="166"/>
      <c r="R444" s="166"/>
      <c r="S444" s="166"/>
      <c r="T444" s="166"/>
      <c r="U444" s="166"/>
      <c r="V444" s="166"/>
      <c r="W444" s="166"/>
      <c r="X444" s="166"/>
      <c r="Y444" s="166"/>
      <c r="Z444" s="166"/>
      <c r="AA444" s="166"/>
      <c r="AB444" s="166"/>
      <c r="AC444" s="166"/>
      <c r="AD444" s="166"/>
      <c r="AE444" s="166"/>
      <c r="AF444" s="166"/>
      <c r="AG444" s="166"/>
      <c r="AH444" s="166"/>
      <c r="AI444" s="166"/>
    </row>
    <row r="445" spans="7:35" x14ac:dyDescent="0.25">
      <c r="G445" s="165"/>
      <c r="H445" s="166"/>
      <c r="I445" s="167"/>
      <c r="J445" s="167"/>
      <c r="K445" s="166"/>
      <c r="L445" s="166"/>
      <c r="M445" s="166"/>
      <c r="N445" s="166"/>
      <c r="O445" s="166"/>
      <c r="P445" s="166"/>
      <c r="Q445" s="166"/>
      <c r="R445" s="166"/>
      <c r="S445" s="166"/>
      <c r="T445" s="166"/>
      <c r="U445" s="166"/>
      <c r="V445" s="166"/>
      <c r="W445" s="166"/>
      <c r="X445" s="166"/>
      <c r="Y445" s="166"/>
      <c r="Z445" s="166"/>
      <c r="AA445" s="166"/>
      <c r="AB445" s="166"/>
      <c r="AC445" s="166"/>
      <c r="AD445" s="166"/>
      <c r="AE445" s="166"/>
      <c r="AF445" s="166"/>
      <c r="AG445" s="166"/>
      <c r="AH445" s="166"/>
      <c r="AI445" s="166"/>
    </row>
    <row r="446" spans="7:35" x14ac:dyDescent="0.25">
      <c r="G446" s="165"/>
      <c r="H446" s="166"/>
      <c r="I446" s="167"/>
      <c r="J446" s="167"/>
      <c r="K446" s="166"/>
      <c r="L446" s="166"/>
      <c r="M446" s="166"/>
      <c r="N446" s="166"/>
      <c r="O446" s="166"/>
      <c r="P446" s="166"/>
      <c r="Q446" s="166"/>
      <c r="R446" s="166"/>
      <c r="S446" s="166"/>
      <c r="T446" s="166"/>
      <c r="U446" s="166"/>
      <c r="V446" s="166"/>
      <c r="W446" s="166"/>
      <c r="X446" s="166"/>
      <c r="Y446" s="166"/>
      <c r="Z446" s="166"/>
      <c r="AA446" s="166"/>
      <c r="AB446" s="166"/>
      <c r="AC446" s="166"/>
      <c r="AD446" s="166"/>
      <c r="AE446" s="166"/>
      <c r="AF446" s="166"/>
      <c r="AG446" s="166"/>
      <c r="AH446" s="166"/>
      <c r="AI446" s="166"/>
    </row>
    <row r="447" spans="7:35" x14ac:dyDescent="0.25">
      <c r="G447" s="165"/>
      <c r="H447" s="166"/>
      <c r="I447" s="167"/>
      <c r="J447" s="167"/>
      <c r="K447" s="166"/>
      <c r="L447" s="166"/>
      <c r="M447" s="166"/>
      <c r="N447" s="166"/>
      <c r="O447" s="166"/>
      <c r="P447" s="166"/>
      <c r="Q447" s="166"/>
      <c r="R447" s="166"/>
      <c r="S447" s="166"/>
      <c r="T447" s="166"/>
      <c r="U447" s="166"/>
      <c r="V447" s="166"/>
      <c r="W447" s="166"/>
      <c r="X447" s="166"/>
      <c r="Y447" s="166"/>
      <c r="Z447" s="166"/>
      <c r="AA447" s="166"/>
      <c r="AB447" s="166"/>
      <c r="AC447" s="166"/>
      <c r="AD447" s="166"/>
      <c r="AE447" s="166"/>
      <c r="AF447" s="166"/>
      <c r="AG447" s="166"/>
      <c r="AH447" s="166"/>
      <c r="AI447" s="166"/>
    </row>
    <row r="448" spans="7:35" x14ac:dyDescent="0.25">
      <c r="G448" s="165"/>
      <c r="H448" s="166"/>
      <c r="I448" s="167"/>
      <c r="J448" s="167"/>
      <c r="K448" s="166"/>
      <c r="L448" s="166"/>
      <c r="M448" s="166"/>
      <c r="N448" s="166"/>
      <c r="O448" s="166"/>
      <c r="P448" s="166"/>
      <c r="Q448" s="166"/>
      <c r="R448" s="166"/>
      <c r="S448" s="166"/>
      <c r="T448" s="166"/>
      <c r="U448" s="166"/>
      <c r="V448" s="166"/>
      <c r="W448" s="166"/>
      <c r="X448" s="166"/>
      <c r="Y448" s="166"/>
      <c r="Z448" s="166"/>
      <c r="AA448" s="166"/>
      <c r="AB448" s="166"/>
      <c r="AC448" s="166"/>
      <c r="AD448" s="166"/>
      <c r="AE448" s="166"/>
      <c r="AF448" s="166"/>
      <c r="AG448" s="166"/>
      <c r="AH448" s="166"/>
      <c r="AI448" s="166"/>
    </row>
    <row r="449" spans="7:35" x14ac:dyDescent="0.25">
      <c r="G449" s="165"/>
      <c r="H449" s="166"/>
      <c r="I449" s="167"/>
      <c r="J449" s="167"/>
      <c r="K449" s="166"/>
      <c r="L449" s="166"/>
      <c r="M449" s="166"/>
      <c r="N449" s="166"/>
      <c r="O449" s="166"/>
      <c r="P449" s="166"/>
      <c r="Q449" s="166"/>
      <c r="R449" s="166"/>
      <c r="S449" s="166"/>
      <c r="T449" s="166"/>
      <c r="U449" s="166"/>
      <c r="V449" s="166"/>
      <c r="W449" s="166"/>
      <c r="X449" s="166"/>
      <c r="Y449" s="166"/>
      <c r="Z449" s="166"/>
      <c r="AA449" s="166"/>
      <c r="AB449" s="166"/>
      <c r="AC449" s="166"/>
      <c r="AD449" s="166"/>
      <c r="AE449" s="166"/>
      <c r="AF449" s="166"/>
      <c r="AG449" s="166"/>
      <c r="AH449" s="166"/>
      <c r="AI449" s="166"/>
    </row>
    <row r="450" spans="7:35" x14ac:dyDescent="0.25">
      <c r="G450" s="165"/>
      <c r="H450" s="166"/>
      <c r="I450" s="167"/>
      <c r="J450" s="167"/>
      <c r="K450" s="166"/>
      <c r="L450" s="166"/>
      <c r="M450" s="166"/>
      <c r="N450" s="166"/>
      <c r="O450" s="166"/>
      <c r="P450" s="166"/>
      <c r="Q450" s="166"/>
      <c r="R450" s="166"/>
      <c r="S450" s="166"/>
      <c r="T450" s="166"/>
      <c r="U450" s="166"/>
      <c r="V450" s="166"/>
      <c r="W450" s="166"/>
      <c r="X450" s="166"/>
      <c r="Y450" s="166"/>
      <c r="Z450" s="166"/>
      <c r="AA450" s="166"/>
      <c r="AB450" s="166"/>
      <c r="AC450" s="166"/>
      <c r="AD450" s="166"/>
      <c r="AE450" s="166"/>
      <c r="AF450" s="166"/>
      <c r="AG450" s="166"/>
      <c r="AH450" s="166"/>
      <c r="AI450" s="166"/>
    </row>
    <row r="451" spans="7:35" x14ac:dyDescent="0.25">
      <c r="G451" s="165"/>
      <c r="H451" s="166"/>
      <c r="I451" s="167"/>
      <c r="J451" s="167"/>
      <c r="K451" s="166"/>
      <c r="L451" s="166"/>
      <c r="M451" s="166"/>
      <c r="N451" s="166"/>
      <c r="O451" s="166"/>
      <c r="P451" s="166"/>
      <c r="Q451" s="166"/>
      <c r="R451" s="166"/>
      <c r="S451" s="166"/>
      <c r="T451" s="166"/>
      <c r="U451" s="166"/>
      <c r="V451" s="166"/>
      <c r="W451" s="166"/>
      <c r="X451" s="166"/>
      <c r="Y451" s="166"/>
      <c r="Z451" s="166"/>
      <c r="AA451" s="166"/>
      <c r="AB451" s="166"/>
      <c r="AC451" s="166"/>
      <c r="AD451" s="166"/>
      <c r="AE451" s="166"/>
      <c r="AF451" s="166"/>
      <c r="AG451" s="166"/>
      <c r="AH451" s="166"/>
      <c r="AI451" s="166"/>
    </row>
    <row r="452" spans="7:35" x14ac:dyDescent="0.25">
      <c r="G452" s="165"/>
      <c r="H452" s="166"/>
      <c r="I452" s="167"/>
      <c r="J452" s="167"/>
      <c r="K452" s="166"/>
      <c r="L452" s="166"/>
      <c r="M452" s="166"/>
      <c r="N452" s="166"/>
      <c r="O452" s="166"/>
      <c r="P452" s="166"/>
      <c r="Q452" s="166"/>
      <c r="R452" s="166"/>
      <c r="S452" s="166"/>
      <c r="T452" s="166"/>
      <c r="U452" s="166"/>
      <c r="V452" s="166"/>
      <c r="W452" s="166"/>
      <c r="X452" s="166"/>
      <c r="Y452" s="166"/>
      <c r="Z452" s="166"/>
      <c r="AA452" s="166"/>
      <c r="AB452" s="166"/>
      <c r="AC452" s="166"/>
      <c r="AD452" s="166"/>
      <c r="AE452" s="166"/>
      <c r="AF452" s="166"/>
      <c r="AG452" s="166"/>
      <c r="AH452" s="166"/>
      <c r="AI452" s="166"/>
    </row>
    <row r="453" spans="7:35" x14ac:dyDescent="0.25">
      <c r="G453" s="165"/>
      <c r="H453" s="166"/>
      <c r="I453" s="167"/>
      <c r="J453" s="167"/>
      <c r="K453" s="166"/>
      <c r="L453" s="166"/>
      <c r="M453" s="166"/>
      <c r="N453" s="166"/>
      <c r="O453" s="166"/>
      <c r="P453" s="166"/>
      <c r="Q453" s="166"/>
      <c r="R453" s="166"/>
      <c r="S453" s="166"/>
      <c r="T453" s="166"/>
      <c r="U453" s="166"/>
      <c r="V453" s="166"/>
      <c r="W453" s="166"/>
      <c r="X453" s="166"/>
      <c r="Y453" s="166"/>
      <c r="Z453" s="166"/>
      <c r="AA453" s="166"/>
      <c r="AB453" s="166"/>
      <c r="AC453" s="166"/>
      <c r="AD453" s="166"/>
      <c r="AE453" s="166"/>
      <c r="AF453" s="166"/>
      <c r="AG453" s="166"/>
      <c r="AH453" s="166"/>
      <c r="AI453" s="166"/>
    </row>
    <row r="454" spans="7:35" x14ac:dyDescent="0.25">
      <c r="G454" s="165"/>
      <c r="H454" s="166"/>
      <c r="I454" s="167"/>
      <c r="J454" s="167"/>
      <c r="K454" s="166"/>
      <c r="L454" s="166"/>
      <c r="M454" s="166"/>
      <c r="N454" s="166"/>
      <c r="O454" s="166"/>
      <c r="P454" s="166"/>
      <c r="Q454" s="166"/>
      <c r="R454" s="166"/>
      <c r="S454" s="166"/>
      <c r="T454" s="166"/>
      <c r="U454" s="166"/>
      <c r="V454" s="166"/>
      <c r="W454" s="166"/>
      <c r="X454" s="166"/>
      <c r="Y454" s="166"/>
      <c r="Z454" s="166"/>
      <c r="AA454" s="166"/>
      <c r="AB454" s="166"/>
      <c r="AC454" s="166"/>
      <c r="AD454" s="166"/>
      <c r="AE454" s="166"/>
      <c r="AF454" s="166"/>
      <c r="AG454" s="166"/>
      <c r="AH454" s="166"/>
      <c r="AI454" s="166"/>
    </row>
    <row r="455" spans="7:35" x14ac:dyDescent="0.25">
      <c r="G455" s="165"/>
      <c r="H455" s="166"/>
      <c r="I455" s="167"/>
      <c r="J455" s="167"/>
      <c r="K455" s="166"/>
      <c r="L455" s="166"/>
      <c r="M455" s="166"/>
      <c r="N455" s="166"/>
      <c r="O455" s="166"/>
      <c r="P455" s="166"/>
      <c r="Q455" s="166"/>
      <c r="R455" s="166"/>
      <c r="S455" s="166"/>
      <c r="T455" s="166"/>
      <c r="U455" s="166"/>
      <c r="V455" s="166"/>
      <c r="W455" s="166"/>
      <c r="X455" s="166"/>
      <c r="Y455" s="166"/>
      <c r="Z455" s="166"/>
      <c r="AA455" s="166"/>
      <c r="AB455" s="166"/>
      <c r="AC455" s="166"/>
      <c r="AD455" s="166"/>
      <c r="AE455" s="166"/>
      <c r="AF455" s="166"/>
      <c r="AG455" s="166"/>
      <c r="AH455" s="166"/>
      <c r="AI455" s="166"/>
    </row>
    <row r="456" spans="7:35" x14ac:dyDescent="0.25">
      <c r="G456" s="165"/>
      <c r="H456" s="166"/>
      <c r="I456" s="167"/>
      <c r="J456" s="167"/>
      <c r="K456" s="166"/>
      <c r="L456" s="166"/>
      <c r="M456" s="166"/>
      <c r="N456" s="166"/>
      <c r="O456" s="166"/>
      <c r="P456" s="166"/>
      <c r="Q456" s="166"/>
      <c r="R456" s="166"/>
      <c r="S456" s="166"/>
      <c r="T456" s="166"/>
      <c r="U456" s="166"/>
      <c r="V456" s="166"/>
      <c r="W456" s="166"/>
      <c r="X456" s="166"/>
      <c r="Y456" s="166"/>
      <c r="Z456" s="166"/>
      <c r="AA456" s="166"/>
      <c r="AB456" s="166"/>
      <c r="AC456" s="166"/>
      <c r="AD456" s="166"/>
      <c r="AE456" s="166"/>
      <c r="AF456" s="166"/>
      <c r="AG456" s="166"/>
      <c r="AH456" s="166"/>
      <c r="AI456" s="166"/>
    </row>
    <row r="457" spans="7:35" x14ac:dyDescent="0.25">
      <c r="G457" s="165"/>
      <c r="H457" s="166"/>
      <c r="I457" s="167"/>
      <c r="J457" s="167"/>
      <c r="K457" s="166"/>
      <c r="L457" s="166"/>
      <c r="M457" s="166"/>
      <c r="N457" s="166"/>
      <c r="O457" s="166"/>
      <c r="P457" s="166"/>
      <c r="Q457" s="166"/>
      <c r="R457" s="166"/>
      <c r="S457" s="166"/>
      <c r="T457" s="166"/>
      <c r="U457" s="166"/>
      <c r="V457" s="166"/>
      <c r="W457" s="166"/>
      <c r="X457" s="166"/>
      <c r="Y457" s="166"/>
      <c r="Z457" s="166"/>
      <c r="AA457" s="166"/>
      <c r="AB457" s="166"/>
      <c r="AC457" s="166"/>
      <c r="AD457" s="166"/>
      <c r="AE457" s="166"/>
      <c r="AF457" s="166"/>
      <c r="AG457" s="166"/>
      <c r="AH457" s="166"/>
      <c r="AI457" s="166"/>
    </row>
    <row r="458" spans="7:35" x14ac:dyDescent="0.25">
      <c r="G458" s="165"/>
      <c r="H458" s="166"/>
      <c r="I458" s="167"/>
      <c r="J458" s="167"/>
      <c r="K458" s="166"/>
      <c r="L458" s="166"/>
      <c r="M458" s="166"/>
      <c r="N458" s="166"/>
      <c r="O458" s="166"/>
      <c r="P458" s="166"/>
      <c r="Q458" s="166"/>
      <c r="R458" s="166"/>
      <c r="S458" s="166"/>
      <c r="T458" s="166"/>
      <c r="U458" s="166"/>
      <c r="V458" s="166"/>
      <c r="W458" s="166"/>
      <c r="X458" s="166"/>
      <c r="Y458" s="166"/>
      <c r="Z458" s="166"/>
      <c r="AA458" s="166"/>
      <c r="AB458" s="166"/>
      <c r="AC458" s="166"/>
      <c r="AD458" s="166"/>
      <c r="AE458" s="166"/>
      <c r="AF458" s="166"/>
      <c r="AG458" s="166"/>
      <c r="AH458" s="166"/>
      <c r="AI458" s="166"/>
    </row>
    <row r="459" spans="7:35" x14ac:dyDescent="0.25">
      <c r="G459" s="165"/>
      <c r="H459" s="166"/>
      <c r="I459" s="167"/>
      <c r="J459" s="167"/>
      <c r="K459" s="166"/>
      <c r="L459" s="166"/>
      <c r="M459" s="166"/>
      <c r="N459" s="166"/>
      <c r="O459" s="166"/>
      <c r="P459" s="166"/>
      <c r="Q459" s="166"/>
      <c r="R459" s="166"/>
      <c r="S459" s="166"/>
      <c r="T459" s="166"/>
      <c r="U459" s="166"/>
      <c r="V459" s="166"/>
      <c r="W459" s="166"/>
      <c r="X459" s="166"/>
      <c r="Y459" s="166"/>
      <c r="Z459" s="166"/>
      <c r="AA459" s="166"/>
      <c r="AB459" s="166"/>
      <c r="AC459" s="166"/>
      <c r="AD459" s="166"/>
      <c r="AE459" s="166"/>
      <c r="AF459" s="166"/>
      <c r="AG459" s="166"/>
      <c r="AH459" s="166"/>
      <c r="AI459" s="166"/>
    </row>
    <row r="460" spans="7:35" x14ac:dyDescent="0.25">
      <c r="G460" s="165"/>
      <c r="H460" s="166"/>
      <c r="I460" s="167"/>
      <c r="J460" s="167"/>
      <c r="K460" s="166"/>
      <c r="L460" s="166"/>
      <c r="M460" s="166"/>
      <c r="N460" s="166"/>
      <c r="O460" s="166"/>
      <c r="P460" s="166"/>
      <c r="Q460" s="166"/>
      <c r="R460" s="166"/>
      <c r="S460" s="166"/>
      <c r="T460" s="166"/>
      <c r="U460" s="166"/>
      <c r="V460" s="166"/>
      <c r="W460" s="166"/>
      <c r="X460" s="166"/>
      <c r="Y460" s="166"/>
      <c r="Z460" s="166"/>
      <c r="AA460" s="166"/>
      <c r="AB460" s="166"/>
      <c r="AC460" s="166"/>
      <c r="AD460" s="166"/>
      <c r="AE460" s="166"/>
      <c r="AF460" s="166"/>
      <c r="AG460" s="166"/>
      <c r="AH460" s="166"/>
      <c r="AI460" s="166"/>
    </row>
    <row r="461" spans="7:35" x14ac:dyDescent="0.25">
      <c r="G461" s="165"/>
      <c r="H461" s="166"/>
      <c r="I461" s="167"/>
      <c r="J461" s="167"/>
      <c r="K461" s="166"/>
      <c r="L461" s="166"/>
      <c r="M461" s="166"/>
      <c r="N461" s="166"/>
      <c r="O461" s="166"/>
      <c r="P461" s="166"/>
      <c r="Q461" s="166"/>
      <c r="R461" s="166"/>
      <c r="S461" s="166"/>
      <c r="T461" s="166"/>
      <c r="U461" s="166"/>
      <c r="V461" s="166"/>
      <c r="W461" s="166"/>
      <c r="X461" s="166"/>
      <c r="Y461" s="166"/>
      <c r="Z461" s="166"/>
      <c r="AA461" s="166"/>
      <c r="AB461" s="166"/>
      <c r="AC461" s="166"/>
      <c r="AD461" s="166"/>
      <c r="AE461" s="166"/>
      <c r="AF461" s="166"/>
      <c r="AG461" s="166"/>
      <c r="AH461" s="166"/>
      <c r="AI461" s="166"/>
    </row>
    <row r="462" spans="7:35" x14ac:dyDescent="0.25">
      <c r="G462" s="165"/>
      <c r="H462" s="166"/>
      <c r="I462" s="167"/>
      <c r="J462" s="167"/>
      <c r="K462" s="166"/>
      <c r="L462" s="166"/>
      <c r="M462" s="166"/>
      <c r="N462" s="166"/>
      <c r="O462" s="166"/>
      <c r="P462" s="166"/>
      <c r="Q462" s="166"/>
      <c r="R462" s="166"/>
      <c r="S462" s="166"/>
      <c r="T462" s="166"/>
      <c r="U462" s="166"/>
      <c r="V462" s="166"/>
      <c r="W462" s="166"/>
      <c r="X462" s="166"/>
      <c r="Y462" s="166"/>
      <c r="Z462" s="166"/>
      <c r="AA462" s="166"/>
      <c r="AB462" s="166"/>
      <c r="AC462" s="166"/>
      <c r="AD462" s="166"/>
      <c r="AE462" s="166"/>
      <c r="AF462" s="166"/>
      <c r="AG462" s="166"/>
      <c r="AH462" s="166"/>
      <c r="AI462" s="166"/>
    </row>
    <row r="463" spans="7:35" x14ac:dyDescent="0.25">
      <c r="G463" s="165"/>
      <c r="H463" s="166"/>
      <c r="I463" s="167"/>
      <c r="J463" s="167"/>
      <c r="K463" s="166"/>
      <c r="L463" s="166"/>
      <c r="M463" s="166"/>
      <c r="N463" s="166"/>
      <c r="O463" s="166"/>
      <c r="P463" s="166"/>
      <c r="Q463" s="166"/>
      <c r="R463" s="166"/>
      <c r="S463" s="166"/>
      <c r="T463" s="166"/>
      <c r="U463" s="166"/>
      <c r="V463" s="166"/>
      <c r="W463" s="166"/>
      <c r="X463" s="166"/>
      <c r="Y463" s="166"/>
      <c r="Z463" s="166"/>
      <c r="AA463" s="166"/>
      <c r="AB463" s="166"/>
      <c r="AC463" s="166"/>
      <c r="AD463" s="166"/>
      <c r="AE463" s="166"/>
      <c r="AF463" s="166"/>
      <c r="AG463" s="166"/>
      <c r="AH463" s="166"/>
      <c r="AI463" s="166"/>
    </row>
    <row r="464" spans="7:35" x14ac:dyDescent="0.25">
      <c r="G464" s="165"/>
      <c r="H464" s="166"/>
      <c r="I464" s="167"/>
      <c r="J464" s="167"/>
      <c r="K464" s="166"/>
      <c r="L464" s="166"/>
      <c r="M464" s="166"/>
      <c r="N464" s="166"/>
      <c r="O464" s="166"/>
      <c r="P464" s="166"/>
      <c r="Q464" s="166"/>
      <c r="R464" s="166"/>
      <c r="S464" s="166"/>
      <c r="T464" s="166"/>
      <c r="U464" s="166"/>
      <c r="V464" s="166"/>
      <c r="W464" s="166"/>
      <c r="X464" s="166"/>
      <c r="Y464" s="166"/>
      <c r="Z464" s="166"/>
      <c r="AA464" s="166"/>
      <c r="AB464" s="166"/>
      <c r="AC464" s="166"/>
      <c r="AD464" s="166"/>
      <c r="AE464" s="166"/>
      <c r="AF464" s="166"/>
      <c r="AG464" s="166"/>
      <c r="AH464" s="166"/>
      <c r="AI464" s="166"/>
    </row>
    <row r="465" spans="7:35" x14ac:dyDescent="0.25">
      <c r="G465" s="165"/>
      <c r="H465" s="166"/>
      <c r="I465" s="167"/>
      <c r="J465" s="167"/>
      <c r="K465" s="166"/>
      <c r="L465" s="166"/>
      <c r="M465" s="166"/>
      <c r="N465" s="166"/>
      <c r="O465" s="166"/>
      <c r="P465" s="166"/>
      <c r="Q465" s="166"/>
      <c r="R465" s="166"/>
      <c r="S465" s="166"/>
      <c r="T465" s="166"/>
      <c r="U465" s="166"/>
      <c r="V465" s="166"/>
      <c r="W465" s="166"/>
      <c r="X465" s="166"/>
      <c r="Y465" s="166"/>
      <c r="Z465" s="166"/>
      <c r="AA465" s="166"/>
      <c r="AB465" s="166"/>
      <c r="AC465" s="166"/>
      <c r="AD465" s="166"/>
      <c r="AE465" s="166"/>
      <c r="AF465" s="166"/>
      <c r="AG465" s="166"/>
      <c r="AH465" s="166"/>
      <c r="AI465" s="166"/>
    </row>
    <row r="466" spans="7:35" x14ac:dyDescent="0.25">
      <c r="G466" s="165"/>
      <c r="H466" s="166"/>
      <c r="I466" s="167"/>
      <c r="J466" s="167"/>
      <c r="K466" s="166"/>
      <c r="L466" s="166"/>
      <c r="M466" s="166"/>
      <c r="N466" s="166"/>
      <c r="O466" s="166"/>
      <c r="P466" s="166"/>
      <c r="Q466" s="166"/>
      <c r="R466" s="166"/>
      <c r="S466" s="166"/>
      <c r="T466" s="166"/>
      <c r="U466" s="166"/>
      <c r="V466" s="166"/>
      <c r="W466" s="166"/>
      <c r="X466" s="166"/>
      <c r="Y466" s="166"/>
      <c r="Z466" s="166"/>
      <c r="AA466" s="166"/>
      <c r="AB466" s="166"/>
      <c r="AC466" s="166"/>
      <c r="AD466" s="166"/>
      <c r="AE466" s="166"/>
      <c r="AF466" s="166"/>
      <c r="AG466" s="166"/>
      <c r="AH466" s="166"/>
      <c r="AI466" s="166"/>
    </row>
    <row r="467" spans="7:35" x14ac:dyDescent="0.25">
      <c r="G467" s="165"/>
      <c r="H467" s="166"/>
      <c r="I467" s="167"/>
      <c r="J467" s="167"/>
      <c r="K467" s="166"/>
      <c r="L467" s="166"/>
      <c r="M467" s="166"/>
      <c r="N467" s="166"/>
      <c r="O467" s="166"/>
      <c r="P467" s="166"/>
      <c r="Q467" s="166"/>
      <c r="R467" s="166"/>
      <c r="S467" s="166"/>
      <c r="T467" s="166"/>
      <c r="U467" s="166"/>
      <c r="V467" s="166"/>
      <c r="W467" s="166"/>
      <c r="X467" s="166"/>
      <c r="Y467" s="166"/>
      <c r="Z467" s="166"/>
      <c r="AA467" s="166"/>
      <c r="AB467" s="166"/>
      <c r="AC467" s="166"/>
      <c r="AD467" s="166"/>
      <c r="AE467" s="166"/>
      <c r="AF467" s="166"/>
      <c r="AG467" s="166"/>
      <c r="AH467" s="166"/>
      <c r="AI467" s="166"/>
    </row>
    <row r="468" spans="7:35" x14ac:dyDescent="0.25">
      <c r="G468" s="165"/>
      <c r="H468" s="166"/>
      <c r="I468" s="167"/>
      <c r="J468" s="167"/>
      <c r="K468" s="166"/>
      <c r="L468" s="166"/>
      <c r="M468" s="166"/>
      <c r="N468" s="166"/>
      <c r="O468" s="166"/>
      <c r="P468" s="166"/>
      <c r="Q468" s="166"/>
      <c r="R468" s="166"/>
      <c r="S468" s="166"/>
      <c r="T468" s="166"/>
      <c r="U468" s="166"/>
      <c r="V468" s="166"/>
      <c r="W468" s="166"/>
      <c r="X468" s="166"/>
      <c r="Y468" s="166"/>
      <c r="Z468" s="166"/>
      <c r="AA468" s="166"/>
      <c r="AB468" s="166"/>
      <c r="AC468" s="166"/>
      <c r="AD468" s="166"/>
      <c r="AE468" s="166"/>
      <c r="AF468" s="166"/>
      <c r="AG468" s="166"/>
      <c r="AH468" s="166"/>
      <c r="AI468" s="166"/>
    </row>
    <row r="469" spans="7:35" x14ac:dyDescent="0.25">
      <c r="G469" s="165"/>
      <c r="H469" s="166"/>
      <c r="I469" s="167"/>
      <c r="J469" s="167"/>
      <c r="K469" s="166"/>
      <c r="L469" s="166"/>
      <c r="M469" s="166"/>
      <c r="N469" s="166"/>
      <c r="O469" s="166"/>
      <c r="P469" s="166"/>
      <c r="Q469" s="166"/>
      <c r="R469" s="166"/>
      <c r="S469" s="166"/>
      <c r="T469" s="166"/>
      <c r="U469" s="166"/>
      <c r="V469" s="166"/>
      <c r="W469" s="166"/>
      <c r="X469" s="166"/>
      <c r="Y469" s="166"/>
      <c r="Z469" s="166"/>
      <c r="AA469" s="166"/>
      <c r="AB469" s="166"/>
      <c r="AC469" s="166"/>
      <c r="AD469" s="166"/>
      <c r="AE469" s="166"/>
      <c r="AF469" s="166"/>
      <c r="AG469" s="166"/>
      <c r="AH469" s="166"/>
      <c r="AI469" s="166"/>
    </row>
    <row r="470" spans="7:35" x14ac:dyDescent="0.25">
      <c r="G470" s="165"/>
      <c r="H470" s="166"/>
      <c r="I470" s="167"/>
      <c r="J470" s="167"/>
      <c r="K470" s="166"/>
      <c r="L470" s="166"/>
      <c r="M470" s="166"/>
      <c r="N470" s="166"/>
      <c r="O470" s="166"/>
      <c r="P470" s="166"/>
      <c r="Q470" s="166"/>
      <c r="R470" s="166"/>
      <c r="S470" s="166"/>
      <c r="T470" s="166"/>
      <c r="U470" s="166"/>
      <c r="V470" s="166"/>
      <c r="W470" s="166"/>
      <c r="X470" s="166"/>
      <c r="Y470" s="166"/>
      <c r="Z470" s="166"/>
      <c r="AA470" s="166"/>
      <c r="AB470" s="166"/>
      <c r="AC470" s="166"/>
      <c r="AD470" s="166"/>
      <c r="AE470" s="166"/>
      <c r="AF470" s="166"/>
      <c r="AG470" s="166"/>
      <c r="AH470" s="166"/>
      <c r="AI470" s="166"/>
    </row>
    <row r="471" spans="7:35" x14ac:dyDescent="0.25">
      <c r="G471" s="165"/>
      <c r="H471" s="166"/>
      <c r="I471" s="167"/>
      <c r="J471" s="167"/>
      <c r="K471" s="166"/>
      <c r="L471" s="166"/>
      <c r="M471" s="166"/>
      <c r="N471" s="166"/>
      <c r="O471" s="166"/>
      <c r="P471" s="166"/>
      <c r="Q471" s="166"/>
      <c r="R471" s="166"/>
      <c r="S471" s="166"/>
      <c r="T471" s="166"/>
      <c r="U471" s="166"/>
      <c r="V471" s="166"/>
      <c r="W471" s="166"/>
      <c r="X471" s="166"/>
      <c r="Y471" s="166"/>
      <c r="Z471" s="166"/>
      <c r="AA471" s="166"/>
      <c r="AB471" s="166"/>
      <c r="AC471" s="166"/>
      <c r="AD471" s="166"/>
      <c r="AE471" s="166"/>
      <c r="AF471" s="166"/>
      <c r="AG471" s="166"/>
      <c r="AH471" s="166"/>
      <c r="AI471" s="166"/>
    </row>
    <row r="472" spans="7:35" x14ac:dyDescent="0.25">
      <c r="G472" s="165"/>
      <c r="H472" s="166"/>
      <c r="I472" s="167"/>
      <c r="J472" s="167"/>
      <c r="K472" s="166"/>
      <c r="L472" s="166"/>
      <c r="M472" s="166"/>
      <c r="N472" s="166"/>
      <c r="O472" s="166"/>
      <c r="P472" s="166"/>
      <c r="Q472" s="166"/>
      <c r="R472" s="166"/>
      <c r="S472" s="166"/>
      <c r="T472" s="166"/>
      <c r="U472" s="166"/>
      <c r="V472" s="166"/>
      <c r="W472" s="166"/>
      <c r="X472" s="166"/>
      <c r="Y472" s="166"/>
      <c r="Z472" s="166"/>
      <c r="AA472" s="166"/>
      <c r="AB472" s="166"/>
      <c r="AC472" s="166"/>
      <c r="AD472" s="166"/>
      <c r="AE472" s="166"/>
      <c r="AF472" s="166"/>
      <c r="AG472" s="166"/>
      <c r="AH472" s="166"/>
      <c r="AI472" s="166"/>
    </row>
    <row r="473" spans="7:35" x14ac:dyDescent="0.25">
      <c r="G473" s="165"/>
      <c r="H473" s="166"/>
      <c r="I473" s="167"/>
      <c r="J473" s="167"/>
      <c r="K473" s="166"/>
      <c r="L473" s="166"/>
      <c r="M473" s="166"/>
      <c r="N473" s="166"/>
      <c r="O473" s="166"/>
      <c r="P473" s="166"/>
      <c r="Q473" s="166"/>
      <c r="R473" s="166"/>
      <c r="S473" s="166"/>
      <c r="T473" s="166"/>
      <c r="U473" s="166"/>
      <c r="V473" s="166"/>
      <c r="W473" s="166"/>
      <c r="X473" s="166"/>
      <c r="Y473" s="166"/>
      <c r="Z473" s="166"/>
      <c r="AA473" s="166"/>
      <c r="AB473" s="166"/>
      <c r="AC473" s="166"/>
      <c r="AD473" s="166"/>
      <c r="AE473" s="166"/>
      <c r="AF473" s="166"/>
      <c r="AG473" s="166"/>
      <c r="AH473" s="166"/>
      <c r="AI473" s="166"/>
    </row>
    <row r="474" spans="7:35" x14ac:dyDescent="0.25">
      <c r="G474" s="165"/>
      <c r="H474" s="166"/>
      <c r="I474" s="167"/>
      <c r="J474" s="167"/>
      <c r="K474" s="166"/>
      <c r="L474" s="166"/>
      <c r="M474" s="166"/>
      <c r="N474" s="166"/>
      <c r="O474" s="166"/>
      <c r="P474" s="166"/>
      <c r="Q474" s="166"/>
      <c r="R474" s="166"/>
      <c r="S474" s="166"/>
      <c r="T474" s="166"/>
      <c r="U474" s="166"/>
      <c r="V474" s="166"/>
      <c r="W474" s="166"/>
      <c r="X474" s="166"/>
      <c r="Y474" s="166"/>
      <c r="Z474" s="166"/>
      <c r="AA474" s="166"/>
      <c r="AB474" s="166"/>
      <c r="AC474" s="166"/>
      <c r="AD474" s="166"/>
      <c r="AE474" s="166"/>
      <c r="AF474" s="166"/>
      <c r="AG474" s="166"/>
      <c r="AH474" s="166"/>
      <c r="AI474" s="166"/>
    </row>
    <row r="475" spans="7:35" x14ac:dyDescent="0.25">
      <c r="G475" s="165"/>
      <c r="H475" s="166"/>
      <c r="I475" s="167"/>
      <c r="J475" s="167"/>
      <c r="K475" s="166"/>
      <c r="L475" s="166"/>
      <c r="M475" s="166"/>
      <c r="N475" s="166"/>
      <c r="O475" s="166"/>
      <c r="P475" s="166"/>
      <c r="Q475" s="166"/>
      <c r="R475" s="166"/>
      <c r="S475" s="166"/>
      <c r="T475" s="166"/>
      <c r="U475" s="166"/>
      <c r="V475" s="166"/>
      <c r="W475" s="166"/>
      <c r="X475" s="166"/>
      <c r="Y475" s="166"/>
      <c r="Z475" s="166"/>
      <c r="AA475" s="166"/>
      <c r="AB475" s="166"/>
      <c r="AC475" s="166"/>
      <c r="AD475" s="166"/>
      <c r="AE475" s="166"/>
      <c r="AF475" s="166"/>
      <c r="AG475" s="166"/>
      <c r="AH475" s="166"/>
      <c r="AI475" s="166"/>
    </row>
    <row r="476" spans="7:35" x14ac:dyDescent="0.25">
      <c r="G476" s="165"/>
      <c r="H476" s="166"/>
      <c r="I476" s="167"/>
      <c r="J476" s="167"/>
      <c r="K476" s="166"/>
      <c r="L476" s="166"/>
      <c r="M476" s="166"/>
      <c r="N476" s="166"/>
      <c r="O476" s="166"/>
      <c r="P476" s="166"/>
      <c r="Q476" s="166"/>
      <c r="R476" s="166"/>
      <c r="S476" s="166"/>
      <c r="T476" s="166"/>
      <c r="U476" s="166"/>
      <c r="V476" s="166"/>
      <c r="W476" s="166"/>
      <c r="X476" s="166"/>
      <c r="Y476" s="166"/>
      <c r="Z476" s="166"/>
      <c r="AA476" s="166"/>
      <c r="AB476" s="166"/>
      <c r="AC476" s="166"/>
      <c r="AD476" s="166"/>
      <c r="AE476" s="166"/>
      <c r="AF476" s="166"/>
      <c r="AG476" s="166"/>
      <c r="AH476" s="166"/>
      <c r="AI476" s="166"/>
    </row>
    <row r="477" spans="7:35" x14ac:dyDescent="0.25">
      <c r="G477" s="165"/>
      <c r="H477" s="166"/>
      <c r="I477" s="167"/>
      <c r="J477" s="167"/>
      <c r="K477" s="166"/>
      <c r="L477" s="166"/>
      <c r="M477" s="166"/>
      <c r="N477" s="166"/>
      <c r="O477" s="166"/>
      <c r="P477" s="166"/>
      <c r="Q477" s="166"/>
      <c r="R477" s="166"/>
      <c r="S477" s="166"/>
      <c r="T477" s="166"/>
      <c r="U477" s="166"/>
      <c r="V477" s="166"/>
      <c r="W477" s="166"/>
      <c r="X477" s="166"/>
      <c r="Y477" s="166"/>
      <c r="Z477" s="166"/>
      <c r="AA477" s="166"/>
      <c r="AB477" s="166"/>
      <c r="AC477" s="166"/>
      <c r="AD477" s="166"/>
      <c r="AE477" s="166"/>
      <c r="AF477" s="166"/>
      <c r="AG477" s="166"/>
      <c r="AH477" s="166"/>
      <c r="AI477" s="166"/>
    </row>
    <row r="478" spans="7:35" x14ac:dyDescent="0.25">
      <c r="G478" s="165"/>
      <c r="H478" s="166"/>
      <c r="I478" s="167"/>
      <c r="J478" s="167"/>
      <c r="K478" s="166"/>
      <c r="L478" s="166"/>
      <c r="M478" s="166"/>
      <c r="N478" s="166"/>
      <c r="O478" s="166"/>
      <c r="P478" s="166"/>
      <c r="Q478" s="166"/>
      <c r="R478" s="166"/>
      <c r="S478" s="166"/>
      <c r="T478" s="166"/>
      <c r="U478" s="166"/>
      <c r="V478" s="166"/>
      <c r="W478" s="166"/>
      <c r="X478" s="166"/>
      <c r="Y478" s="166"/>
      <c r="Z478" s="166"/>
      <c r="AA478" s="166"/>
      <c r="AB478" s="166"/>
      <c r="AC478" s="166"/>
      <c r="AD478" s="166"/>
      <c r="AE478" s="166"/>
      <c r="AF478" s="166"/>
      <c r="AG478" s="166"/>
      <c r="AH478" s="166"/>
      <c r="AI478" s="166"/>
    </row>
    <row r="479" spans="7:35" x14ac:dyDescent="0.25">
      <c r="G479" s="165"/>
      <c r="H479" s="166"/>
      <c r="I479" s="167"/>
      <c r="J479" s="167"/>
      <c r="K479" s="166"/>
      <c r="L479" s="166"/>
      <c r="M479" s="166"/>
      <c r="N479" s="166"/>
      <c r="O479" s="166"/>
      <c r="P479" s="166"/>
      <c r="Q479" s="166"/>
      <c r="R479" s="166"/>
      <c r="S479" s="166"/>
      <c r="T479" s="166"/>
      <c r="U479" s="166"/>
      <c r="V479" s="166"/>
      <c r="W479" s="166"/>
      <c r="X479" s="166"/>
      <c r="Y479" s="166"/>
      <c r="Z479" s="166"/>
      <c r="AA479" s="166"/>
      <c r="AB479" s="166"/>
      <c r="AC479" s="166"/>
      <c r="AD479" s="166"/>
      <c r="AE479" s="166"/>
      <c r="AF479" s="166"/>
      <c r="AG479" s="166"/>
      <c r="AH479" s="166"/>
      <c r="AI479" s="166"/>
    </row>
    <row r="480" spans="7:35" x14ac:dyDescent="0.25">
      <c r="G480" s="165"/>
      <c r="H480" s="166"/>
      <c r="I480" s="167"/>
      <c r="J480" s="167"/>
      <c r="K480" s="166"/>
      <c r="L480" s="166"/>
      <c r="M480" s="166"/>
      <c r="N480" s="166"/>
      <c r="O480" s="166"/>
      <c r="P480" s="166"/>
      <c r="Q480" s="166"/>
      <c r="R480" s="166"/>
      <c r="S480" s="166"/>
      <c r="T480" s="166"/>
      <c r="U480" s="166"/>
      <c r="V480" s="166"/>
      <c r="W480" s="166"/>
      <c r="X480" s="166"/>
      <c r="Y480" s="166"/>
      <c r="Z480" s="166"/>
      <c r="AA480" s="166"/>
      <c r="AB480" s="166"/>
      <c r="AC480" s="166"/>
      <c r="AD480" s="166"/>
      <c r="AE480" s="166"/>
      <c r="AF480" s="166"/>
      <c r="AG480" s="166"/>
      <c r="AH480" s="166"/>
      <c r="AI480" s="166"/>
    </row>
    <row r="481" spans="7:35" x14ac:dyDescent="0.25">
      <c r="G481" s="165"/>
      <c r="H481" s="166"/>
      <c r="I481" s="167"/>
      <c r="J481" s="167"/>
      <c r="K481" s="166"/>
      <c r="L481" s="166"/>
      <c r="M481" s="166"/>
      <c r="N481" s="166"/>
      <c r="O481" s="166"/>
      <c r="P481" s="166"/>
      <c r="Q481" s="166"/>
      <c r="R481" s="166"/>
      <c r="S481" s="166"/>
      <c r="T481" s="166"/>
      <c r="U481" s="166"/>
      <c r="V481" s="166"/>
      <c r="W481" s="166"/>
      <c r="X481" s="166"/>
      <c r="Y481" s="166"/>
      <c r="Z481" s="166"/>
      <c r="AA481" s="166"/>
      <c r="AB481" s="166"/>
      <c r="AC481" s="166"/>
      <c r="AD481" s="166"/>
      <c r="AE481" s="166"/>
      <c r="AF481" s="166"/>
      <c r="AG481" s="166"/>
      <c r="AH481" s="166"/>
      <c r="AI481" s="166"/>
    </row>
    <row r="482" spans="7:35" x14ac:dyDescent="0.25">
      <c r="G482" s="165"/>
      <c r="H482" s="166"/>
      <c r="I482" s="167"/>
      <c r="J482" s="167"/>
      <c r="K482" s="166"/>
      <c r="L482" s="166"/>
      <c r="M482" s="166"/>
      <c r="N482" s="166"/>
      <c r="O482" s="166"/>
      <c r="P482" s="166"/>
      <c r="Q482" s="166"/>
      <c r="R482" s="166"/>
      <c r="S482" s="166"/>
      <c r="T482" s="166"/>
      <c r="U482" s="166"/>
      <c r="V482" s="166"/>
      <c r="W482" s="166"/>
      <c r="X482" s="166"/>
      <c r="Y482" s="166"/>
      <c r="Z482" s="166"/>
      <c r="AA482" s="166"/>
      <c r="AB482" s="166"/>
      <c r="AC482" s="166"/>
      <c r="AD482" s="166"/>
      <c r="AE482" s="166"/>
      <c r="AF482" s="166"/>
      <c r="AG482" s="166"/>
      <c r="AH482" s="166"/>
      <c r="AI482" s="166"/>
    </row>
    <row r="483" spans="7:35" x14ac:dyDescent="0.25">
      <c r="G483" s="165"/>
      <c r="H483" s="166"/>
      <c r="I483" s="167"/>
      <c r="J483" s="167"/>
      <c r="K483" s="166"/>
      <c r="L483" s="166"/>
      <c r="M483" s="166"/>
      <c r="N483" s="166"/>
      <c r="O483" s="166"/>
      <c r="P483" s="166"/>
      <c r="Q483" s="166"/>
      <c r="R483" s="166"/>
      <c r="S483" s="166"/>
      <c r="T483" s="166"/>
      <c r="U483" s="166"/>
      <c r="V483" s="166"/>
      <c r="W483" s="166"/>
      <c r="X483" s="166"/>
      <c r="Y483" s="166"/>
      <c r="Z483" s="166"/>
      <c r="AA483" s="166"/>
      <c r="AB483" s="166"/>
      <c r="AC483" s="166"/>
      <c r="AD483" s="166"/>
      <c r="AE483" s="166"/>
      <c r="AF483" s="166"/>
      <c r="AG483" s="166"/>
      <c r="AH483" s="166"/>
      <c r="AI483" s="166"/>
    </row>
    <row r="484" spans="7:35" x14ac:dyDescent="0.25">
      <c r="G484" s="165"/>
      <c r="H484" s="166"/>
      <c r="I484" s="167"/>
      <c r="J484" s="167"/>
      <c r="K484" s="166"/>
      <c r="L484" s="166"/>
      <c r="M484" s="166"/>
      <c r="N484" s="166"/>
      <c r="O484" s="166"/>
      <c r="P484" s="166"/>
      <c r="Q484" s="166"/>
      <c r="R484" s="166"/>
      <c r="S484" s="166"/>
      <c r="T484" s="166"/>
      <c r="U484" s="166"/>
      <c r="V484" s="166"/>
      <c r="W484" s="166"/>
      <c r="X484" s="166"/>
      <c r="Y484" s="166"/>
      <c r="Z484" s="166"/>
      <c r="AA484" s="166"/>
      <c r="AB484" s="166"/>
      <c r="AC484" s="166"/>
      <c r="AD484" s="166"/>
      <c r="AE484" s="166"/>
      <c r="AF484" s="166"/>
      <c r="AG484" s="166"/>
      <c r="AH484" s="166"/>
      <c r="AI484" s="166"/>
    </row>
    <row r="485" spans="7:35" x14ac:dyDescent="0.25">
      <c r="G485" s="165"/>
      <c r="H485" s="166"/>
      <c r="I485" s="167"/>
      <c r="J485" s="167"/>
      <c r="K485" s="166"/>
      <c r="L485" s="166"/>
      <c r="M485" s="166"/>
      <c r="N485" s="166"/>
      <c r="O485" s="166"/>
      <c r="P485" s="166"/>
      <c r="Q485" s="166"/>
      <c r="R485" s="166"/>
      <c r="S485" s="166"/>
      <c r="T485" s="166"/>
      <c r="U485" s="166"/>
      <c r="V485" s="166"/>
      <c r="W485" s="166"/>
      <c r="X485" s="166"/>
      <c r="Y485" s="166"/>
      <c r="Z485" s="166"/>
      <c r="AA485" s="166"/>
      <c r="AB485" s="166"/>
      <c r="AC485" s="166"/>
      <c r="AD485" s="166"/>
      <c r="AE485" s="166"/>
      <c r="AF485" s="166"/>
      <c r="AG485" s="166"/>
      <c r="AH485" s="166"/>
      <c r="AI485" s="166"/>
    </row>
    <row r="486" spans="7:35" x14ac:dyDescent="0.25">
      <c r="G486" s="165"/>
      <c r="H486" s="166"/>
      <c r="I486" s="167"/>
      <c r="J486" s="167"/>
      <c r="K486" s="166"/>
      <c r="L486" s="166"/>
      <c r="M486" s="166"/>
      <c r="N486" s="166"/>
      <c r="O486" s="166"/>
      <c r="P486" s="166"/>
      <c r="Q486" s="166"/>
      <c r="R486" s="166"/>
      <c r="S486" s="166"/>
      <c r="T486" s="166"/>
      <c r="U486" s="166"/>
      <c r="V486" s="166"/>
      <c r="W486" s="166"/>
      <c r="X486" s="166"/>
      <c r="Y486" s="166"/>
      <c r="Z486" s="166"/>
      <c r="AA486" s="166"/>
      <c r="AB486" s="166"/>
      <c r="AC486" s="166"/>
      <c r="AD486" s="166"/>
      <c r="AE486" s="166"/>
      <c r="AF486" s="166"/>
      <c r="AG486" s="166"/>
      <c r="AH486" s="166"/>
      <c r="AI486" s="166"/>
    </row>
    <row r="487" spans="7:35" x14ac:dyDescent="0.25">
      <c r="G487" s="165"/>
      <c r="H487" s="166"/>
      <c r="I487" s="167"/>
      <c r="J487" s="167"/>
      <c r="K487" s="166"/>
      <c r="L487" s="166"/>
      <c r="M487" s="166"/>
      <c r="N487" s="166"/>
      <c r="O487" s="166"/>
      <c r="P487" s="166"/>
      <c r="Q487" s="166"/>
      <c r="R487" s="166"/>
      <c r="S487" s="166"/>
      <c r="T487" s="166"/>
      <c r="U487" s="166"/>
      <c r="V487" s="166"/>
      <c r="W487" s="166"/>
      <c r="X487" s="166"/>
      <c r="Y487" s="166"/>
      <c r="Z487" s="166"/>
      <c r="AA487" s="166"/>
      <c r="AB487" s="166"/>
      <c r="AC487" s="166"/>
      <c r="AD487" s="166"/>
      <c r="AE487" s="166"/>
      <c r="AF487" s="166"/>
      <c r="AG487" s="166"/>
      <c r="AH487" s="166"/>
      <c r="AI487" s="166"/>
    </row>
    <row r="488" spans="7:35" x14ac:dyDescent="0.25">
      <c r="G488" s="165"/>
      <c r="H488" s="166"/>
      <c r="I488" s="167"/>
      <c r="J488" s="167"/>
      <c r="K488" s="166"/>
      <c r="L488" s="166"/>
      <c r="M488" s="166"/>
      <c r="N488" s="166"/>
      <c r="O488" s="166"/>
      <c r="P488" s="166"/>
      <c r="Q488" s="166"/>
      <c r="R488" s="166"/>
      <c r="S488" s="166"/>
      <c r="T488" s="166"/>
      <c r="U488" s="166"/>
      <c r="V488" s="166"/>
      <c r="W488" s="166"/>
      <c r="X488" s="166"/>
      <c r="Y488" s="166"/>
      <c r="Z488" s="166"/>
      <c r="AA488" s="166"/>
      <c r="AB488" s="166"/>
      <c r="AC488" s="166"/>
      <c r="AD488" s="166"/>
      <c r="AE488" s="166"/>
      <c r="AF488" s="166"/>
      <c r="AG488" s="166"/>
      <c r="AH488" s="166"/>
      <c r="AI488" s="166"/>
    </row>
    <row r="489" spans="7:35" x14ac:dyDescent="0.25">
      <c r="G489" s="165"/>
      <c r="H489" s="166"/>
      <c r="I489" s="167"/>
      <c r="J489" s="167"/>
      <c r="K489" s="166"/>
      <c r="L489" s="166"/>
      <c r="M489" s="166"/>
      <c r="N489" s="166"/>
      <c r="O489" s="166"/>
      <c r="P489" s="166"/>
      <c r="Q489" s="166"/>
      <c r="R489" s="166"/>
      <c r="S489" s="166"/>
      <c r="T489" s="166"/>
      <c r="U489" s="166"/>
      <c r="V489" s="166"/>
      <c r="W489" s="166"/>
      <c r="X489" s="166"/>
      <c r="Y489" s="166"/>
      <c r="Z489" s="166"/>
      <c r="AA489" s="166"/>
      <c r="AB489" s="166"/>
      <c r="AC489" s="166"/>
      <c r="AD489" s="166"/>
      <c r="AE489" s="166"/>
      <c r="AF489" s="166"/>
      <c r="AG489" s="166"/>
      <c r="AH489" s="166"/>
      <c r="AI489" s="166"/>
    </row>
    <row r="490" spans="7:35" x14ac:dyDescent="0.25">
      <c r="G490" s="165"/>
      <c r="H490" s="166"/>
      <c r="I490" s="167"/>
      <c r="J490" s="167"/>
      <c r="K490" s="166"/>
      <c r="L490" s="166"/>
      <c r="M490" s="166"/>
      <c r="N490" s="166"/>
      <c r="O490" s="166"/>
      <c r="P490" s="166"/>
      <c r="Q490" s="166"/>
      <c r="R490" s="166"/>
      <c r="S490" s="166"/>
      <c r="T490" s="166"/>
      <c r="U490" s="166"/>
      <c r="V490" s="166"/>
      <c r="W490" s="166"/>
      <c r="X490" s="166"/>
      <c r="Y490" s="166"/>
      <c r="Z490" s="166"/>
      <c r="AA490" s="166"/>
      <c r="AB490" s="166"/>
      <c r="AC490" s="166"/>
      <c r="AD490" s="166"/>
      <c r="AE490" s="166"/>
      <c r="AF490" s="166"/>
      <c r="AG490" s="166"/>
      <c r="AH490" s="166"/>
      <c r="AI490" s="166"/>
    </row>
    <row r="491" spans="7:35" x14ac:dyDescent="0.25">
      <c r="G491" s="165"/>
      <c r="H491" s="166"/>
      <c r="I491" s="167"/>
      <c r="J491" s="167"/>
      <c r="K491" s="166"/>
      <c r="L491" s="166"/>
      <c r="M491" s="166"/>
      <c r="N491" s="166"/>
      <c r="O491" s="166"/>
      <c r="P491" s="166"/>
      <c r="Q491" s="166"/>
      <c r="R491" s="166"/>
      <c r="S491" s="166"/>
      <c r="T491" s="166"/>
      <c r="U491" s="166"/>
      <c r="V491" s="166"/>
      <c r="W491" s="166"/>
      <c r="X491" s="166"/>
      <c r="Y491" s="166"/>
      <c r="Z491" s="166"/>
      <c r="AA491" s="166"/>
      <c r="AB491" s="166"/>
      <c r="AC491" s="166"/>
      <c r="AD491" s="166"/>
      <c r="AE491" s="166"/>
      <c r="AF491" s="166"/>
      <c r="AG491" s="166"/>
      <c r="AH491" s="166"/>
      <c r="AI491" s="166"/>
    </row>
    <row r="492" spans="7:35" x14ac:dyDescent="0.25">
      <c r="G492" s="165"/>
      <c r="H492" s="166"/>
      <c r="I492" s="167"/>
      <c r="J492" s="167"/>
      <c r="K492" s="166"/>
      <c r="L492" s="166"/>
      <c r="M492" s="166"/>
      <c r="N492" s="166"/>
      <c r="O492" s="166"/>
      <c r="P492" s="166"/>
      <c r="Q492" s="166"/>
      <c r="R492" s="166"/>
      <c r="S492" s="166"/>
      <c r="T492" s="166"/>
      <c r="U492" s="166"/>
      <c r="V492" s="166"/>
      <c r="W492" s="166"/>
      <c r="X492" s="166"/>
      <c r="Y492" s="166"/>
      <c r="Z492" s="166"/>
      <c r="AA492" s="166"/>
      <c r="AB492" s="166"/>
      <c r="AC492" s="166"/>
      <c r="AD492" s="166"/>
      <c r="AE492" s="166"/>
      <c r="AF492" s="166"/>
      <c r="AG492" s="166"/>
      <c r="AH492" s="166"/>
      <c r="AI492" s="166"/>
    </row>
    <row r="493" spans="7:35" x14ac:dyDescent="0.25">
      <c r="G493" s="165"/>
      <c r="H493" s="166"/>
      <c r="I493" s="167"/>
      <c r="J493" s="167"/>
      <c r="K493" s="166"/>
      <c r="L493" s="166"/>
      <c r="M493" s="166"/>
      <c r="N493" s="166"/>
      <c r="O493" s="166"/>
      <c r="P493" s="166"/>
      <c r="Q493" s="166"/>
      <c r="R493" s="166"/>
      <c r="S493" s="166"/>
      <c r="T493" s="166"/>
      <c r="U493" s="166"/>
      <c r="V493" s="166"/>
      <c r="W493" s="166"/>
      <c r="X493" s="166"/>
      <c r="Y493" s="166"/>
      <c r="Z493" s="166"/>
      <c r="AA493" s="166"/>
      <c r="AB493" s="166"/>
      <c r="AC493" s="166"/>
      <c r="AD493" s="166"/>
      <c r="AE493" s="166"/>
      <c r="AF493" s="166"/>
      <c r="AG493" s="166"/>
      <c r="AH493" s="166"/>
      <c r="AI493" s="166"/>
    </row>
    <row r="494" spans="7:35" x14ac:dyDescent="0.25">
      <c r="G494" s="165"/>
      <c r="H494" s="166"/>
      <c r="I494" s="167"/>
      <c r="J494" s="167"/>
      <c r="K494" s="166"/>
      <c r="L494" s="166"/>
      <c r="M494" s="166"/>
      <c r="N494" s="166"/>
      <c r="O494" s="166"/>
      <c r="P494" s="166"/>
      <c r="Q494" s="166"/>
      <c r="R494" s="166"/>
      <c r="S494" s="166"/>
      <c r="T494" s="166"/>
      <c r="U494" s="166"/>
      <c r="V494" s="166"/>
      <c r="W494" s="166"/>
      <c r="X494" s="166"/>
      <c r="Y494" s="166"/>
      <c r="Z494" s="166"/>
      <c r="AA494" s="166"/>
      <c r="AB494" s="166"/>
      <c r="AC494" s="166"/>
      <c r="AD494" s="166"/>
      <c r="AE494" s="166"/>
      <c r="AF494" s="166"/>
      <c r="AG494" s="166"/>
      <c r="AH494" s="166"/>
      <c r="AI494" s="166"/>
    </row>
    <row r="495" spans="7:35" x14ac:dyDescent="0.25">
      <c r="G495" s="165"/>
      <c r="H495" s="166"/>
      <c r="I495" s="167"/>
      <c r="J495" s="167"/>
      <c r="K495" s="166"/>
      <c r="L495" s="166"/>
      <c r="M495" s="166"/>
      <c r="N495" s="166"/>
      <c r="O495" s="166"/>
      <c r="P495" s="166"/>
      <c r="Q495" s="166"/>
      <c r="R495" s="166"/>
      <c r="S495" s="166"/>
      <c r="T495" s="166"/>
      <c r="U495" s="166"/>
      <c r="V495" s="166"/>
      <c r="W495" s="166"/>
      <c r="X495" s="166"/>
      <c r="Y495" s="166"/>
      <c r="Z495" s="166"/>
      <c r="AA495" s="166"/>
      <c r="AB495" s="166"/>
      <c r="AC495" s="166"/>
      <c r="AD495" s="166"/>
      <c r="AE495" s="166"/>
      <c r="AF495" s="166"/>
      <c r="AG495" s="166"/>
      <c r="AH495" s="166"/>
      <c r="AI495" s="166"/>
    </row>
    <row r="496" spans="7:35" x14ac:dyDescent="0.25">
      <c r="G496" s="165"/>
      <c r="H496" s="166"/>
      <c r="I496" s="167"/>
      <c r="J496" s="167"/>
      <c r="K496" s="166"/>
      <c r="L496" s="166"/>
      <c r="M496" s="166"/>
      <c r="N496" s="166"/>
      <c r="O496" s="166"/>
      <c r="P496" s="166"/>
      <c r="Q496" s="166"/>
      <c r="R496" s="166"/>
      <c r="S496" s="166"/>
      <c r="T496" s="166"/>
      <c r="U496" s="166"/>
      <c r="V496" s="166"/>
      <c r="W496" s="166"/>
      <c r="X496" s="166"/>
      <c r="Y496" s="166"/>
      <c r="Z496" s="166"/>
      <c r="AA496" s="166"/>
      <c r="AB496" s="166"/>
      <c r="AC496" s="166"/>
      <c r="AD496" s="166"/>
      <c r="AE496" s="166"/>
      <c r="AF496" s="166"/>
      <c r="AG496" s="166"/>
      <c r="AH496" s="166"/>
      <c r="AI496" s="166"/>
    </row>
    <row r="497" spans="7:35" x14ac:dyDescent="0.25">
      <c r="G497" s="165"/>
      <c r="H497" s="166"/>
      <c r="I497" s="167"/>
      <c r="J497" s="167"/>
      <c r="K497" s="166"/>
      <c r="L497" s="166"/>
      <c r="M497" s="166"/>
      <c r="N497" s="166"/>
      <c r="O497" s="166"/>
      <c r="P497" s="166"/>
      <c r="Q497" s="166"/>
      <c r="R497" s="166"/>
      <c r="S497" s="166"/>
      <c r="T497" s="166"/>
      <c r="U497" s="166"/>
      <c r="V497" s="166"/>
      <c r="W497" s="166"/>
      <c r="X497" s="166"/>
      <c r="Y497" s="166"/>
      <c r="Z497" s="166"/>
      <c r="AA497" s="166"/>
      <c r="AB497" s="166"/>
      <c r="AC497" s="166"/>
      <c r="AD497" s="166"/>
      <c r="AE497" s="166"/>
      <c r="AF497" s="166"/>
      <c r="AG497" s="166"/>
      <c r="AH497" s="166"/>
      <c r="AI497" s="166"/>
    </row>
    <row r="498" spans="7:35" x14ac:dyDescent="0.25">
      <c r="G498" s="165"/>
      <c r="H498" s="166"/>
      <c r="I498" s="167"/>
      <c r="J498" s="167"/>
      <c r="K498" s="166"/>
      <c r="L498" s="166"/>
      <c r="M498" s="166"/>
      <c r="N498" s="166"/>
      <c r="O498" s="166"/>
      <c r="P498" s="166"/>
      <c r="Q498" s="166"/>
      <c r="R498" s="166"/>
      <c r="S498" s="166"/>
      <c r="T498" s="166"/>
      <c r="U498" s="166"/>
      <c r="V498" s="166"/>
      <c r="W498" s="166"/>
      <c r="X498" s="166"/>
      <c r="Y498" s="166"/>
      <c r="Z498" s="166"/>
      <c r="AA498" s="166"/>
      <c r="AB498" s="166"/>
      <c r="AC498" s="166"/>
      <c r="AD498" s="166"/>
      <c r="AE498" s="166"/>
      <c r="AF498" s="166"/>
      <c r="AG498" s="166"/>
      <c r="AH498" s="166"/>
      <c r="AI498" s="166"/>
    </row>
    <row r="499" spans="7:35" x14ac:dyDescent="0.25">
      <c r="G499" s="165"/>
      <c r="H499" s="166"/>
      <c r="I499" s="167"/>
      <c r="J499" s="167"/>
      <c r="K499" s="166"/>
      <c r="L499" s="166"/>
      <c r="M499" s="166"/>
      <c r="N499" s="166"/>
      <c r="O499" s="166"/>
      <c r="P499" s="166"/>
      <c r="Q499" s="166"/>
      <c r="R499" s="166"/>
      <c r="S499" s="166"/>
      <c r="T499" s="166"/>
      <c r="U499" s="166"/>
      <c r="V499" s="166"/>
      <c r="W499" s="166"/>
      <c r="X499" s="166"/>
      <c r="Y499" s="166"/>
      <c r="Z499" s="166"/>
      <c r="AA499" s="166"/>
      <c r="AB499" s="166"/>
      <c r="AC499" s="166"/>
      <c r="AD499" s="166"/>
      <c r="AE499" s="166"/>
      <c r="AF499" s="166"/>
      <c r="AG499" s="166"/>
      <c r="AH499" s="166"/>
      <c r="AI499" s="166"/>
    </row>
    <row r="500" spans="7:35" x14ac:dyDescent="0.25">
      <c r="G500" s="165"/>
      <c r="H500" s="166"/>
      <c r="I500" s="167"/>
      <c r="J500" s="167"/>
      <c r="K500" s="166"/>
      <c r="L500" s="166"/>
      <c r="M500" s="166"/>
      <c r="N500" s="166"/>
      <c r="O500" s="166"/>
      <c r="P500" s="166"/>
      <c r="Q500" s="166"/>
      <c r="R500" s="166"/>
      <c r="S500" s="166"/>
      <c r="T500" s="166"/>
      <c r="U500" s="166"/>
      <c r="V500" s="166"/>
      <c r="W500" s="166"/>
      <c r="X500" s="166"/>
      <c r="Y500" s="166"/>
      <c r="Z500" s="166"/>
      <c r="AA500" s="166"/>
      <c r="AB500" s="166"/>
      <c r="AC500" s="166"/>
      <c r="AD500" s="166"/>
      <c r="AE500" s="166"/>
      <c r="AF500" s="166"/>
      <c r="AG500" s="166"/>
      <c r="AH500" s="166"/>
      <c r="AI500" s="166"/>
    </row>
    <row r="501" spans="7:35" x14ac:dyDescent="0.25">
      <c r="G501" s="165"/>
      <c r="H501" s="166"/>
      <c r="I501" s="167"/>
      <c r="J501" s="167"/>
      <c r="K501" s="166"/>
      <c r="L501" s="166"/>
      <c r="M501" s="166"/>
      <c r="N501" s="166"/>
      <c r="O501" s="166"/>
      <c r="P501" s="166"/>
      <c r="Q501" s="166"/>
      <c r="R501" s="166"/>
      <c r="S501" s="166"/>
      <c r="T501" s="166"/>
      <c r="U501" s="166"/>
      <c r="V501" s="166"/>
      <c r="W501" s="166"/>
      <c r="X501" s="166"/>
      <c r="Y501" s="166"/>
      <c r="Z501" s="166"/>
      <c r="AA501" s="166"/>
      <c r="AB501" s="166"/>
      <c r="AC501" s="166"/>
      <c r="AD501" s="166"/>
      <c r="AE501" s="166"/>
      <c r="AF501" s="166"/>
      <c r="AG501" s="166"/>
      <c r="AH501" s="166"/>
      <c r="AI501" s="166"/>
    </row>
    <row r="502" spans="7:35" x14ac:dyDescent="0.25">
      <c r="G502" s="165"/>
      <c r="H502" s="166"/>
      <c r="I502" s="167"/>
      <c r="J502" s="167"/>
      <c r="K502" s="166"/>
      <c r="L502" s="166"/>
      <c r="M502" s="166"/>
      <c r="N502" s="166"/>
      <c r="O502" s="166"/>
      <c r="P502" s="166"/>
      <c r="Q502" s="166"/>
      <c r="R502" s="166"/>
      <c r="S502" s="166"/>
      <c r="T502" s="166"/>
      <c r="U502" s="166"/>
      <c r="V502" s="166"/>
      <c r="W502" s="166"/>
      <c r="X502" s="166"/>
      <c r="Y502" s="166"/>
      <c r="Z502" s="166"/>
      <c r="AA502" s="166"/>
      <c r="AB502" s="166"/>
      <c r="AC502" s="166"/>
      <c r="AD502" s="166"/>
      <c r="AE502" s="166"/>
      <c r="AF502" s="166"/>
      <c r="AG502" s="166"/>
      <c r="AH502" s="166"/>
      <c r="AI502" s="166"/>
    </row>
    <row r="503" spans="7:35" x14ac:dyDescent="0.25">
      <c r="G503" s="165"/>
      <c r="H503" s="166"/>
      <c r="I503" s="167"/>
      <c r="J503" s="167"/>
      <c r="K503" s="166"/>
      <c r="L503" s="166"/>
      <c r="M503" s="166"/>
      <c r="N503" s="166"/>
      <c r="O503" s="166"/>
      <c r="P503" s="166"/>
      <c r="Q503" s="166"/>
      <c r="R503" s="166"/>
      <c r="S503" s="166"/>
      <c r="T503" s="166"/>
      <c r="U503" s="166"/>
      <c r="V503" s="166"/>
      <c r="W503" s="166"/>
      <c r="X503" s="166"/>
      <c r="Y503" s="166"/>
      <c r="Z503" s="166"/>
      <c r="AA503" s="166"/>
      <c r="AB503" s="166"/>
      <c r="AC503" s="166"/>
      <c r="AD503" s="166"/>
      <c r="AE503" s="166"/>
      <c r="AF503" s="166"/>
      <c r="AG503" s="166"/>
      <c r="AH503" s="166"/>
      <c r="AI503" s="166"/>
    </row>
    <row r="504" spans="7:35" x14ac:dyDescent="0.25">
      <c r="G504" s="165"/>
      <c r="H504" s="166"/>
      <c r="I504" s="167"/>
      <c r="J504" s="167"/>
      <c r="K504" s="166"/>
      <c r="L504" s="166"/>
      <c r="M504" s="166"/>
      <c r="N504" s="166"/>
      <c r="O504" s="166"/>
      <c r="P504" s="166"/>
      <c r="Q504" s="166"/>
      <c r="R504" s="166"/>
      <c r="S504" s="166"/>
      <c r="T504" s="166"/>
      <c r="U504" s="166"/>
      <c r="V504" s="166"/>
      <c r="W504" s="166"/>
      <c r="X504" s="166"/>
      <c r="Y504" s="166"/>
      <c r="Z504" s="166"/>
      <c r="AA504" s="166"/>
      <c r="AB504" s="166"/>
      <c r="AC504" s="166"/>
      <c r="AD504" s="166"/>
      <c r="AE504" s="166"/>
      <c r="AF504" s="166"/>
      <c r="AG504" s="166"/>
      <c r="AH504" s="166"/>
      <c r="AI504" s="166"/>
    </row>
    <row r="505" spans="7:35" x14ac:dyDescent="0.25">
      <c r="G505" s="165"/>
      <c r="H505" s="166"/>
      <c r="I505" s="167"/>
      <c r="J505" s="167"/>
      <c r="K505" s="166"/>
      <c r="L505" s="166"/>
      <c r="M505" s="166"/>
      <c r="N505" s="166"/>
      <c r="O505" s="166"/>
      <c r="P505" s="166"/>
      <c r="Q505" s="166"/>
      <c r="R505" s="166"/>
      <c r="S505" s="166"/>
      <c r="T505" s="166"/>
      <c r="U505" s="166"/>
      <c r="V505" s="166"/>
      <c r="W505" s="166"/>
      <c r="X505" s="166"/>
      <c r="Y505" s="166"/>
      <c r="Z505" s="166"/>
      <c r="AA505" s="166"/>
      <c r="AB505" s="166"/>
      <c r="AC505" s="166"/>
      <c r="AD505" s="166"/>
      <c r="AE505" s="166"/>
      <c r="AF505" s="166"/>
      <c r="AG505" s="166"/>
      <c r="AH505" s="166"/>
      <c r="AI505" s="166"/>
    </row>
    <row r="506" spans="7:35" x14ac:dyDescent="0.25">
      <c r="G506" s="165"/>
      <c r="H506" s="166"/>
      <c r="I506" s="167"/>
      <c r="J506" s="167"/>
      <c r="K506" s="166"/>
      <c r="L506" s="166"/>
      <c r="M506" s="166"/>
      <c r="N506" s="166"/>
      <c r="O506" s="166"/>
      <c r="P506" s="166"/>
      <c r="Q506" s="166"/>
      <c r="R506" s="166"/>
      <c r="S506" s="166"/>
      <c r="T506" s="166"/>
      <c r="U506" s="166"/>
      <c r="V506" s="166"/>
      <c r="W506" s="166"/>
      <c r="X506" s="166"/>
      <c r="Y506" s="166"/>
      <c r="Z506" s="166"/>
      <c r="AA506" s="166"/>
      <c r="AB506" s="166"/>
      <c r="AC506" s="166"/>
      <c r="AD506" s="166"/>
      <c r="AE506" s="166"/>
      <c r="AF506" s="166"/>
      <c r="AG506" s="166"/>
      <c r="AH506" s="166"/>
      <c r="AI506" s="166"/>
    </row>
    <row r="507" spans="7:35" x14ac:dyDescent="0.25">
      <c r="G507" s="165"/>
      <c r="H507" s="166"/>
      <c r="I507" s="167"/>
      <c r="J507" s="167"/>
      <c r="K507" s="166"/>
      <c r="L507" s="166"/>
      <c r="M507" s="166"/>
      <c r="N507" s="166"/>
      <c r="O507" s="166"/>
      <c r="P507" s="166"/>
      <c r="Q507" s="166"/>
      <c r="R507" s="166"/>
      <c r="S507" s="166"/>
      <c r="T507" s="166"/>
      <c r="U507" s="166"/>
      <c r="V507" s="166"/>
      <c r="W507" s="166"/>
      <c r="X507" s="166"/>
      <c r="Y507" s="166"/>
      <c r="Z507" s="166"/>
      <c r="AA507" s="166"/>
      <c r="AB507" s="166"/>
      <c r="AC507" s="166"/>
      <c r="AD507" s="166"/>
      <c r="AE507" s="166"/>
      <c r="AF507" s="166"/>
      <c r="AG507" s="166"/>
      <c r="AH507" s="166"/>
      <c r="AI507" s="166"/>
    </row>
    <row r="508" spans="7:35" x14ac:dyDescent="0.25">
      <c r="G508" s="165"/>
      <c r="H508" s="166"/>
      <c r="I508" s="167"/>
      <c r="J508" s="167"/>
      <c r="K508" s="166"/>
      <c r="L508" s="166"/>
      <c r="M508" s="166"/>
      <c r="N508" s="166"/>
      <c r="O508" s="166"/>
      <c r="P508" s="166"/>
      <c r="Q508" s="166"/>
      <c r="R508" s="166"/>
      <c r="S508" s="166"/>
      <c r="T508" s="166"/>
      <c r="U508" s="166"/>
      <c r="V508" s="166"/>
      <c r="W508" s="166"/>
      <c r="X508" s="166"/>
      <c r="Y508" s="166"/>
      <c r="Z508" s="166"/>
      <c r="AA508" s="166"/>
      <c r="AB508" s="166"/>
      <c r="AC508" s="166"/>
      <c r="AD508" s="166"/>
      <c r="AE508" s="166"/>
      <c r="AF508" s="166"/>
      <c r="AG508" s="166"/>
      <c r="AH508" s="166"/>
      <c r="AI508" s="166"/>
    </row>
    <row r="509" spans="7:35" x14ac:dyDescent="0.25">
      <c r="G509" s="165"/>
      <c r="H509" s="166"/>
      <c r="I509" s="167"/>
      <c r="J509" s="167"/>
      <c r="K509" s="166"/>
      <c r="L509" s="166"/>
      <c r="M509" s="166"/>
      <c r="N509" s="166"/>
      <c r="O509" s="166"/>
      <c r="P509" s="166"/>
      <c r="Q509" s="166"/>
      <c r="R509" s="166"/>
      <c r="S509" s="166"/>
      <c r="T509" s="166"/>
      <c r="U509" s="166"/>
      <c r="V509" s="166"/>
      <c r="W509" s="166"/>
      <c r="X509" s="166"/>
      <c r="Y509" s="166"/>
      <c r="Z509" s="166"/>
      <c r="AA509" s="166"/>
      <c r="AB509" s="166"/>
      <c r="AC509" s="166"/>
      <c r="AD509" s="166"/>
      <c r="AE509" s="166"/>
      <c r="AF509" s="166"/>
      <c r="AG509" s="166"/>
      <c r="AH509" s="166"/>
      <c r="AI509" s="166"/>
    </row>
    <row r="510" spans="7:35" x14ac:dyDescent="0.25">
      <c r="G510" s="165"/>
      <c r="H510" s="166"/>
      <c r="I510" s="167"/>
      <c r="J510" s="167"/>
      <c r="K510" s="166"/>
      <c r="L510" s="166"/>
      <c r="M510" s="166"/>
      <c r="N510" s="166"/>
      <c r="O510" s="166"/>
      <c r="P510" s="166"/>
      <c r="Q510" s="166"/>
      <c r="R510" s="166"/>
      <c r="S510" s="166"/>
      <c r="T510" s="166"/>
      <c r="U510" s="166"/>
      <c r="V510" s="166"/>
      <c r="W510" s="166"/>
      <c r="X510" s="166"/>
      <c r="Y510" s="166"/>
      <c r="Z510" s="166"/>
      <c r="AA510" s="166"/>
      <c r="AB510" s="166"/>
      <c r="AC510" s="166"/>
      <c r="AD510" s="166"/>
      <c r="AE510" s="166"/>
      <c r="AF510" s="166"/>
      <c r="AG510" s="166"/>
      <c r="AH510" s="166"/>
      <c r="AI510" s="166"/>
    </row>
    <row r="511" spans="7:35" x14ac:dyDescent="0.25">
      <c r="G511" s="165"/>
      <c r="H511" s="166"/>
      <c r="I511" s="167"/>
      <c r="J511" s="167"/>
      <c r="K511" s="166"/>
      <c r="L511" s="166"/>
      <c r="M511" s="166"/>
      <c r="N511" s="166"/>
      <c r="O511" s="166"/>
      <c r="P511" s="166"/>
      <c r="Q511" s="166"/>
      <c r="R511" s="166"/>
      <c r="S511" s="166"/>
      <c r="T511" s="166"/>
      <c r="U511" s="166"/>
      <c r="V511" s="166"/>
      <c r="W511" s="166"/>
      <c r="X511" s="166"/>
      <c r="Y511" s="166"/>
      <c r="Z511" s="166"/>
      <c r="AA511" s="166"/>
      <c r="AB511" s="166"/>
      <c r="AC511" s="166"/>
      <c r="AD511" s="166"/>
      <c r="AE511" s="166"/>
      <c r="AF511" s="166"/>
      <c r="AG511" s="166"/>
      <c r="AH511" s="166"/>
      <c r="AI511" s="166"/>
    </row>
    <row r="512" spans="7:35" x14ac:dyDescent="0.25">
      <c r="G512" s="165"/>
      <c r="H512" s="166"/>
      <c r="I512" s="167"/>
      <c r="J512" s="167"/>
      <c r="K512" s="166"/>
      <c r="L512" s="166"/>
      <c r="M512" s="166"/>
      <c r="N512" s="166"/>
      <c r="O512" s="166"/>
      <c r="P512" s="166"/>
      <c r="Q512" s="166"/>
      <c r="R512" s="166"/>
      <c r="S512" s="166"/>
      <c r="T512" s="166"/>
      <c r="U512" s="166"/>
      <c r="V512" s="166"/>
      <c r="W512" s="166"/>
      <c r="X512" s="166"/>
      <c r="Y512" s="166"/>
      <c r="Z512" s="166"/>
      <c r="AA512" s="166"/>
      <c r="AB512" s="166"/>
      <c r="AC512" s="166"/>
      <c r="AD512" s="166"/>
      <c r="AE512" s="166"/>
      <c r="AF512" s="166"/>
      <c r="AG512" s="166"/>
      <c r="AH512" s="166"/>
      <c r="AI512" s="166"/>
    </row>
    <row r="513" spans="7:35" x14ac:dyDescent="0.25">
      <c r="G513" s="165"/>
      <c r="H513" s="166"/>
      <c r="I513" s="167"/>
      <c r="J513" s="167"/>
      <c r="K513" s="166"/>
      <c r="L513" s="166"/>
      <c r="M513" s="166"/>
      <c r="N513" s="166"/>
      <c r="O513" s="166"/>
      <c r="P513" s="166"/>
      <c r="Q513" s="166"/>
      <c r="R513" s="166"/>
      <c r="S513" s="166"/>
      <c r="T513" s="166"/>
      <c r="U513" s="166"/>
      <c r="V513" s="166"/>
      <c r="W513" s="166"/>
      <c r="X513" s="166"/>
      <c r="Y513" s="166"/>
      <c r="Z513" s="166"/>
      <c r="AA513" s="166"/>
      <c r="AB513" s="166"/>
      <c r="AC513" s="166"/>
      <c r="AD513" s="166"/>
      <c r="AE513" s="166"/>
      <c r="AF513" s="166"/>
      <c r="AG513" s="166"/>
      <c r="AH513" s="166"/>
      <c r="AI513" s="166"/>
    </row>
    <row r="514" spans="7:35" x14ac:dyDescent="0.25">
      <c r="G514" s="165"/>
      <c r="H514" s="166"/>
      <c r="I514" s="167"/>
      <c r="J514" s="167"/>
      <c r="K514" s="166"/>
      <c r="L514" s="166"/>
      <c r="M514" s="166"/>
      <c r="N514" s="166"/>
      <c r="O514" s="166"/>
      <c r="P514" s="166"/>
      <c r="Q514" s="166"/>
      <c r="R514" s="166"/>
      <c r="S514" s="166"/>
      <c r="T514" s="166"/>
      <c r="U514" s="166"/>
      <c r="V514" s="166"/>
      <c r="W514" s="166"/>
      <c r="X514" s="166"/>
      <c r="Y514" s="166"/>
      <c r="Z514" s="166"/>
      <c r="AA514" s="166"/>
      <c r="AB514" s="166"/>
      <c r="AC514" s="166"/>
      <c r="AD514" s="166"/>
      <c r="AE514" s="166"/>
      <c r="AF514" s="166"/>
      <c r="AG514" s="166"/>
      <c r="AH514" s="166"/>
      <c r="AI514" s="166"/>
    </row>
    <row r="515" spans="7:35" x14ac:dyDescent="0.25">
      <c r="G515" s="165"/>
      <c r="H515" s="166"/>
      <c r="I515" s="167"/>
      <c r="J515" s="167"/>
      <c r="K515" s="166"/>
      <c r="L515" s="166"/>
      <c r="M515" s="166"/>
      <c r="N515" s="166"/>
      <c r="O515" s="166"/>
      <c r="P515" s="166"/>
      <c r="Q515" s="166"/>
      <c r="R515" s="166"/>
      <c r="S515" s="166"/>
      <c r="T515" s="166"/>
      <c r="U515" s="166"/>
      <c r="V515" s="166"/>
      <c r="W515" s="166"/>
      <c r="X515" s="166"/>
      <c r="Y515" s="166"/>
      <c r="Z515" s="166"/>
      <c r="AA515" s="166"/>
      <c r="AB515" s="166"/>
      <c r="AC515" s="166"/>
      <c r="AD515" s="166"/>
      <c r="AE515" s="166"/>
      <c r="AF515" s="166"/>
      <c r="AG515" s="166"/>
      <c r="AH515" s="166"/>
      <c r="AI515" s="166"/>
    </row>
    <row r="516" spans="7:35" x14ac:dyDescent="0.25">
      <c r="G516" s="165"/>
      <c r="H516" s="166"/>
      <c r="I516" s="167"/>
      <c r="J516" s="167"/>
      <c r="K516" s="166"/>
      <c r="L516" s="166"/>
      <c r="M516" s="166"/>
      <c r="N516" s="166"/>
      <c r="O516" s="166"/>
      <c r="P516" s="166"/>
      <c r="Q516" s="166"/>
      <c r="R516" s="166"/>
      <c r="S516" s="166"/>
      <c r="T516" s="166"/>
      <c r="U516" s="166"/>
      <c r="V516" s="166"/>
      <c r="W516" s="166"/>
      <c r="X516" s="166"/>
      <c r="Y516" s="166"/>
      <c r="Z516" s="166"/>
      <c r="AA516" s="166"/>
      <c r="AB516" s="166"/>
      <c r="AC516" s="166"/>
      <c r="AD516" s="166"/>
      <c r="AE516" s="166"/>
      <c r="AF516" s="166"/>
      <c r="AG516" s="166"/>
      <c r="AH516" s="166"/>
      <c r="AI516" s="166"/>
    </row>
    <row r="517" spans="7:35" x14ac:dyDescent="0.25">
      <c r="G517" s="165"/>
      <c r="H517" s="166"/>
      <c r="I517" s="167"/>
      <c r="J517" s="167"/>
      <c r="K517" s="166"/>
      <c r="L517" s="166"/>
      <c r="M517" s="166"/>
      <c r="N517" s="166"/>
      <c r="O517" s="166"/>
      <c r="P517" s="166"/>
      <c r="Q517" s="166"/>
      <c r="R517" s="166"/>
      <c r="S517" s="166"/>
      <c r="T517" s="166"/>
      <c r="U517" s="166"/>
      <c r="V517" s="166"/>
      <c r="W517" s="166"/>
      <c r="X517" s="166"/>
      <c r="Y517" s="166"/>
      <c r="Z517" s="166"/>
      <c r="AA517" s="166"/>
      <c r="AB517" s="166"/>
      <c r="AC517" s="166"/>
      <c r="AD517" s="166"/>
      <c r="AE517" s="166"/>
      <c r="AF517" s="166"/>
      <c r="AG517" s="166"/>
      <c r="AH517" s="166"/>
      <c r="AI517" s="166"/>
    </row>
    <row r="518" spans="7:35" x14ac:dyDescent="0.25">
      <c r="G518" s="165"/>
      <c r="H518" s="166"/>
      <c r="I518" s="167"/>
      <c r="J518" s="167"/>
      <c r="K518" s="166"/>
      <c r="L518" s="166"/>
      <c r="M518" s="166"/>
      <c r="N518" s="166"/>
      <c r="O518" s="166"/>
      <c r="P518" s="166"/>
      <c r="Q518" s="166"/>
      <c r="R518" s="166"/>
      <c r="S518" s="166"/>
      <c r="T518" s="166"/>
      <c r="U518" s="166"/>
      <c r="V518" s="166"/>
      <c r="W518" s="166"/>
      <c r="X518" s="166"/>
      <c r="Y518" s="166"/>
      <c r="Z518" s="166"/>
      <c r="AA518" s="166"/>
      <c r="AB518" s="166"/>
      <c r="AC518" s="166"/>
      <c r="AD518" s="166"/>
      <c r="AE518" s="166"/>
      <c r="AF518" s="166"/>
      <c r="AG518" s="166"/>
      <c r="AH518" s="166"/>
      <c r="AI518" s="166"/>
    </row>
    <row r="519" spans="7:35" x14ac:dyDescent="0.25">
      <c r="G519" s="165"/>
      <c r="H519" s="166"/>
      <c r="I519" s="167"/>
      <c r="J519" s="167"/>
      <c r="K519" s="166"/>
      <c r="L519" s="166"/>
      <c r="M519" s="166"/>
      <c r="N519" s="166"/>
      <c r="O519" s="166"/>
      <c r="P519" s="166"/>
      <c r="Q519" s="166"/>
      <c r="R519" s="166"/>
      <c r="S519" s="166"/>
      <c r="T519" s="166"/>
      <c r="U519" s="166"/>
      <c r="V519" s="166"/>
      <c r="W519" s="166"/>
      <c r="X519" s="166"/>
      <c r="Y519" s="166"/>
      <c r="Z519" s="166"/>
      <c r="AA519" s="166"/>
      <c r="AB519" s="166"/>
      <c r="AC519" s="166"/>
      <c r="AD519" s="166"/>
      <c r="AE519" s="166"/>
      <c r="AF519" s="166"/>
      <c r="AG519" s="166"/>
      <c r="AH519" s="166"/>
      <c r="AI519" s="166"/>
    </row>
    <row r="520" spans="7:35" x14ac:dyDescent="0.25">
      <c r="G520" s="165"/>
      <c r="H520" s="166"/>
      <c r="I520" s="167"/>
      <c r="J520" s="167"/>
      <c r="K520" s="166"/>
      <c r="L520" s="166"/>
      <c r="M520" s="166"/>
      <c r="N520" s="166"/>
      <c r="O520" s="166"/>
      <c r="P520" s="166"/>
      <c r="Q520" s="166"/>
      <c r="R520" s="166"/>
      <c r="S520" s="166"/>
      <c r="T520" s="166"/>
      <c r="U520" s="166"/>
      <c r="V520" s="166"/>
      <c r="W520" s="166"/>
      <c r="X520" s="166"/>
      <c r="Y520" s="166"/>
      <c r="Z520" s="166"/>
      <c r="AA520" s="166"/>
      <c r="AB520" s="166"/>
      <c r="AC520" s="166"/>
      <c r="AD520" s="166"/>
      <c r="AE520" s="166"/>
      <c r="AF520" s="166"/>
      <c r="AG520" s="166"/>
      <c r="AH520" s="166"/>
      <c r="AI520" s="166"/>
    </row>
    <row r="521" spans="7:35" x14ac:dyDescent="0.25">
      <c r="G521" s="165"/>
      <c r="H521" s="166"/>
      <c r="I521" s="167"/>
      <c r="J521" s="167"/>
      <c r="K521" s="166"/>
      <c r="L521" s="166"/>
      <c r="M521" s="166"/>
      <c r="N521" s="166"/>
      <c r="O521" s="166"/>
      <c r="P521" s="166"/>
      <c r="Q521" s="166"/>
      <c r="R521" s="166"/>
      <c r="S521" s="166"/>
      <c r="T521" s="166"/>
      <c r="U521" s="166"/>
      <c r="V521" s="166"/>
      <c r="W521" s="166"/>
      <c r="X521" s="166"/>
      <c r="Y521" s="166"/>
      <c r="Z521" s="166"/>
      <c r="AA521" s="166"/>
      <c r="AB521" s="166"/>
      <c r="AC521" s="166"/>
      <c r="AD521" s="166"/>
      <c r="AE521" s="166"/>
      <c r="AF521" s="166"/>
      <c r="AG521" s="166"/>
      <c r="AH521" s="166"/>
      <c r="AI521" s="166"/>
    </row>
    <row r="522" spans="7:35" x14ac:dyDescent="0.25">
      <c r="G522" s="165"/>
      <c r="H522" s="166"/>
      <c r="I522" s="167"/>
      <c r="J522" s="167"/>
      <c r="K522" s="166"/>
      <c r="L522" s="166"/>
      <c r="M522" s="166"/>
      <c r="N522" s="166"/>
      <c r="O522" s="166"/>
      <c r="P522" s="166"/>
      <c r="Q522" s="166"/>
      <c r="R522" s="166"/>
      <c r="S522" s="166"/>
      <c r="T522" s="166"/>
      <c r="U522" s="166"/>
      <c r="V522" s="166"/>
      <c r="W522" s="166"/>
      <c r="X522" s="166"/>
      <c r="Y522" s="166"/>
      <c r="Z522" s="166"/>
      <c r="AA522" s="166"/>
      <c r="AB522" s="166"/>
      <c r="AC522" s="166"/>
      <c r="AD522" s="166"/>
      <c r="AE522" s="166"/>
      <c r="AF522" s="166"/>
      <c r="AG522" s="166"/>
      <c r="AH522" s="166"/>
      <c r="AI522" s="166"/>
    </row>
    <row r="523" spans="7:35" x14ac:dyDescent="0.25">
      <c r="G523" s="165"/>
      <c r="H523" s="166"/>
      <c r="I523" s="167"/>
      <c r="J523" s="167"/>
      <c r="K523" s="166"/>
      <c r="L523" s="166"/>
      <c r="M523" s="166"/>
      <c r="N523" s="166"/>
      <c r="O523" s="166"/>
      <c r="P523" s="166"/>
      <c r="Q523" s="166"/>
      <c r="R523" s="166"/>
      <c r="S523" s="166"/>
      <c r="T523" s="166"/>
      <c r="U523" s="166"/>
      <c r="V523" s="166"/>
      <c r="W523" s="166"/>
      <c r="X523" s="166"/>
      <c r="Y523" s="166"/>
      <c r="Z523" s="166"/>
      <c r="AA523" s="166"/>
      <c r="AB523" s="166"/>
      <c r="AC523" s="166"/>
      <c r="AD523" s="166"/>
      <c r="AE523" s="166"/>
      <c r="AF523" s="166"/>
      <c r="AG523" s="166"/>
      <c r="AH523" s="166"/>
      <c r="AI523" s="166"/>
    </row>
    <row r="524" spans="7:35" x14ac:dyDescent="0.25">
      <c r="G524" s="165"/>
      <c r="H524" s="166"/>
      <c r="I524" s="167"/>
      <c r="J524" s="167"/>
      <c r="K524" s="166"/>
      <c r="L524" s="166"/>
      <c r="M524" s="166"/>
      <c r="N524" s="166"/>
      <c r="O524" s="166"/>
      <c r="P524" s="166"/>
      <c r="Q524" s="166"/>
      <c r="R524" s="166"/>
      <c r="S524" s="166"/>
      <c r="T524" s="166"/>
      <c r="U524" s="166"/>
      <c r="V524" s="166"/>
      <c r="W524" s="166"/>
      <c r="X524" s="166"/>
      <c r="Y524" s="166"/>
      <c r="Z524" s="166"/>
      <c r="AA524" s="166"/>
      <c r="AB524" s="166"/>
      <c r="AC524" s="166"/>
      <c r="AD524" s="166"/>
      <c r="AE524" s="166"/>
      <c r="AF524" s="166"/>
      <c r="AG524" s="166"/>
      <c r="AH524" s="166"/>
      <c r="AI524" s="166"/>
    </row>
    <row r="525" spans="7:35" x14ac:dyDescent="0.25">
      <c r="G525" s="165"/>
      <c r="H525" s="166"/>
      <c r="I525" s="167"/>
      <c r="J525" s="167"/>
      <c r="K525" s="166"/>
      <c r="L525" s="166"/>
      <c r="M525" s="166"/>
      <c r="N525" s="166"/>
      <c r="O525" s="166"/>
      <c r="P525" s="166"/>
      <c r="Q525" s="166"/>
      <c r="R525" s="166"/>
      <c r="S525" s="166"/>
      <c r="T525" s="166"/>
      <c r="U525" s="166"/>
      <c r="V525" s="166"/>
      <c r="W525" s="166"/>
      <c r="X525" s="166"/>
      <c r="Y525" s="166"/>
      <c r="Z525" s="166"/>
      <c r="AA525" s="166"/>
      <c r="AB525" s="166"/>
      <c r="AC525" s="166"/>
      <c r="AD525" s="166"/>
      <c r="AE525" s="166"/>
      <c r="AF525" s="166"/>
      <c r="AG525" s="166"/>
      <c r="AH525" s="166"/>
      <c r="AI525" s="166"/>
    </row>
    <row r="526" spans="7:35" x14ac:dyDescent="0.25">
      <c r="G526" s="165"/>
      <c r="H526" s="166"/>
      <c r="I526" s="167"/>
      <c r="J526" s="167"/>
      <c r="K526" s="166"/>
      <c r="L526" s="166"/>
      <c r="M526" s="166"/>
      <c r="N526" s="166"/>
      <c r="O526" s="166"/>
      <c r="P526" s="166"/>
      <c r="Q526" s="166"/>
      <c r="R526" s="166"/>
      <c r="S526" s="166"/>
      <c r="T526" s="166"/>
      <c r="U526" s="166"/>
      <c r="V526" s="166"/>
      <c r="W526" s="166"/>
      <c r="X526" s="166"/>
      <c r="Y526" s="166"/>
      <c r="Z526" s="166"/>
      <c r="AA526" s="166"/>
      <c r="AB526" s="166"/>
      <c r="AC526" s="166"/>
      <c r="AD526" s="166"/>
      <c r="AE526" s="166"/>
      <c r="AF526" s="166"/>
      <c r="AG526" s="166"/>
      <c r="AH526" s="166"/>
      <c r="AI526" s="166"/>
    </row>
    <row r="527" spans="7:35" x14ac:dyDescent="0.25">
      <c r="G527" s="165"/>
      <c r="H527" s="166"/>
      <c r="I527" s="167"/>
      <c r="J527" s="167"/>
      <c r="K527" s="166"/>
      <c r="L527" s="166"/>
      <c r="M527" s="166"/>
      <c r="N527" s="166"/>
      <c r="O527" s="166"/>
      <c r="P527" s="166"/>
      <c r="Q527" s="166"/>
      <c r="R527" s="166"/>
      <c r="S527" s="166"/>
      <c r="T527" s="166"/>
      <c r="U527" s="166"/>
      <c r="V527" s="166"/>
      <c r="W527" s="166"/>
      <c r="X527" s="166"/>
      <c r="Y527" s="166"/>
      <c r="Z527" s="166"/>
      <c r="AA527" s="166"/>
      <c r="AB527" s="166"/>
      <c r="AC527" s="166"/>
      <c r="AD527" s="166"/>
      <c r="AE527" s="166"/>
      <c r="AF527" s="166"/>
      <c r="AG527" s="166"/>
      <c r="AH527" s="166"/>
      <c r="AI527" s="166"/>
    </row>
    <row r="528" spans="7:35" x14ac:dyDescent="0.25">
      <c r="G528" s="165"/>
      <c r="H528" s="166"/>
      <c r="I528" s="167"/>
      <c r="J528" s="167"/>
      <c r="K528" s="166"/>
      <c r="L528" s="166"/>
      <c r="M528" s="166"/>
      <c r="N528" s="166"/>
      <c r="O528" s="166"/>
      <c r="P528" s="166"/>
      <c r="Q528" s="166"/>
      <c r="R528" s="166"/>
      <c r="S528" s="166"/>
      <c r="T528" s="166"/>
      <c r="U528" s="166"/>
      <c r="V528" s="166"/>
      <c r="W528" s="166"/>
      <c r="X528" s="166"/>
      <c r="Y528" s="166"/>
      <c r="Z528" s="166"/>
      <c r="AA528" s="166"/>
      <c r="AB528" s="166"/>
      <c r="AC528" s="166"/>
      <c r="AD528" s="166"/>
      <c r="AE528" s="166"/>
      <c r="AF528" s="166"/>
      <c r="AG528" s="166"/>
      <c r="AH528" s="166"/>
      <c r="AI528" s="166"/>
    </row>
    <row r="529" spans="7:35" x14ac:dyDescent="0.25">
      <c r="G529" s="165"/>
      <c r="H529" s="166"/>
      <c r="I529" s="167"/>
      <c r="J529" s="167"/>
      <c r="K529" s="166"/>
      <c r="L529" s="166"/>
      <c r="M529" s="166"/>
      <c r="N529" s="166"/>
      <c r="O529" s="166"/>
      <c r="P529" s="166"/>
      <c r="Q529" s="166"/>
      <c r="R529" s="166"/>
      <c r="S529" s="166"/>
      <c r="T529" s="166"/>
      <c r="U529" s="166"/>
      <c r="V529" s="166"/>
      <c r="W529" s="166"/>
      <c r="X529" s="166"/>
      <c r="Y529" s="166"/>
      <c r="Z529" s="166"/>
      <c r="AA529" s="166"/>
      <c r="AB529" s="166"/>
      <c r="AC529" s="166"/>
      <c r="AD529" s="166"/>
      <c r="AE529" s="166"/>
      <c r="AF529" s="166"/>
      <c r="AG529" s="166"/>
      <c r="AH529" s="166"/>
      <c r="AI529" s="166"/>
    </row>
    <row r="530" spans="7:35" x14ac:dyDescent="0.25">
      <c r="G530" s="165"/>
      <c r="H530" s="166"/>
      <c r="I530" s="167"/>
      <c r="J530" s="167"/>
      <c r="K530" s="166"/>
      <c r="L530" s="166"/>
      <c r="M530" s="166"/>
      <c r="N530" s="166"/>
      <c r="O530" s="166"/>
      <c r="P530" s="166"/>
      <c r="Q530" s="166"/>
      <c r="R530" s="166"/>
      <c r="S530" s="166"/>
      <c r="T530" s="166"/>
      <c r="U530" s="166"/>
      <c r="V530" s="166"/>
      <c r="W530" s="166"/>
      <c r="X530" s="166"/>
      <c r="Y530" s="166"/>
      <c r="Z530" s="166"/>
      <c r="AA530" s="166"/>
      <c r="AB530" s="166"/>
      <c r="AC530" s="166"/>
      <c r="AD530" s="166"/>
      <c r="AE530" s="166"/>
      <c r="AF530" s="166"/>
      <c r="AG530" s="166"/>
      <c r="AH530" s="166"/>
      <c r="AI530" s="166"/>
    </row>
    <row r="531" spans="7:35" x14ac:dyDescent="0.25">
      <c r="G531" s="165"/>
      <c r="H531" s="166"/>
      <c r="I531" s="167"/>
      <c r="J531" s="167"/>
      <c r="K531" s="166"/>
      <c r="L531" s="166"/>
      <c r="M531" s="166"/>
      <c r="N531" s="166"/>
      <c r="O531" s="166"/>
      <c r="P531" s="166"/>
      <c r="Q531" s="166"/>
      <c r="R531" s="166"/>
      <c r="S531" s="166"/>
      <c r="T531" s="166"/>
      <c r="U531" s="166"/>
      <c r="V531" s="166"/>
      <c r="W531" s="166"/>
      <c r="X531" s="166"/>
      <c r="Y531" s="166"/>
      <c r="Z531" s="166"/>
      <c r="AA531" s="166"/>
      <c r="AB531" s="166"/>
      <c r="AC531" s="166"/>
      <c r="AD531" s="166"/>
      <c r="AE531" s="166"/>
      <c r="AF531" s="166"/>
      <c r="AG531" s="166"/>
      <c r="AH531" s="166"/>
      <c r="AI531" s="166"/>
    </row>
    <row r="532" spans="7:35" x14ac:dyDescent="0.25">
      <c r="G532" s="165"/>
      <c r="H532" s="166"/>
      <c r="I532" s="167"/>
      <c r="J532" s="167"/>
      <c r="K532" s="166"/>
      <c r="L532" s="166"/>
      <c r="M532" s="166"/>
      <c r="N532" s="166"/>
      <c r="O532" s="166"/>
      <c r="P532" s="166"/>
      <c r="Q532" s="166"/>
      <c r="R532" s="166"/>
      <c r="S532" s="166"/>
      <c r="T532" s="166"/>
      <c r="U532" s="166"/>
      <c r="V532" s="166"/>
      <c r="W532" s="166"/>
      <c r="X532" s="166"/>
      <c r="Y532" s="166"/>
      <c r="Z532" s="166"/>
      <c r="AA532" s="166"/>
      <c r="AB532" s="166"/>
      <c r="AC532" s="166"/>
      <c r="AD532" s="166"/>
      <c r="AE532" s="166"/>
      <c r="AF532" s="166"/>
      <c r="AG532" s="166"/>
      <c r="AH532" s="166"/>
      <c r="AI532" s="166"/>
    </row>
    <row r="533" spans="7:35" x14ac:dyDescent="0.25">
      <c r="G533" s="165"/>
      <c r="H533" s="166"/>
      <c r="I533" s="167"/>
      <c r="J533" s="167"/>
      <c r="K533" s="166"/>
      <c r="L533" s="166"/>
      <c r="M533" s="166"/>
      <c r="N533" s="166"/>
      <c r="O533" s="166"/>
      <c r="P533" s="166"/>
      <c r="Q533" s="166"/>
      <c r="R533" s="166"/>
      <c r="S533" s="166"/>
      <c r="T533" s="166"/>
      <c r="U533" s="166"/>
      <c r="V533" s="166"/>
      <c r="W533" s="166"/>
      <c r="X533" s="166"/>
      <c r="Y533" s="166"/>
      <c r="Z533" s="166"/>
      <c r="AA533" s="166"/>
      <c r="AB533" s="166"/>
      <c r="AC533" s="166"/>
      <c r="AD533" s="166"/>
      <c r="AE533" s="166"/>
      <c r="AF533" s="166"/>
      <c r="AG533" s="166"/>
      <c r="AH533" s="166"/>
      <c r="AI533" s="166"/>
    </row>
    <row r="534" spans="7:35" x14ac:dyDescent="0.25">
      <c r="G534" s="165"/>
      <c r="H534" s="166"/>
      <c r="I534" s="167"/>
      <c r="J534" s="167"/>
      <c r="K534" s="166"/>
      <c r="L534" s="166"/>
      <c r="M534" s="166"/>
      <c r="N534" s="166"/>
      <c r="O534" s="166"/>
      <c r="P534" s="166"/>
      <c r="Q534" s="166"/>
      <c r="R534" s="166"/>
      <c r="S534" s="166"/>
      <c r="T534" s="166"/>
      <c r="U534" s="166"/>
      <c r="V534" s="166"/>
      <c r="W534" s="166"/>
      <c r="X534" s="166"/>
      <c r="Y534" s="166"/>
      <c r="Z534" s="166"/>
      <c r="AA534" s="166"/>
      <c r="AB534" s="166"/>
      <c r="AC534" s="166"/>
      <c r="AD534" s="166"/>
      <c r="AE534" s="166"/>
      <c r="AF534" s="166"/>
      <c r="AG534" s="166"/>
      <c r="AH534" s="166"/>
      <c r="AI534" s="166"/>
    </row>
    <row r="535" spans="7:35" x14ac:dyDescent="0.25">
      <c r="G535" s="165"/>
      <c r="H535" s="166"/>
      <c r="I535" s="167"/>
      <c r="J535" s="167"/>
      <c r="K535" s="166"/>
      <c r="L535" s="166"/>
      <c r="M535" s="166"/>
      <c r="N535" s="166"/>
      <c r="O535" s="166"/>
      <c r="P535" s="166"/>
      <c r="Q535" s="166"/>
      <c r="R535" s="166"/>
      <c r="S535" s="166"/>
      <c r="T535" s="166"/>
      <c r="U535" s="166"/>
      <c r="V535" s="166"/>
      <c r="W535" s="166"/>
      <c r="X535" s="166"/>
      <c r="Y535" s="166"/>
      <c r="Z535" s="166"/>
      <c r="AA535" s="166"/>
      <c r="AB535" s="166"/>
      <c r="AC535" s="166"/>
      <c r="AD535" s="166"/>
      <c r="AE535" s="166"/>
      <c r="AF535" s="166"/>
      <c r="AG535" s="166"/>
      <c r="AH535" s="166"/>
      <c r="AI535" s="166"/>
    </row>
    <row r="536" spans="7:35" x14ac:dyDescent="0.25">
      <c r="G536" s="165"/>
      <c r="H536" s="166"/>
      <c r="I536" s="167"/>
      <c r="J536" s="167"/>
      <c r="K536" s="166"/>
      <c r="L536" s="166"/>
      <c r="M536" s="166"/>
      <c r="N536" s="166"/>
      <c r="O536" s="166"/>
      <c r="P536" s="166"/>
      <c r="Q536" s="166"/>
      <c r="R536" s="166"/>
      <c r="S536" s="166"/>
      <c r="T536" s="166"/>
      <c r="U536" s="166"/>
      <c r="V536" s="166"/>
      <c r="W536" s="166"/>
      <c r="X536" s="166"/>
      <c r="Y536" s="166"/>
      <c r="Z536" s="166"/>
      <c r="AA536" s="166"/>
      <c r="AB536" s="166"/>
      <c r="AC536" s="166"/>
      <c r="AD536" s="166"/>
      <c r="AE536" s="166"/>
      <c r="AF536" s="166"/>
      <c r="AG536" s="166"/>
      <c r="AH536" s="166"/>
      <c r="AI536" s="166"/>
    </row>
    <row r="537" spans="7:35" x14ac:dyDescent="0.25">
      <c r="G537" s="165"/>
      <c r="H537" s="166"/>
      <c r="I537" s="167"/>
      <c r="J537" s="167"/>
      <c r="K537" s="166"/>
      <c r="L537" s="166"/>
      <c r="M537" s="166"/>
      <c r="N537" s="166"/>
      <c r="O537" s="166"/>
      <c r="P537" s="166"/>
      <c r="Q537" s="166"/>
      <c r="R537" s="166"/>
      <c r="S537" s="166"/>
      <c r="T537" s="166"/>
      <c r="U537" s="166"/>
      <c r="V537" s="166"/>
      <c r="W537" s="166"/>
      <c r="X537" s="166"/>
      <c r="Y537" s="166"/>
      <c r="Z537" s="166"/>
      <c r="AA537" s="166"/>
      <c r="AB537" s="166"/>
      <c r="AC537" s="166"/>
      <c r="AD537" s="166"/>
      <c r="AE537" s="166"/>
      <c r="AF537" s="166"/>
      <c r="AG537" s="166"/>
      <c r="AH537" s="166"/>
      <c r="AI537" s="166"/>
    </row>
    <row r="538" spans="7:35" x14ac:dyDescent="0.25">
      <c r="G538" s="165"/>
      <c r="H538" s="166"/>
      <c r="I538" s="167"/>
      <c r="J538" s="167"/>
      <c r="K538" s="166"/>
      <c r="L538" s="166"/>
      <c r="M538" s="166"/>
      <c r="N538" s="166"/>
      <c r="O538" s="166"/>
      <c r="P538" s="166"/>
      <c r="Q538" s="166"/>
      <c r="R538" s="166"/>
      <c r="S538" s="166"/>
      <c r="T538" s="166"/>
      <c r="U538" s="166"/>
      <c r="V538" s="166"/>
      <c r="W538" s="166"/>
      <c r="X538" s="166"/>
      <c r="Y538" s="166"/>
      <c r="Z538" s="166"/>
      <c r="AA538" s="166"/>
      <c r="AB538" s="166"/>
      <c r="AC538" s="166"/>
      <c r="AD538" s="166"/>
      <c r="AE538" s="166"/>
      <c r="AF538" s="166"/>
      <c r="AG538" s="166"/>
      <c r="AH538" s="166"/>
      <c r="AI538" s="166"/>
    </row>
    <row r="539" spans="7:35" x14ac:dyDescent="0.25">
      <c r="G539" s="165"/>
      <c r="H539" s="166"/>
      <c r="I539" s="167"/>
      <c r="J539" s="167"/>
      <c r="K539" s="166"/>
      <c r="L539" s="166"/>
      <c r="M539" s="166"/>
      <c r="N539" s="166"/>
      <c r="O539" s="166"/>
      <c r="P539" s="166"/>
      <c r="Q539" s="166"/>
      <c r="R539" s="166"/>
      <c r="S539" s="166"/>
      <c r="T539" s="166"/>
      <c r="U539" s="166"/>
      <c r="V539" s="166"/>
      <c r="W539" s="166"/>
      <c r="X539" s="166"/>
      <c r="Y539" s="166"/>
      <c r="Z539" s="166"/>
      <c r="AA539" s="166"/>
      <c r="AB539" s="166"/>
      <c r="AC539" s="166"/>
      <c r="AD539" s="166"/>
      <c r="AE539" s="166"/>
      <c r="AF539" s="166"/>
      <c r="AG539" s="166"/>
      <c r="AH539" s="166"/>
      <c r="AI539" s="166"/>
    </row>
    <row r="540" spans="7:35" x14ac:dyDescent="0.25">
      <c r="G540" s="165"/>
      <c r="H540" s="166"/>
      <c r="I540" s="167"/>
      <c r="J540" s="167"/>
      <c r="K540" s="166"/>
      <c r="L540" s="166"/>
      <c r="M540" s="166"/>
      <c r="N540" s="166"/>
      <c r="O540" s="166"/>
      <c r="P540" s="166"/>
      <c r="Q540" s="166"/>
      <c r="R540" s="166"/>
      <c r="S540" s="166"/>
      <c r="T540" s="166"/>
      <c r="U540" s="166"/>
      <c r="V540" s="166"/>
      <c r="W540" s="166"/>
      <c r="X540" s="166"/>
      <c r="Y540" s="166"/>
      <c r="Z540" s="166"/>
      <c r="AA540" s="166"/>
      <c r="AB540" s="166"/>
      <c r="AC540" s="166"/>
      <c r="AD540" s="166"/>
      <c r="AE540" s="166"/>
      <c r="AF540" s="166"/>
      <c r="AG540" s="166"/>
      <c r="AH540" s="166"/>
      <c r="AI540" s="166"/>
    </row>
    <row r="541" spans="7:35" x14ac:dyDescent="0.25">
      <c r="G541" s="165"/>
      <c r="H541" s="166"/>
      <c r="I541" s="167"/>
      <c r="J541" s="167"/>
      <c r="K541" s="166"/>
      <c r="L541" s="166"/>
      <c r="M541" s="166"/>
      <c r="N541" s="166"/>
      <c r="O541" s="166"/>
      <c r="P541" s="166"/>
      <c r="Q541" s="166"/>
      <c r="R541" s="166"/>
      <c r="S541" s="166"/>
      <c r="T541" s="166"/>
      <c r="U541" s="166"/>
      <c r="V541" s="166"/>
      <c r="W541" s="166"/>
      <c r="X541" s="166"/>
      <c r="Y541" s="166"/>
      <c r="Z541" s="166"/>
      <c r="AA541" s="166"/>
      <c r="AB541" s="166"/>
      <c r="AC541" s="166"/>
      <c r="AD541" s="166"/>
      <c r="AE541" s="166"/>
      <c r="AF541" s="166"/>
      <c r="AG541" s="166"/>
      <c r="AH541" s="166"/>
      <c r="AI541" s="166"/>
    </row>
    <row r="542" spans="7:35" x14ac:dyDescent="0.25">
      <c r="G542" s="165"/>
      <c r="H542" s="166"/>
      <c r="I542" s="167"/>
      <c r="J542" s="167"/>
      <c r="K542" s="166"/>
      <c r="L542" s="166"/>
      <c r="M542" s="166"/>
      <c r="N542" s="166"/>
      <c r="O542" s="166"/>
      <c r="P542" s="166"/>
      <c r="Q542" s="166"/>
      <c r="R542" s="166"/>
      <c r="S542" s="166"/>
      <c r="T542" s="166"/>
      <c r="U542" s="166"/>
      <c r="V542" s="166"/>
      <c r="W542" s="166"/>
      <c r="X542" s="166"/>
      <c r="Y542" s="166"/>
      <c r="Z542" s="166"/>
      <c r="AA542" s="166"/>
      <c r="AB542" s="166"/>
      <c r="AC542" s="166"/>
      <c r="AD542" s="166"/>
      <c r="AE542" s="166"/>
      <c r="AF542" s="166"/>
      <c r="AG542" s="166"/>
      <c r="AH542" s="166"/>
      <c r="AI542" s="166"/>
    </row>
    <row r="543" spans="7:35" x14ac:dyDescent="0.25">
      <c r="G543" s="165"/>
      <c r="H543" s="166"/>
      <c r="I543" s="167"/>
      <c r="J543" s="167"/>
      <c r="K543" s="166"/>
      <c r="L543" s="166"/>
      <c r="M543" s="166"/>
      <c r="N543" s="166"/>
      <c r="O543" s="166"/>
      <c r="P543" s="166"/>
      <c r="Q543" s="166"/>
      <c r="R543" s="166"/>
      <c r="S543" s="166"/>
      <c r="T543" s="166"/>
      <c r="U543" s="166"/>
      <c r="V543" s="166"/>
      <c r="W543" s="166"/>
      <c r="X543" s="166"/>
      <c r="Y543" s="166"/>
      <c r="Z543" s="166"/>
      <c r="AA543" s="166"/>
      <c r="AB543" s="166"/>
      <c r="AC543" s="166"/>
      <c r="AD543" s="166"/>
      <c r="AE543" s="166"/>
      <c r="AF543" s="166"/>
      <c r="AG543" s="166"/>
      <c r="AH543" s="166"/>
      <c r="AI543" s="166"/>
    </row>
    <row r="544" spans="7:35" x14ac:dyDescent="0.25">
      <c r="G544" s="165"/>
      <c r="H544" s="166"/>
      <c r="I544" s="167"/>
      <c r="J544" s="167"/>
      <c r="K544" s="166"/>
      <c r="L544" s="166"/>
      <c r="M544" s="166"/>
      <c r="N544" s="166"/>
      <c r="O544" s="166"/>
      <c r="P544" s="166"/>
      <c r="Q544" s="166"/>
      <c r="R544" s="166"/>
      <c r="S544" s="166"/>
      <c r="T544" s="166"/>
      <c r="U544" s="166"/>
      <c r="V544" s="166"/>
      <c r="W544" s="166"/>
      <c r="X544" s="166"/>
      <c r="Y544" s="166"/>
      <c r="Z544" s="166"/>
      <c r="AA544" s="166"/>
      <c r="AB544" s="166"/>
      <c r="AC544" s="166"/>
      <c r="AD544" s="166"/>
      <c r="AE544" s="166"/>
      <c r="AF544" s="166"/>
      <c r="AG544" s="166"/>
      <c r="AH544" s="166"/>
      <c r="AI544" s="166"/>
    </row>
    <row r="545" spans="7:35" x14ac:dyDescent="0.25">
      <c r="G545" s="165"/>
      <c r="H545" s="166"/>
      <c r="I545" s="167"/>
      <c r="J545" s="167"/>
      <c r="K545" s="166"/>
      <c r="L545" s="166"/>
      <c r="M545" s="166"/>
      <c r="N545" s="166"/>
      <c r="O545" s="166"/>
      <c r="P545" s="166"/>
      <c r="Q545" s="166"/>
      <c r="R545" s="166"/>
      <c r="S545" s="166"/>
      <c r="T545" s="166"/>
      <c r="U545" s="166"/>
      <c r="V545" s="166"/>
      <c r="W545" s="166"/>
      <c r="X545" s="166"/>
      <c r="Y545" s="166"/>
      <c r="Z545" s="166"/>
      <c r="AA545" s="166"/>
      <c r="AB545" s="166"/>
      <c r="AC545" s="166"/>
      <c r="AD545" s="166"/>
      <c r="AE545" s="166"/>
      <c r="AF545" s="166"/>
      <c r="AG545" s="166"/>
      <c r="AH545" s="166"/>
      <c r="AI545" s="166"/>
    </row>
    <row r="546" spans="7:35" x14ac:dyDescent="0.25">
      <c r="G546" s="165"/>
      <c r="H546" s="166"/>
      <c r="I546" s="167"/>
      <c r="J546" s="167"/>
      <c r="K546" s="166"/>
      <c r="L546" s="166"/>
      <c r="M546" s="166"/>
      <c r="N546" s="166"/>
      <c r="O546" s="166"/>
      <c r="P546" s="166"/>
      <c r="Q546" s="166"/>
      <c r="R546" s="166"/>
      <c r="S546" s="166"/>
      <c r="T546" s="166"/>
      <c r="U546" s="166"/>
      <c r="V546" s="166"/>
      <c r="W546" s="166"/>
      <c r="X546" s="166"/>
      <c r="Y546" s="166"/>
      <c r="Z546" s="166"/>
      <c r="AA546" s="166"/>
      <c r="AB546" s="166"/>
      <c r="AC546" s="166"/>
      <c r="AD546" s="166"/>
      <c r="AE546" s="166"/>
      <c r="AF546" s="166"/>
      <c r="AG546" s="166"/>
      <c r="AH546" s="166"/>
      <c r="AI546" s="166"/>
    </row>
    <row r="547" spans="7:35" x14ac:dyDescent="0.25">
      <c r="G547" s="165"/>
      <c r="H547" s="166"/>
      <c r="I547" s="167"/>
      <c r="J547" s="167"/>
      <c r="K547" s="166"/>
      <c r="L547" s="166"/>
      <c r="M547" s="166"/>
      <c r="N547" s="166"/>
      <c r="O547" s="166"/>
      <c r="P547" s="166"/>
      <c r="Q547" s="166"/>
      <c r="R547" s="166"/>
      <c r="S547" s="166"/>
      <c r="T547" s="166"/>
      <c r="U547" s="166"/>
      <c r="V547" s="166"/>
      <c r="W547" s="166"/>
      <c r="X547" s="166"/>
      <c r="Y547" s="166"/>
      <c r="Z547" s="166"/>
      <c r="AA547" s="166"/>
      <c r="AB547" s="166"/>
      <c r="AC547" s="166"/>
      <c r="AD547" s="166"/>
      <c r="AE547" s="166"/>
      <c r="AF547" s="166"/>
      <c r="AG547" s="166"/>
      <c r="AH547" s="166"/>
      <c r="AI547" s="166"/>
    </row>
    <row r="548" spans="7:35" x14ac:dyDescent="0.25">
      <c r="G548" s="165"/>
      <c r="H548" s="166"/>
      <c r="I548" s="167"/>
      <c r="J548" s="167"/>
      <c r="K548" s="166"/>
      <c r="L548" s="166"/>
      <c r="M548" s="166"/>
      <c r="N548" s="166"/>
      <c r="O548" s="166"/>
      <c r="P548" s="166"/>
      <c r="Q548" s="166"/>
      <c r="R548" s="166"/>
      <c r="S548" s="166"/>
      <c r="T548" s="166"/>
      <c r="U548" s="166"/>
      <c r="V548" s="166"/>
      <c r="W548" s="166"/>
      <c r="X548" s="166"/>
      <c r="Y548" s="166"/>
      <c r="Z548" s="166"/>
      <c r="AA548" s="166"/>
      <c r="AB548" s="166"/>
      <c r="AC548" s="166"/>
      <c r="AD548" s="166"/>
      <c r="AE548" s="166"/>
      <c r="AF548" s="166"/>
      <c r="AG548" s="166"/>
      <c r="AH548" s="166"/>
      <c r="AI548" s="166"/>
    </row>
    <row r="549" spans="7:35" x14ac:dyDescent="0.25">
      <c r="G549" s="165"/>
      <c r="H549" s="166"/>
      <c r="I549" s="167"/>
      <c r="J549" s="167"/>
      <c r="K549" s="166"/>
      <c r="L549" s="166"/>
      <c r="M549" s="166"/>
      <c r="N549" s="166"/>
      <c r="O549" s="166"/>
      <c r="P549" s="166"/>
      <c r="Q549" s="166"/>
      <c r="R549" s="166"/>
      <c r="S549" s="166"/>
      <c r="T549" s="166"/>
      <c r="U549" s="166"/>
      <c r="V549" s="166"/>
      <c r="W549" s="166"/>
      <c r="X549" s="166"/>
      <c r="Y549" s="166"/>
      <c r="Z549" s="166"/>
      <c r="AA549" s="166"/>
      <c r="AB549" s="166"/>
      <c r="AC549" s="166"/>
      <c r="AD549" s="166"/>
      <c r="AE549" s="166"/>
      <c r="AF549" s="166"/>
      <c r="AG549" s="166"/>
      <c r="AH549" s="166"/>
      <c r="AI549" s="166"/>
    </row>
    <row r="550" spans="7:35" x14ac:dyDescent="0.25">
      <c r="G550" s="165"/>
      <c r="H550" s="166"/>
      <c r="I550" s="167"/>
      <c r="J550" s="167"/>
      <c r="K550" s="166"/>
      <c r="L550" s="166"/>
      <c r="M550" s="166"/>
      <c r="N550" s="166"/>
      <c r="O550" s="166"/>
      <c r="P550" s="166"/>
      <c r="Q550" s="166"/>
      <c r="R550" s="166"/>
      <c r="S550" s="166"/>
      <c r="T550" s="166"/>
      <c r="U550" s="166"/>
      <c r="V550" s="166"/>
      <c r="W550" s="166"/>
      <c r="X550" s="166"/>
      <c r="Y550" s="166"/>
      <c r="Z550" s="166"/>
      <c r="AA550" s="166"/>
      <c r="AB550" s="166"/>
      <c r="AC550" s="166"/>
      <c r="AD550" s="166"/>
      <c r="AE550" s="166"/>
      <c r="AF550" s="166"/>
      <c r="AG550" s="166"/>
      <c r="AH550" s="166"/>
      <c r="AI550" s="166"/>
    </row>
    <row r="551" spans="7:35" x14ac:dyDescent="0.25">
      <c r="G551" s="165"/>
      <c r="H551" s="166"/>
      <c r="I551" s="167"/>
      <c r="J551" s="167"/>
      <c r="K551" s="166"/>
      <c r="L551" s="166"/>
      <c r="M551" s="166"/>
      <c r="N551" s="166"/>
      <c r="O551" s="166"/>
      <c r="P551" s="166"/>
      <c r="Q551" s="166"/>
      <c r="R551" s="166"/>
      <c r="S551" s="166"/>
      <c r="T551" s="166"/>
      <c r="U551" s="166"/>
      <c r="V551" s="166"/>
      <c r="W551" s="166"/>
      <c r="X551" s="166"/>
      <c r="Y551" s="166"/>
      <c r="Z551" s="166"/>
      <c r="AA551" s="166"/>
      <c r="AB551" s="166"/>
      <c r="AC551" s="166"/>
      <c r="AD551" s="166"/>
      <c r="AE551" s="166"/>
      <c r="AF551" s="166"/>
      <c r="AG551" s="166"/>
      <c r="AH551" s="166"/>
      <c r="AI551" s="166"/>
    </row>
    <row r="552" spans="7:35" x14ac:dyDescent="0.25">
      <c r="G552" s="165"/>
      <c r="H552" s="166"/>
      <c r="I552" s="167"/>
      <c r="J552" s="167"/>
      <c r="K552" s="166"/>
      <c r="L552" s="166"/>
      <c r="M552" s="166"/>
      <c r="N552" s="166"/>
      <c r="O552" s="166"/>
      <c r="P552" s="166"/>
      <c r="Q552" s="166"/>
      <c r="R552" s="166"/>
      <c r="S552" s="166"/>
      <c r="T552" s="166"/>
      <c r="U552" s="166"/>
      <c r="V552" s="166"/>
      <c r="W552" s="166"/>
      <c r="X552" s="166"/>
      <c r="Y552" s="166"/>
      <c r="Z552" s="166"/>
      <c r="AA552" s="166"/>
      <c r="AB552" s="166"/>
      <c r="AC552" s="166"/>
      <c r="AD552" s="166"/>
      <c r="AE552" s="166"/>
      <c r="AF552" s="166"/>
      <c r="AG552" s="166"/>
      <c r="AH552" s="166"/>
      <c r="AI552" s="166"/>
    </row>
    <row r="553" spans="7:35" x14ac:dyDescent="0.25">
      <c r="G553" s="165"/>
      <c r="H553" s="166"/>
      <c r="I553" s="167"/>
      <c r="J553" s="167"/>
      <c r="K553" s="166"/>
      <c r="L553" s="166"/>
      <c r="M553" s="166"/>
      <c r="N553" s="166"/>
      <c r="O553" s="166"/>
      <c r="P553" s="166"/>
      <c r="Q553" s="166"/>
      <c r="R553" s="166"/>
      <c r="S553" s="166"/>
      <c r="T553" s="166"/>
      <c r="U553" s="166"/>
      <c r="V553" s="166"/>
      <c r="W553" s="166"/>
      <c r="X553" s="166"/>
      <c r="Y553" s="166"/>
      <c r="Z553" s="166"/>
      <c r="AA553" s="166"/>
      <c r="AB553" s="166"/>
      <c r="AC553" s="166"/>
      <c r="AD553" s="166"/>
      <c r="AE553" s="166"/>
      <c r="AF553" s="166"/>
      <c r="AG553" s="166"/>
      <c r="AH553" s="166"/>
      <c r="AI553" s="166"/>
    </row>
    <row r="554" spans="7:35" x14ac:dyDescent="0.25">
      <c r="G554" s="165"/>
      <c r="H554" s="166"/>
      <c r="I554" s="167"/>
      <c r="J554" s="167"/>
      <c r="K554" s="166"/>
      <c r="L554" s="166"/>
      <c r="M554" s="166"/>
      <c r="N554" s="166"/>
      <c r="O554" s="166"/>
      <c r="P554" s="166"/>
      <c r="Q554" s="166"/>
      <c r="R554" s="166"/>
      <c r="S554" s="166"/>
      <c r="T554" s="166"/>
      <c r="U554" s="166"/>
      <c r="V554" s="166"/>
      <c r="W554" s="166"/>
      <c r="X554" s="166"/>
      <c r="Y554" s="166"/>
      <c r="Z554" s="166"/>
      <c r="AA554" s="166"/>
      <c r="AB554" s="166"/>
      <c r="AC554" s="166"/>
      <c r="AD554" s="166"/>
      <c r="AE554" s="166"/>
      <c r="AF554" s="166"/>
      <c r="AG554" s="166"/>
      <c r="AH554" s="166"/>
      <c r="AI554" s="166"/>
    </row>
    <row r="555" spans="7:35" x14ac:dyDescent="0.25">
      <c r="G555" s="165"/>
      <c r="H555" s="166"/>
      <c r="I555" s="167"/>
      <c r="J555" s="167"/>
      <c r="K555" s="166"/>
      <c r="L555" s="166"/>
      <c r="M555" s="166"/>
      <c r="N555" s="166"/>
      <c r="O555" s="166"/>
      <c r="P555" s="166"/>
      <c r="Q555" s="166"/>
      <c r="R555" s="166"/>
      <c r="S555" s="166"/>
      <c r="T555" s="166"/>
      <c r="U555" s="166"/>
      <c r="V555" s="166"/>
      <c r="W555" s="166"/>
      <c r="X555" s="166"/>
      <c r="Y555" s="166"/>
      <c r="Z555" s="166"/>
      <c r="AA555" s="166"/>
      <c r="AB555" s="166"/>
      <c r="AC555" s="166"/>
      <c r="AD555" s="166"/>
      <c r="AE555" s="166"/>
      <c r="AF555" s="166"/>
      <c r="AG555" s="166"/>
      <c r="AH555" s="166"/>
      <c r="AI555" s="166"/>
    </row>
    <row r="556" spans="7:35" x14ac:dyDescent="0.25">
      <c r="G556" s="165"/>
      <c r="H556" s="166"/>
      <c r="I556" s="167"/>
      <c r="J556" s="167"/>
      <c r="K556" s="166"/>
      <c r="L556" s="166"/>
      <c r="M556" s="166"/>
      <c r="N556" s="166"/>
      <c r="O556" s="166"/>
      <c r="P556" s="166"/>
      <c r="Q556" s="166"/>
      <c r="R556" s="166"/>
      <c r="S556" s="166"/>
      <c r="T556" s="166"/>
      <c r="U556" s="166"/>
      <c r="V556" s="166"/>
      <c r="W556" s="166"/>
      <c r="X556" s="166"/>
      <c r="Y556" s="166"/>
      <c r="Z556" s="166"/>
      <c r="AA556" s="166"/>
      <c r="AB556" s="166"/>
      <c r="AC556" s="166"/>
      <c r="AD556" s="166"/>
      <c r="AE556" s="166"/>
      <c r="AF556" s="166"/>
      <c r="AG556" s="166"/>
      <c r="AH556" s="166"/>
      <c r="AI556" s="166"/>
    </row>
    <row r="557" spans="7:35" x14ac:dyDescent="0.25">
      <c r="G557" s="165"/>
      <c r="H557" s="166"/>
      <c r="I557" s="167"/>
      <c r="J557" s="167"/>
      <c r="K557" s="166"/>
      <c r="L557" s="166"/>
      <c r="M557" s="166"/>
      <c r="N557" s="166"/>
      <c r="O557" s="166"/>
      <c r="P557" s="166"/>
      <c r="Q557" s="166"/>
      <c r="R557" s="166"/>
      <c r="S557" s="166"/>
      <c r="T557" s="166"/>
      <c r="U557" s="166"/>
      <c r="V557" s="166"/>
      <c r="W557" s="166"/>
      <c r="X557" s="166"/>
      <c r="Y557" s="166"/>
      <c r="Z557" s="166"/>
      <c r="AA557" s="166"/>
      <c r="AB557" s="166"/>
      <c r="AC557" s="166"/>
      <c r="AD557" s="166"/>
      <c r="AE557" s="166"/>
      <c r="AF557" s="166"/>
      <c r="AG557" s="166"/>
      <c r="AH557" s="166"/>
      <c r="AI557" s="166"/>
    </row>
    <row r="558" spans="7:35" x14ac:dyDescent="0.25">
      <c r="G558" s="165"/>
      <c r="H558" s="166"/>
      <c r="I558" s="167"/>
      <c r="J558" s="167"/>
      <c r="K558" s="166"/>
      <c r="L558" s="166"/>
      <c r="M558" s="166"/>
      <c r="N558" s="166"/>
      <c r="O558" s="166"/>
      <c r="P558" s="166"/>
      <c r="Q558" s="166"/>
      <c r="R558" s="166"/>
      <c r="S558" s="166"/>
      <c r="T558" s="166"/>
      <c r="U558" s="166"/>
      <c r="V558" s="166"/>
      <c r="W558" s="166"/>
      <c r="X558" s="166"/>
      <c r="Y558" s="166"/>
      <c r="Z558" s="166"/>
      <c r="AA558" s="166"/>
      <c r="AB558" s="166"/>
      <c r="AC558" s="166"/>
      <c r="AD558" s="166"/>
      <c r="AE558" s="166"/>
      <c r="AF558" s="166"/>
      <c r="AG558" s="166"/>
      <c r="AH558" s="166"/>
      <c r="AI558" s="166"/>
    </row>
    <row r="559" spans="7:35" x14ac:dyDescent="0.25">
      <c r="G559" s="165"/>
      <c r="H559" s="166"/>
      <c r="I559" s="167"/>
      <c r="J559" s="167"/>
      <c r="K559" s="166"/>
      <c r="L559" s="166"/>
      <c r="M559" s="166"/>
      <c r="N559" s="166"/>
      <c r="O559" s="166"/>
      <c r="P559" s="166"/>
      <c r="Q559" s="166"/>
      <c r="R559" s="166"/>
      <c r="S559" s="166"/>
      <c r="T559" s="166"/>
      <c r="U559" s="166"/>
      <c r="V559" s="166"/>
      <c r="W559" s="166"/>
      <c r="X559" s="166"/>
      <c r="Y559" s="166"/>
      <c r="Z559" s="166"/>
      <c r="AA559" s="166"/>
      <c r="AB559" s="166"/>
      <c r="AC559" s="166"/>
      <c r="AD559" s="166"/>
      <c r="AE559" s="166"/>
      <c r="AF559" s="166"/>
      <c r="AG559" s="166"/>
      <c r="AH559" s="166"/>
      <c r="AI559" s="166"/>
    </row>
    <row r="560" spans="7:35" x14ac:dyDescent="0.25">
      <c r="G560" s="165"/>
      <c r="H560" s="166"/>
      <c r="I560" s="167"/>
      <c r="J560" s="167"/>
      <c r="K560" s="166"/>
      <c r="L560" s="166"/>
      <c r="M560" s="166"/>
      <c r="N560" s="166"/>
      <c r="O560" s="166"/>
      <c r="P560" s="166"/>
      <c r="Q560" s="166"/>
      <c r="R560" s="166"/>
      <c r="S560" s="166"/>
      <c r="T560" s="166"/>
      <c r="U560" s="166"/>
      <c r="V560" s="166"/>
      <c r="W560" s="166"/>
      <c r="X560" s="166"/>
      <c r="Y560" s="166"/>
      <c r="Z560" s="166"/>
      <c r="AA560" s="166"/>
      <c r="AB560" s="166"/>
      <c r="AC560" s="166"/>
      <c r="AD560" s="166"/>
      <c r="AE560" s="166"/>
      <c r="AF560" s="166"/>
      <c r="AG560" s="166"/>
      <c r="AH560" s="166"/>
      <c r="AI560" s="166"/>
    </row>
    <row r="561" spans="7:35" x14ac:dyDescent="0.25">
      <c r="G561" s="165"/>
      <c r="H561" s="166"/>
      <c r="I561" s="167"/>
      <c r="J561" s="167"/>
      <c r="K561" s="166"/>
      <c r="L561" s="166"/>
      <c r="M561" s="166"/>
      <c r="N561" s="166"/>
      <c r="O561" s="166"/>
      <c r="P561" s="166"/>
      <c r="Q561" s="166"/>
      <c r="R561" s="166"/>
      <c r="S561" s="166"/>
      <c r="T561" s="166"/>
      <c r="U561" s="166"/>
      <c r="V561" s="166"/>
      <c r="W561" s="166"/>
      <c r="X561" s="166"/>
      <c r="Y561" s="166"/>
      <c r="Z561" s="166"/>
      <c r="AA561" s="166"/>
      <c r="AB561" s="166"/>
      <c r="AC561" s="166"/>
      <c r="AD561" s="166"/>
      <c r="AE561" s="166"/>
      <c r="AF561" s="166"/>
      <c r="AG561" s="166"/>
      <c r="AH561" s="166"/>
      <c r="AI561" s="166"/>
    </row>
    <row r="562" spans="7:35" x14ac:dyDescent="0.25">
      <c r="G562" s="165"/>
      <c r="H562" s="166"/>
      <c r="I562" s="167"/>
      <c r="J562" s="167"/>
      <c r="K562" s="166"/>
      <c r="L562" s="166"/>
      <c r="M562" s="166"/>
      <c r="N562" s="166"/>
      <c r="O562" s="166"/>
      <c r="P562" s="166"/>
      <c r="Q562" s="166"/>
      <c r="R562" s="166"/>
      <c r="S562" s="166"/>
      <c r="T562" s="166"/>
      <c r="U562" s="166"/>
      <c r="V562" s="166"/>
      <c r="W562" s="166"/>
      <c r="X562" s="166"/>
      <c r="Y562" s="166"/>
      <c r="Z562" s="166"/>
      <c r="AA562" s="166"/>
      <c r="AB562" s="166"/>
      <c r="AC562" s="166"/>
      <c r="AD562" s="166"/>
      <c r="AE562" s="166"/>
      <c r="AF562" s="166"/>
      <c r="AG562" s="166"/>
      <c r="AH562" s="166"/>
      <c r="AI562" s="166"/>
    </row>
    <row r="563" spans="7:35" x14ac:dyDescent="0.25">
      <c r="G563" s="165"/>
      <c r="H563" s="166"/>
      <c r="I563" s="167"/>
      <c r="J563" s="167"/>
      <c r="K563" s="166"/>
      <c r="L563" s="166"/>
      <c r="M563" s="166"/>
      <c r="N563" s="166"/>
      <c r="O563" s="166"/>
      <c r="P563" s="166"/>
      <c r="Q563" s="166"/>
      <c r="R563" s="166"/>
      <c r="S563" s="166"/>
      <c r="T563" s="166"/>
      <c r="U563" s="166"/>
      <c r="V563" s="166"/>
      <c r="W563" s="166"/>
      <c r="X563" s="166"/>
      <c r="Y563" s="166"/>
      <c r="Z563" s="166"/>
      <c r="AA563" s="166"/>
      <c r="AB563" s="166"/>
      <c r="AC563" s="166"/>
      <c r="AD563" s="166"/>
      <c r="AE563" s="166"/>
      <c r="AF563" s="166"/>
      <c r="AG563" s="166"/>
      <c r="AH563" s="166"/>
      <c r="AI563" s="166"/>
    </row>
    <row r="564" spans="7:35" x14ac:dyDescent="0.25">
      <c r="G564" s="165"/>
      <c r="H564" s="166"/>
      <c r="I564" s="167"/>
      <c r="J564" s="167"/>
      <c r="K564" s="166"/>
      <c r="L564" s="166"/>
      <c r="M564" s="166"/>
      <c r="N564" s="166"/>
      <c r="O564" s="166"/>
      <c r="P564" s="166"/>
      <c r="Q564" s="166"/>
      <c r="R564" s="166"/>
      <c r="S564" s="166"/>
      <c r="T564" s="166"/>
      <c r="U564" s="166"/>
      <c r="V564" s="166"/>
      <c r="W564" s="166"/>
      <c r="X564" s="166"/>
      <c r="Y564" s="166"/>
      <c r="Z564" s="166"/>
      <c r="AA564" s="166"/>
      <c r="AB564" s="166"/>
      <c r="AC564" s="166"/>
      <c r="AD564" s="166"/>
      <c r="AE564" s="166"/>
      <c r="AF564" s="166"/>
      <c r="AG564" s="166"/>
      <c r="AH564" s="166"/>
      <c r="AI564" s="166"/>
    </row>
    <row r="565" spans="7:35" x14ac:dyDescent="0.25">
      <c r="G565" s="165"/>
      <c r="H565" s="166"/>
      <c r="I565" s="167"/>
      <c r="J565" s="167"/>
      <c r="K565" s="166"/>
      <c r="L565" s="166"/>
      <c r="M565" s="166"/>
      <c r="N565" s="166"/>
      <c r="O565" s="166"/>
      <c r="P565" s="166"/>
      <c r="Q565" s="166"/>
      <c r="R565" s="166"/>
      <c r="S565" s="166"/>
      <c r="T565" s="166"/>
      <c r="U565" s="166"/>
      <c r="V565" s="166"/>
      <c r="W565" s="166"/>
      <c r="X565" s="166"/>
      <c r="Y565" s="166"/>
      <c r="Z565" s="166"/>
      <c r="AA565" s="166"/>
      <c r="AB565" s="166"/>
      <c r="AC565" s="166"/>
      <c r="AD565" s="166"/>
      <c r="AE565" s="166"/>
      <c r="AF565" s="166"/>
      <c r="AG565" s="166"/>
      <c r="AH565" s="166"/>
      <c r="AI565" s="166"/>
    </row>
    <row r="566" spans="7:35" x14ac:dyDescent="0.25">
      <c r="G566" s="165"/>
      <c r="H566" s="166"/>
      <c r="I566" s="167"/>
      <c r="J566" s="167"/>
      <c r="K566" s="166"/>
      <c r="L566" s="166"/>
      <c r="M566" s="166"/>
      <c r="N566" s="166"/>
      <c r="O566" s="166"/>
      <c r="P566" s="166"/>
      <c r="Q566" s="166"/>
      <c r="R566" s="166"/>
      <c r="S566" s="166"/>
      <c r="T566" s="166"/>
      <c r="U566" s="166"/>
      <c r="V566" s="166"/>
      <c r="W566" s="166"/>
      <c r="X566" s="166"/>
      <c r="Y566" s="166"/>
      <c r="Z566" s="166"/>
      <c r="AA566" s="166"/>
      <c r="AB566" s="166"/>
      <c r="AC566" s="166"/>
      <c r="AD566" s="166"/>
      <c r="AE566" s="166"/>
      <c r="AF566" s="166"/>
      <c r="AG566" s="166"/>
      <c r="AH566" s="166"/>
      <c r="AI566" s="166"/>
    </row>
    <row r="567" spans="7:35" x14ac:dyDescent="0.25">
      <c r="G567" s="165"/>
      <c r="H567" s="166"/>
      <c r="I567" s="167"/>
      <c r="J567" s="167"/>
      <c r="K567" s="166"/>
      <c r="L567" s="166"/>
      <c r="M567" s="166"/>
      <c r="N567" s="166"/>
      <c r="O567" s="166"/>
      <c r="P567" s="166"/>
      <c r="Q567" s="166"/>
      <c r="R567" s="166"/>
      <c r="S567" s="166"/>
      <c r="T567" s="166"/>
      <c r="U567" s="166"/>
      <c r="V567" s="166"/>
      <c r="W567" s="166"/>
      <c r="X567" s="166"/>
      <c r="Y567" s="166"/>
      <c r="Z567" s="166"/>
      <c r="AA567" s="166"/>
      <c r="AB567" s="166"/>
      <c r="AC567" s="166"/>
      <c r="AD567" s="166"/>
      <c r="AE567" s="166"/>
      <c r="AF567" s="166"/>
      <c r="AG567" s="166"/>
      <c r="AH567" s="166"/>
      <c r="AI567" s="166"/>
    </row>
    <row r="568" spans="7:35" x14ac:dyDescent="0.25">
      <c r="G568" s="165"/>
      <c r="H568" s="166"/>
      <c r="I568" s="167"/>
      <c r="J568" s="167"/>
      <c r="K568" s="166"/>
      <c r="L568" s="166"/>
      <c r="M568" s="166"/>
      <c r="N568" s="166"/>
      <c r="O568" s="166"/>
      <c r="P568" s="166"/>
      <c r="Q568" s="166"/>
      <c r="R568" s="166"/>
      <c r="S568" s="166"/>
      <c r="T568" s="166"/>
      <c r="U568" s="166"/>
      <c r="V568" s="166"/>
      <c r="W568" s="166"/>
      <c r="X568" s="166"/>
      <c r="Y568" s="166"/>
      <c r="Z568" s="166"/>
      <c r="AA568" s="166"/>
      <c r="AB568" s="166"/>
      <c r="AC568" s="166"/>
      <c r="AD568" s="166"/>
      <c r="AE568" s="166"/>
      <c r="AF568" s="166"/>
      <c r="AG568" s="166"/>
      <c r="AH568" s="166"/>
      <c r="AI568" s="166"/>
    </row>
    <row r="569" spans="7:35" x14ac:dyDescent="0.25">
      <c r="G569" s="165"/>
      <c r="H569" s="166"/>
      <c r="I569" s="167"/>
      <c r="J569" s="167"/>
      <c r="K569" s="166"/>
      <c r="L569" s="166"/>
      <c r="M569" s="166"/>
      <c r="N569" s="166"/>
      <c r="O569" s="166"/>
      <c r="P569" s="166"/>
      <c r="Q569" s="166"/>
      <c r="R569" s="166"/>
      <c r="S569" s="166"/>
      <c r="T569" s="166"/>
      <c r="U569" s="166"/>
      <c r="V569" s="166"/>
      <c r="W569" s="166"/>
      <c r="X569" s="166"/>
      <c r="Y569" s="166"/>
      <c r="Z569" s="166"/>
      <c r="AA569" s="166"/>
      <c r="AB569" s="166"/>
      <c r="AC569" s="166"/>
      <c r="AD569" s="166"/>
      <c r="AE569" s="166"/>
      <c r="AF569" s="166"/>
      <c r="AG569" s="166"/>
      <c r="AH569" s="166"/>
      <c r="AI569" s="166"/>
    </row>
    <row r="570" spans="7:35" x14ac:dyDescent="0.25">
      <c r="G570" s="165"/>
      <c r="H570" s="166"/>
      <c r="I570" s="167"/>
      <c r="J570" s="167"/>
      <c r="K570" s="166"/>
      <c r="L570" s="166"/>
      <c r="M570" s="166"/>
      <c r="N570" s="166"/>
      <c r="O570" s="166"/>
      <c r="P570" s="166"/>
      <c r="Q570" s="166"/>
      <c r="R570" s="166"/>
      <c r="S570" s="166"/>
      <c r="T570" s="166"/>
      <c r="U570" s="166"/>
      <c r="V570" s="166"/>
      <c r="W570" s="166"/>
      <c r="X570" s="166"/>
      <c r="Y570" s="166"/>
      <c r="Z570" s="166"/>
      <c r="AA570" s="166"/>
      <c r="AB570" s="166"/>
      <c r="AC570" s="166"/>
      <c r="AD570" s="166"/>
      <c r="AE570" s="166"/>
      <c r="AF570" s="166"/>
      <c r="AG570" s="166"/>
      <c r="AH570" s="166"/>
      <c r="AI570" s="166"/>
    </row>
    <row r="571" spans="7:35" x14ac:dyDescent="0.25">
      <c r="G571" s="165"/>
      <c r="H571" s="166"/>
      <c r="I571" s="167"/>
      <c r="J571" s="167"/>
      <c r="K571" s="166"/>
      <c r="L571" s="166"/>
      <c r="M571" s="166"/>
      <c r="N571" s="166"/>
      <c r="O571" s="166"/>
      <c r="P571" s="166"/>
      <c r="Q571" s="166"/>
      <c r="R571" s="166"/>
      <c r="S571" s="166"/>
      <c r="T571" s="166"/>
      <c r="U571" s="166"/>
      <c r="V571" s="166"/>
      <c r="W571" s="166"/>
      <c r="X571" s="166"/>
      <c r="Y571" s="166"/>
      <c r="Z571" s="166"/>
      <c r="AA571" s="166"/>
      <c r="AB571" s="166"/>
      <c r="AC571" s="166"/>
      <c r="AD571" s="166"/>
      <c r="AE571" s="166"/>
      <c r="AF571" s="166"/>
      <c r="AG571" s="166"/>
      <c r="AH571" s="166"/>
      <c r="AI571" s="166"/>
    </row>
    <row r="572" spans="7:35" x14ac:dyDescent="0.25">
      <c r="G572" s="165"/>
      <c r="H572" s="166"/>
      <c r="I572" s="167"/>
      <c r="J572" s="167"/>
      <c r="K572" s="166"/>
      <c r="L572" s="166"/>
      <c r="M572" s="166"/>
      <c r="N572" s="166"/>
      <c r="O572" s="166"/>
      <c r="P572" s="166"/>
      <c r="Q572" s="166"/>
      <c r="R572" s="166"/>
      <c r="S572" s="166"/>
      <c r="T572" s="166"/>
      <c r="U572" s="166"/>
      <c r="V572" s="166"/>
      <c r="W572" s="166"/>
      <c r="X572" s="166"/>
      <c r="Y572" s="166"/>
      <c r="Z572" s="166"/>
      <c r="AA572" s="166"/>
      <c r="AB572" s="166"/>
      <c r="AC572" s="166"/>
      <c r="AD572" s="166"/>
      <c r="AE572" s="166"/>
      <c r="AF572" s="166"/>
      <c r="AG572" s="166"/>
      <c r="AH572" s="166"/>
      <c r="AI572" s="166"/>
    </row>
    <row r="573" spans="7:35" x14ac:dyDescent="0.25">
      <c r="G573" s="165"/>
      <c r="H573" s="166"/>
      <c r="I573" s="167"/>
      <c r="J573" s="167"/>
      <c r="K573" s="166"/>
      <c r="L573" s="166"/>
      <c r="M573" s="166"/>
      <c r="N573" s="166"/>
      <c r="O573" s="166"/>
      <c r="P573" s="166"/>
      <c r="Q573" s="166"/>
      <c r="R573" s="166"/>
      <c r="S573" s="166"/>
      <c r="T573" s="166"/>
      <c r="U573" s="166"/>
      <c r="V573" s="166"/>
      <c r="W573" s="166"/>
      <c r="X573" s="166"/>
      <c r="Y573" s="166"/>
      <c r="Z573" s="166"/>
      <c r="AA573" s="166"/>
      <c r="AB573" s="166"/>
      <c r="AC573" s="166"/>
      <c r="AD573" s="166"/>
      <c r="AE573" s="166"/>
      <c r="AF573" s="166"/>
      <c r="AG573" s="166"/>
      <c r="AH573" s="166"/>
      <c r="AI573" s="166"/>
    </row>
    <row r="574" spans="7:35" x14ac:dyDescent="0.25">
      <c r="G574" s="165"/>
      <c r="H574" s="166"/>
      <c r="I574" s="167"/>
      <c r="J574" s="167"/>
      <c r="K574" s="166"/>
      <c r="L574" s="166"/>
      <c r="M574" s="166"/>
      <c r="N574" s="166"/>
      <c r="O574" s="166"/>
      <c r="P574" s="166"/>
      <c r="Q574" s="166"/>
      <c r="R574" s="166"/>
      <c r="S574" s="166"/>
      <c r="T574" s="166"/>
      <c r="U574" s="166"/>
      <c r="V574" s="166"/>
      <c r="W574" s="166"/>
      <c r="X574" s="166"/>
      <c r="Y574" s="166"/>
      <c r="Z574" s="166"/>
      <c r="AA574" s="166"/>
      <c r="AB574" s="166"/>
      <c r="AC574" s="166"/>
      <c r="AD574" s="166"/>
      <c r="AE574" s="166"/>
      <c r="AF574" s="166"/>
      <c r="AG574" s="166"/>
      <c r="AH574" s="166"/>
      <c r="AI574" s="166"/>
    </row>
    <row r="575" spans="7:35" x14ac:dyDescent="0.25">
      <c r="G575" s="165"/>
      <c r="H575" s="166"/>
      <c r="I575" s="167"/>
      <c r="J575" s="167"/>
      <c r="K575" s="166"/>
      <c r="L575" s="166"/>
      <c r="M575" s="166"/>
      <c r="N575" s="166"/>
      <c r="O575" s="166"/>
      <c r="P575" s="166"/>
      <c r="Q575" s="166"/>
      <c r="R575" s="166"/>
      <c r="S575" s="166"/>
      <c r="T575" s="166"/>
      <c r="U575" s="166"/>
      <c r="V575" s="166"/>
      <c r="W575" s="166"/>
      <c r="X575" s="166"/>
      <c r="Y575" s="166"/>
      <c r="Z575" s="166"/>
      <c r="AA575" s="166"/>
      <c r="AB575" s="166"/>
      <c r="AC575" s="166"/>
      <c r="AD575" s="166"/>
      <c r="AE575" s="166"/>
      <c r="AF575" s="166"/>
      <c r="AG575" s="166"/>
      <c r="AH575" s="166"/>
      <c r="AI575" s="166"/>
    </row>
    <row r="576" spans="7:35" x14ac:dyDescent="0.25">
      <c r="G576" s="165"/>
      <c r="H576" s="166"/>
      <c r="I576" s="167"/>
      <c r="J576" s="167"/>
      <c r="K576" s="166"/>
      <c r="L576" s="166"/>
      <c r="M576" s="166"/>
      <c r="N576" s="166"/>
      <c r="O576" s="166"/>
      <c r="P576" s="166"/>
      <c r="Q576" s="166"/>
      <c r="R576" s="166"/>
      <c r="S576" s="166"/>
      <c r="T576" s="166"/>
      <c r="U576" s="166"/>
      <c r="V576" s="166"/>
      <c r="W576" s="166"/>
      <c r="X576" s="166"/>
      <c r="Y576" s="166"/>
      <c r="Z576" s="166"/>
      <c r="AA576" s="166"/>
      <c r="AB576" s="166"/>
      <c r="AC576" s="166"/>
      <c r="AD576" s="166"/>
      <c r="AE576" s="166"/>
      <c r="AF576" s="166"/>
      <c r="AG576" s="166"/>
      <c r="AH576" s="166"/>
      <c r="AI576" s="166"/>
    </row>
    <row r="577" spans="7:35" x14ac:dyDescent="0.25">
      <c r="G577" s="165"/>
      <c r="H577" s="166"/>
      <c r="I577" s="167"/>
      <c r="J577" s="167"/>
      <c r="K577" s="166"/>
      <c r="L577" s="166"/>
      <c r="M577" s="166"/>
      <c r="N577" s="166"/>
      <c r="O577" s="166"/>
      <c r="P577" s="166"/>
      <c r="Q577" s="166"/>
      <c r="R577" s="166"/>
      <c r="S577" s="166"/>
      <c r="T577" s="166"/>
      <c r="U577" s="166"/>
      <c r="V577" s="166"/>
      <c r="W577" s="166"/>
      <c r="X577" s="166"/>
      <c r="Y577" s="166"/>
      <c r="Z577" s="166"/>
      <c r="AA577" s="166"/>
      <c r="AB577" s="166"/>
      <c r="AC577" s="166"/>
      <c r="AD577" s="166"/>
      <c r="AE577" s="166"/>
      <c r="AF577" s="166"/>
      <c r="AG577" s="166"/>
      <c r="AH577" s="166"/>
      <c r="AI577" s="166"/>
    </row>
    <row r="578" spans="7:35" x14ac:dyDescent="0.25">
      <c r="G578" s="165"/>
      <c r="H578" s="166"/>
      <c r="I578" s="167"/>
      <c r="J578" s="167"/>
      <c r="K578" s="166"/>
      <c r="L578" s="166"/>
      <c r="M578" s="166"/>
      <c r="N578" s="166"/>
      <c r="O578" s="166"/>
      <c r="P578" s="166"/>
      <c r="Q578" s="166"/>
      <c r="R578" s="166"/>
      <c r="S578" s="166"/>
      <c r="T578" s="166"/>
      <c r="U578" s="166"/>
      <c r="V578" s="166"/>
      <c r="W578" s="166"/>
      <c r="X578" s="166"/>
      <c r="Y578" s="166"/>
      <c r="Z578" s="166"/>
      <c r="AA578" s="166"/>
      <c r="AB578" s="166"/>
      <c r="AC578" s="166"/>
      <c r="AD578" s="166"/>
      <c r="AE578" s="166"/>
      <c r="AF578" s="166"/>
      <c r="AG578" s="166"/>
      <c r="AH578" s="166"/>
      <c r="AI578" s="166"/>
    </row>
    <row r="579" spans="7:35" x14ac:dyDescent="0.25">
      <c r="G579" s="165"/>
      <c r="H579" s="166"/>
      <c r="I579" s="167"/>
      <c r="J579" s="167"/>
      <c r="K579" s="166"/>
      <c r="L579" s="166"/>
      <c r="M579" s="166"/>
      <c r="N579" s="166"/>
      <c r="O579" s="166"/>
      <c r="P579" s="166"/>
      <c r="Q579" s="166"/>
      <c r="R579" s="166"/>
      <c r="S579" s="166"/>
      <c r="T579" s="166"/>
      <c r="U579" s="166"/>
      <c r="V579" s="166"/>
      <c r="W579" s="166"/>
      <c r="X579" s="166"/>
      <c r="Y579" s="166"/>
      <c r="Z579" s="166"/>
      <c r="AA579" s="166"/>
      <c r="AB579" s="166"/>
      <c r="AC579" s="166"/>
      <c r="AD579" s="166"/>
      <c r="AE579" s="166"/>
      <c r="AF579" s="166"/>
      <c r="AG579" s="166"/>
      <c r="AH579" s="166"/>
      <c r="AI579" s="166"/>
    </row>
    <row r="580" spans="7:35" x14ac:dyDescent="0.25">
      <c r="G580" s="165"/>
      <c r="H580" s="166"/>
      <c r="I580" s="167"/>
      <c r="J580" s="167"/>
      <c r="K580" s="166"/>
      <c r="L580" s="166"/>
      <c r="M580" s="166"/>
      <c r="N580" s="166"/>
      <c r="O580" s="166"/>
      <c r="P580" s="166"/>
      <c r="Q580" s="166"/>
      <c r="R580" s="166"/>
      <c r="S580" s="166"/>
      <c r="T580" s="166"/>
      <c r="U580" s="166"/>
      <c r="V580" s="166"/>
      <c r="W580" s="166"/>
      <c r="X580" s="166"/>
      <c r="Y580" s="166"/>
      <c r="Z580" s="166"/>
      <c r="AA580" s="166"/>
      <c r="AB580" s="166"/>
      <c r="AC580" s="166"/>
      <c r="AD580" s="166"/>
      <c r="AE580" s="166"/>
      <c r="AF580" s="166"/>
      <c r="AG580" s="166"/>
      <c r="AH580" s="166"/>
      <c r="AI580" s="166"/>
    </row>
    <row r="581" spans="7:35" x14ac:dyDescent="0.25">
      <c r="G581" s="165"/>
      <c r="H581" s="166"/>
      <c r="I581" s="167"/>
      <c r="J581" s="167"/>
      <c r="K581" s="166"/>
      <c r="L581" s="166"/>
      <c r="M581" s="166"/>
      <c r="N581" s="166"/>
      <c r="O581" s="166"/>
      <c r="P581" s="166"/>
      <c r="Q581" s="166"/>
      <c r="R581" s="166"/>
      <c r="S581" s="166"/>
      <c r="T581" s="166"/>
      <c r="U581" s="166"/>
      <c r="V581" s="166"/>
      <c r="W581" s="166"/>
      <c r="X581" s="166"/>
      <c r="Y581" s="166"/>
      <c r="Z581" s="166"/>
      <c r="AA581" s="166"/>
      <c r="AB581" s="166"/>
      <c r="AC581" s="166"/>
      <c r="AD581" s="166"/>
      <c r="AE581" s="166"/>
      <c r="AF581" s="166"/>
      <c r="AG581" s="166"/>
      <c r="AH581" s="166"/>
      <c r="AI581" s="166"/>
    </row>
    <row r="582" spans="7:35" x14ac:dyDescent="0.25">
      <c r="G582" s="165"/>
      <c r="H582" s="166"/>
      <c r="I582" s="167"/>
      <c r="J582" s="167"/>
      <c r="K582" s="166"/>
      <c r="L582" s="166"/>
      <c r="M582" s="166"/>
      <c r="N582" s="166"/>
      <c r="O582" s="166"/>
      <c r="P582" s="166"/>
      <c r="Q582" s="166"/>
      <c r="R582" s="166"/>
      <c r="S582" s="166"/>
      <c r="T582" s="166"/>
      <c r="U582" s="166"/>
      <c r="V582" s="166"/>
      <c r="W582" s="166"/>
      <c r="X582" s="166"/>
      <c r="Y582" s="166"/>
      <c r="Z582" s="166"/>
      <c r="AA582" s="166"/>
      <c r="AB582" s="166"/>
      <c r="AC582" s="166"/>
      <c r="AD582" s="166"/>
      <c r="AE582" s="166"/>
      <c r="AF582" s="166"/>
      <c r="AG582" s="166"/>
      <c r="AH582" s="166"/>
      <c r="AI582" s="166"/>
    </row>
    <row r="583" spans="7:35" x14ac:dyDescent="0.25">
      <c r="G583" s="165"/>
      <c r="H583" s="166"/>
      <c r="I583" s="167"/>
      <c r="J583" s="167"/>
      <c r="K583" s="166"/>
      <c r="L583" s="166"/>
      <c r="M583" s="166"/>
      <c r="N583" s="166"/>
      <c r="O583" s="166"/>
      <c r="P583" s="166"/>
      <c r="Q583" s="166"/>
      <c r="R583" s="166"/>
      <c r="S583" s="166"/>
      <c r="T583" s="166"/>
      <c r="U583" s="166"/>
      <c r="V583" s="166"/>
      <c r="W583" s="166"/>
      <c r="X583" s="166"/>
      <c r="Y583" s="166"/>
      <c r="Z583" s="166"/>
      <c r="AA583" s="166"/>
      <c r="AB583" s="166"/>
      <c r="AC583" s="166"/>
      <c r="AD583" s="166"/>
      <c r="AE583" s="166"/>
      <c r="AF583" s="166"/>
      <c r="AG583" s="166"/>
      <c r="AH583" s="166"/>
      <c r="AI583" s="166"/>
    </row>
    <row r="584" spans="7:35" x14ac:dyDescent="0.25">
      <c r="G584" s="165"/>
      <c r="H584" s="166"/>
      <c r="I584" s="167"/>
      <c r="J584" s="167"/>
      <c r="K584" s="166"/>
      <c r="L584" s="166"/>
      <c r="M584" s="166"/>
      <c r="N584" s="166"/>
      <c r="O584" s="166"/>
      <c r="P584" s="166"/>
      <c r="Q584" s="166"/>
      <c r="R584" s="166"/>
      <c r="S584" s="166"/>
      <c r="T584" s="166"/>
      <c r="U584" s="166"/>
      <c r="V584" s="166"/>
      <c r="W584" s="166"/>
      <c r="X584" s="166"/>
      <c r="Y584" s="166"/>
      <c r="Z584" s="166"/>
      <c r="AA584" s="166"/>
      <c r="AB584" s="166"/>
      <c r="AC584" s="166"/>
      <c r="AD584" s="166"/>
      <c r="AE584" s="166"/>
      <c r="AF584" s="166"/>
      <c r="AG584" s="166"/>
      <c r="AH584" s="166"/>
      <c r="AI584" s="166"/>
    </row>
    <row r="585" spans="7:35" x14ac:dyDescent="0.25">
      <c r="G585" s="165"/>
      <c r="H585" s="166"/>
      <c r="I585" s="167"/>
      <c r="J585" s="167"/>
      <c r="K585" s="166"/>
      <c r="L585" s="166"/>
      <c r="M585" s="166"/>
      <c r="N585" s="166"/>
      <c r="O585" s="166"/>
      <c r="P585" s="166"/>
      <c r="Q585" s="166"/>
      <c r="R585" s="166"/>
      <c r="S585" s="166"/>
      <c r="T585" s="166"/>
      <c r="U585" s="166"/>
      <c r="V585" s="166"/>
      <c r="W585" s="166"/>
      <c r="X585" s="166"/>
      <c r="Y585" s="166"/>
      <c r="Z585" s="166"/>
      <c r="AA585" s="166"/>
      <c r="AB585" s="166"/>
      <c r="AC585" s="166"/>
      <c r="AD585" s="166"/>
      <c r="AE585" s="166"/>
      <c r="AF585" s="166"/>
      <c r="AG585" s="166"/>
      <c r="AH585" s="166"/>
      <c r="AI585" s="166"/>
    </row>
    <row r="586" spans="7:35" x14ac:dyDescent="0.25">
      <c r="G586" s="165"/>
      <c r="H586" s="166"/>
      <c r="I586" s="167"/>
      <c r="J586" s="167"/>
      <c r="K586" s="166"/>
      <c r="L586" s="166"/>
      <c r="M586" s="166"/>
      <c r="N586" s="166"/>
      <c r="O586" s="166"/>
      <c r="P586" s="166"/>
      <c r="Q586" s="166"/>
      <c r="R586" s="166"/>
      <c r="S586" s="166"/>
      <c r="T586" s="166"/>
      <c r="U586" s="166"/>
      <c r="V586" s="166"/>
      <c r="W586" s="166"/>
      <c r="X586" s="166"/>
      <c r="Y586" s="166"/>
      <c r="Z586" s="166"/>
      <c r="AA586" s="166"/>
      <c r="AB586" s="166"/>
      <c r="AC586" s="166"/>
      <c r="AD586" s="166"/>
      <c r="AE586" s="166"/>
      <c r="AF586" s="166"/>
      <c r="AG586" s="166"/>
      <c r="AH586" s="166"/>
      <c r="AI586" s="166"/>
    </row>
    <row r="587" spans="7:35" x14ac:dyDescent="0.25">
      <c r="G587" s="165"/>
      <c r="H587" s="166"/>
      <c r="I587" s="167"/>
      <c r="J587" s="167"/>
      <c r="K587" s="166"/>
      <c r="L587" s="166"/>
      <c r="M587" s="166"/>
      <c r="N587" s="166"/>
      <c r="O587" s="166"/>
      <c r="P587" s="166"/>
      <c r="Q587" s="166"/>
      <c r="R587" s="166"/>
      <c r="S587" s="166"/>
      <c r="T587" s="166"/>
      <c r="U587" s="166"/>
      <c r="V587" s="166"/>
      <c r="W587" s="166"/>
      <c r="X587" s="166"/>
      <c r="Y587" s="166"/>
      <c r="Z587" s="166"/>
      <c r="AA587" s="166"/>
      <c r="AB587" s="166"/>
      <c r="AC587" s="166"/>
      <c r="AD587" s="166"/>
      <c r="AE587" s="166"/>
      <c r="AF587" s="166"/>
      <c r="AG587" s="166"/>
      <c r="AH587" s="166"/>
      <c r="AI587" s="166"/>
    </row>
    <row r="588" spans="7:35" x14ac:dyDescent="0.25">
      <c r="G588" s="165"/>
      <c r="H588" s="166"/>
      <c r="I588" s="167"/>
      <c r="J588" s="167"/>
      <c r="K588" s="166"/>
      <c r="L588" s="166"/>
      <c r="M588" s="166"/>
      <c r="N588" s="166"/>
      <c r="O588" s="166"/>
      <c r="P588" s="166"/>
      <c r="Q588" s="166"/>
      <c r="R588" s="166"/>
      <c r="S588" s="166"/>
      <c r="T588" s="166"/>
      <c r="U588" s="166"/>
      <c r="V588" s="166"/>
      <c r="W588" s="166"/>
      <c r="X588" s="166"/>
      <c r="Y588" s="166"/>
      <c r="Z588" s="166"/>
      <c r="AA588" s="166"/>
      <c r="AB588" s="166"/>
      <c r="AC588" s="166"/>
      <c r="AD588" s="166"/>
      <c r="AE588" s="166"/>
      <c r="AF588" s="166"/>
      <c r="AG588" s="166"/>
      <c r="AH588" s="166"/>
      <c r="AI588" s="166"/>
    </row>
    <row r="589" spans="7:35" x14ac:dyDescent="0.25">
      <c r="G589" s="165"/>
      <c r="H589" s="166"/>
      <c r="I589" s="167"/>
      <c r="J589" s="167"/>
      <c r="K589" s="166"/>
      <c r="L589" s="166"/>
      <c r="M589" s="166"/>
      <c r="N589" s="166"/>
      <c r="O589" s="166"/>
      <c r="P589" s="166"/>
      <c r="Q589" s="166"/>
      <c r="R589" s="166"/>
      <c r="S589" s="166"/>
      <c r="T589" s="166"/>
      <c r="U589" s="166"/>
      <c r="V589" s="166"/>
      <c r="W589" s="166"/>
      <c r="X589" s="166"/>
      <c r="Y589" s="166"/>
      <c r="Z589" s="166"/>
      <c r="AA589" s="166"/>
      <c r="AB589" s="166"/>
      <c r="AC589" s="166"/>
      <c r="AD589" s="166"/>
      <c r="AE589" s="166"/>
      <c r="AF589" s="166"/>
      <c r="AG589" s="166"/>
      <c r="AH589" s="166"/>
      <c r="AI589" s="166"/>
    </row>
    <row r="590" spans="7:35" x14ac:dyDescent="0.25">
      <c r="G590" s="165"/>
      <c r="H590" s="166"/>
      <c r="I590" s="167"/>
      <c r="J590" s="167"/>
      <c r="K590" s="166"/>
      <c r="L590" s="166"/>
      <c r="M590" s="166"/>
      <c r="N590" s="166"/>
      <c r="O590" s="166"/>
      <c r="P590" s="166"/>
      <c r="Q590" s="166"/>
      <c r="R590" s="166"/>
      <c r="S590" s="166"/>
      <c r="T590" s="166"/>
      <c r="U590" s="166"/>
      <c r="V590" s="166"/>
      <c r="W590" s="166"/>
      <c r="X590" s="166"/>
      <c r="Y590" s="166"/>
      <c r="Z590" s="166"/>
      <c r="AA590" s="166"/>
      <c r="AB590" s="166"/>
      <c r="AC590" s="166"/>
      <c r="AD590" s="166"/>
      <c r="AE590" s="166"/>
      <c r="AF590" s="166"/>
      <c r="AG590" s="166"/>
      <c r="AH590" s="166"/>
      <c r="AI590" s="166"/>
    </row>
    <row r="591" spans="7:35" x14ac:dyDescent="0.25">
      <c r="G591" s="165"/>
      <c r="H591" s="166"/>
      <c r="I591" s="167"/>
      <c r="J591" s="167"/>
      <c r="K591" s="166"/>
      <c r="L591" s="166"/>
      <c r="M591" s="166"/>
      <c r="N591" s="166"/>
      <c r="O591" s="166"/>
      <c r="P591" s="166"/>
      <c r="Q591" s="166"/>
      <c r="R591" s="166"/>
      <c r="S591" s="166"/>
      <c r="T591" s="166"/>
      <c r="U591" s="166"/>
      <c r="V591" s="166"/>
      <c r="W591" s="166"/>
      <c r="X591" s="166"/>
      <c r="Y591" s="166"/>
      <c r="Z591" s="166"/>
      <c r="AA591" s="166"/>
      <c r="AB591" s="166"/>
      <c r="AC591" s="166"/>
      <c r="AD591" s="166"/>
      <c r="AE591" s="166"/>
      <c r="AF591" s="166"/>
      <c r="AG591" s="166"/>
      <c r="AH591" s="166"/>
      <c r="AI591" s="166"/>
    </row>
    <row r="592" spans="7:35" x14ac:dyDescent="0.25">
      <c r="G592" s="165"/>
      <c r="H592" s="166"/>
      <c r="I592" s="167"/>
      <c r="J592" s="167"/>
      <c r="K592" s="166"/>
      <c r="L592" s="166"/>
      <c r="M592" s="166"/>
      <c r="N592" s="166"/>
      <c r="O592" s="166"/>
      <c r="P592" s="166"/>
      <c r="Q592" s="166"/>
      <c r="R592" s="166"/>
      <c r="S592" s="166"/>
      <c r="T592" s="166"/>
      <c r="U592" s="166"/>
      <c r="V592" s="166"/>
      <c r="W592" s="166"/>
      <c r="X592" s="166"/>
      <c r="Y592" s="166"/>
      <c r="Z592" s="166"/>
      <c r="AA592" s="166"/>
      <c r="AB592" s="166"/>
      <c r="AC592" s="166"/>
      <c r="AD592" s="166"/>
      <c r="AE592" s="166"/>
      <c r="AF592" s="166"/>
      <c r="AG592" s="166"/>
      <c r="AH592" s="166"/>
      <c r="AI592" s="166"/>
    </row>
    <row r="593" spans="7:35" x14ac:dyDescent="0.25">
      <c r="G593" s="165"/>
      <c r="H593" s="166"/>
      <c r="I593" s="167"/>
      <c r="J593" s="167"/>
      <c r="K593" s="166"/>
      <c r="L593" s="166"/>
      <c r="M593" s="166"/>
      <c r="N593" s="166"/>
      <c r="O593" s="166"/>
      <c r="P593" s="166"/>
      <c r="Q593" s="166"/>
      <c r="R593" s="166"/>
      <c r="S593" s="166"/>
      <c r="T593" s="166"/>
      <c r="U593" s="166"/>
      <c r="V593" s="166"/>
      <c r="W593" s="166"/>
      <c r="X593" s="166"/>
      <c r="Y593" s="166"/>
      <c r="Z593" s="166"/>
      <c r="AA593" s="166"/>
      <c r="AB593" s="166"/>
      <c r="AC593" s="166"/>
      <c r="AD593" s="166"/>
      <c r="AE593" s="166"/>
      <c r="AF593" s="166"/>
      <c r="AG593" s="166"/>
      <c r="AH593" s="166"/>
      <c r="AI593" s="166"/>
    </row>
    <row r="594" spans="7:35" x14ac:dyDescent="0.25">
      <c r="G594" s="165"/>
      <c r="H594" s="166"/>
      <c r="I594" s="167"/>
      <c r="J594" s="167"/>
      <c r="K594" s="166"/>
      <c r="L594" s="166"/>
      <c r="M594" s="166"/>
      <c r="N594" s="166"/>
      <c r="O594" s="166"/>
      <c r="P594" s="166"/>
      <c r="Q594" s="166"/>
      <c r="R594" s="166"/>
      <c r="S594" s="166"/>
      <c r="T594" s="166"/>
      <c r="U594" s="166"/>
      <c r="V594" s="166"/>
      <c r="W594" s="166"/>
      <c r="X594" s="166"/>
      <c r="Y594" s="166"/>
      <c r="Z594" s="166"/>
      <c r="AA594" s="166"/>
      <c r="AB594" s="166"/>
      <c r="AC594" s="166"/>
      <c r="AD594" s="166"/>
      <c r="AE594" s="166"/>
      <c r="AF594" s="166"/>
      <c r="AG594" s="166"/>
      <c r="AH594" s="166"/>
      <c r="AI594" s="166"/>
    </row>
    <row r="595" spans="7:35" x14ac:dyDescent="0.25">
      <c r="G595" s="165"/>
      <c r="H595" s="166"/>
      <c r="I595" s="167"/>
      <c r="J595" s="167"/>
      <c r="K595" s="166"/>
      <c r="L595" s="166"/>
      <c r="M595" s="166"/>
      <c r="N595" s="166"/>
      <c r="O595" s="166"/>
      <c r="P595" s="166"/>
      <c r="Q595" s="166"/>
      <c r="R595" s="166"/>
      <c r="S595" s="166"/>
      <c r="T595" s="166"/>
      <c r="U595" s="166"/>
      <c r="V595" s="166"/>
      <c r="W595" s="166"/>
      <c r="X595" s="166"/>
      <c r="Y595" s="166"/>
      <c r="Z595" s="166"/>
      <c r="AA595" s="166"/>
      <c r="AB595" s="166"/>
      <c r="AC595" s="166"/>
      <c r="AD595" s="166"/>
      <c r="AE595" s="166"/>
      <c r="AF595" s="166"/>
      <c r="AG595" s="166"/>
      <c r="AH595" s="166"/>
      <c r="AI595" s="166"/>
    </row>
    <row r="596" spans="7:35" x14ac:dyDescent="0.25">
      <c r="G596" s="165"/>
      <c r="H596" s="166"/>
      <c r="I596" s="167"/>
      <c r="J596" s="167"/>
      <c r="K596" s="166"/>
      <c r="L596" s="166"/>
      <c r="M596" s="166"/>
      <c r="N596" s="166"/>
      <c r="O596" s="166"/>
      <c r="P596" s="166"/>
      <c r="Q596" s="166"/>
      <c r="R596" s="166"/>
      <c r="S596" s="166"/>
      <c r="T596" s="166"/>
      <c r="U596" s="166"/>
      <c r="V596" s="166"/>
      <c r="W596" s="166"/>
      <c r="X596" s="166"/>
      <c r="Y596" s="166"/>
      <c r="Z596" s="166"/>
      <c r="AA596" s="166"/>
      <c r="AB596" s="166"/>
      <c r="AC596" s="166"/>
      <c r="AD596" s="166"/>
      <c r="AE596" s="166"/>
      <c r="AF596" s="166"/>
      <c r="AG596" s="166"/>
      <c r="AH596" s="166"/>
      <c r="AI596" s="166"/>
    </row>
    <row r="597" spans="7:35" x14ac:dyDescent="0.25">
      <c r="G597" s="165"/>
      <c r="H597" s="166"/>
      <c r="I597" s="167"/>
      <c r="J597" s="167"/>
      <c r="K597" s="166"/>
      <c r="L597" s="166"/>
      <c r="M597" s="166"/>
      <c r="N597" s="166"/>
      <c r="O597" s="166"/>
      <c r="P597" s="166"/>
      <c r="Q597" s="166"/>
      <c r="R597" s="166"/>
      <c r="S597" s="166"/>
      <c r="T597" s="166"/>
      <c r="U597" s="166"/>
      <c r="V597" s="166"/>
      <c r="W597" s="166"/>
      <c r="X597" s="166"/>
      <c r="Y597" s="166"/>
      <c r="Z597" s="166"/>
      <c r="AA597" s="166"/>
      <c r="AB597" s="166"/>
      <c r="AC597" s="166"/>
      <c r="AD597" s="166"/>
      <c r="AE597" s="166"/>
      <c r="AF597" s="166"/>
      <c r="AG597" s="166"/>
      <c r="AH597" s="166"/>
      <c r="AI597" s="166"/>
    </row>
    <row r="598" spans="7:35" x14ac:dyDescent="0.25">
      <c r="G598" s="165"/>
      <c r="H598" s="166"/>
      <c r="I598" s="167"/>
      <c r="J598" s="167"/>
      <c r="K598" s="166"/>
      <c r="L598" s="166"/>
      <c r="M598" s="166"/>
      <c r="N598" s="166"/>
      <c r="O598" s="166"/>
      <c r="P598" s="166"/>
      <c r="Q598" s="166"/>
      <c r="R598" s="166"/>
      <c r="S598" s="166"/>
      <c r="T598" s="166"/>
      <c r="U598" s="166"/>
      <c r="V598" s="166"/>
      <c r="W598" s="166"/>
      <c r="X598" s="166"/>
      <c r="Y598" s="166"/>
      <c r="Z598" s="166"/>
      <c r="AA598" s="166"/>
      <c r="AB598" s="166"/>
      <c r="AC598" s="166"/>
      <c r="AD598" s="166"/>
      <c r="AE598" s="166"/>
      <c r="AF598" s="166"/>
      <c r="AG598" s="166"/>
      <c r="AH598" s="166"/>
      <c r="AI598" s="166"/>
    </row>
    <row r="599" spans="7:35" x14ac:dyDescent="0.25">
      <c r="G599" s="165"/>
      <c r="H599" s="166"/>
      <c r="I599" s="167"/>
      <c r="J599" s="167"/>
      <c r="K599" s="166"/>
      <c r="L599" s="166"/>
      <c r="M599" s="166"/>
      <c r="N599" s="166"/>
      <c r="O599" s="166"/>
      <c r="P599" s="166"/>
      <c r="Q599" s="166"/>
      <c r="R599" s="166"/>
      <c r="S599" s="166"/>
      <c r="T599" s="166"/>
      <c r="U599" s="166"/>
      <c r="V599" s="166"/>
      <c r="W599" s="166"/>
      <c r="X599" s="166"/>
      <c r="Y599" s="166"/>
      <c r="Z599" s="166"/>
      <c r="AA599" s="166"/>
      <c r="AB599" s="166"/>
      <c r="AC599" s="166"/>
      <c r="AD599" s="166"/>
      <c r="AE599" s="166"/>
      <c r="AF599" s="166"/>
      <c r="AG599" s="166"/>
      <c r="AH599" s="166"/>
      <c r="AI599" s="166"/>
    </row>
    <row r="600" spans="7:35" x14ac:dyDescent="0.25">
      <c r="G600" s="165"/>
      <c r="H600" s="166"/>
      <c r="I600" s="167"/>
      <c r="J600" s="167"/>
      <c r="K600" s="166"/>
      <c r="L600" s="166"/>
      <c r="M600" s="166"/>
      <c r="N600" s="166"/>
      <c r="O600" s="166"/>
      <c r="P600" s="166"/>
      <c r="Q600" s="166"/>
      <c r="R600" s="166"/>
      <c r="S600" s="166"/>
      <c r="T600" s="166"/>
      <c r="U600" s="166"/>
      <c r="V600" s="166"/>
      <c r="W600" s="166"/>
      <c r="X600" s="166"/>
      <c r="Y600" s="166"/>
      <c r="Z600" s="166"/>
      <c r="AA600" s="166"/>
      <c r="AB600" s="166"/>
      <c r="AC600" s="166"/>
      <c r="AD600" s="166"/>
      <c r="AE600" s="166"/>
      <c r="AF600" s="166"/>
      <c r="AG600" s="166"/>
      <c r="AH600" s="166"/>
      <c r="AI600" s="166"/>
    </row>
    <row r="601" spans="7:35" x14ac:dyDescent="0.25">
      <c r="G601" s="165"/>
      <c r="H601" s="166"/>
      <c r="I601" s="167"/>
      <c r="J601" s="167"/>
      <c r="K601" s="166"/>
      <c r="L601" s="166"/>
      <c r="M601" s="166"/>
      <c r="N601" s="166"/>
      <c r="O601" s="166"/>
      <c r="P601" s="166"/>
      <c r="Q601" s="166"/>
      <c r="R601" s="166"/>
      <c r="S601" s="166"/>
      <c r="T601" s="166"/>
      <c r="U601" s="166"/>
      <c r="V601" s="166"/>
      <c r="W601" s="166"/>
      <c r="X601" s="166"/>
      <c r="Y601" s="166"/>
      <c r="Z601" s="166"/>
      <c r="AA601" s="166"/>
      <c r="AB601" s="166"/>
      <c r="AC601" s="166"/>
      <c r="AD601" s="166"/>
      <c r="AE601" s="166"/>
      <c r="AF601" s="166"/>
      <c r="AG601" s="166"/>
      <c r="AH601" s="166"/>
      <c r="AI601" s="166"/>
    </row>
    <row r="602" spans="7:35" x14ac:dyDescent="0.25">
      <c r="G602" s="165"/>
      <c r="H602" s="166"/>
      <c r="I602" s="167"/>
      <c r="J602" s="167"/>
      <c r="K602" s="166"/>
      <c r="L602" s="166"/>
      <c r="M602" s="166"/>
      <c r="N602" s="166"/>
      <c r="O602" s="166"/>
      <c r="P602" s="166"/>
      <c r="Q602" s="166"/>
      <c r="R602" s="166"/>
      <c r="S602" s="166"/>
      <c r="T602" s="166"/>
      <c r="U602" s="166"/>
      <c r="V602" s="166"/>
      <c r="W602" s="166"/>
      <c r="X602" s="166"/>
      <c r="Y602" s="166"/>
      <c r="Z602" s="166"/>
      <c r="AA602" s="166"/>
      <c r="AB602" s="166"/>
      <c r="AC602" s="166"/>
      <c r="AD602" s="166"/>
      <c r="AE602" s="166"/>
      <c r="AF602" s="166"/>
      <c r="AG602" s="166"/>
      <c r="AH602" s="166"/>
      <c r="AI602" s="166"/>
    </row>
    <row r="603" spans="7:35" x14ac:dyDescent="0.25">
      <c r="G603" s="165"/>
      <c r="H603" s="166"/>
      <c r="I603" s="167"/>
      <c r="J603" s="167"/>
      <c r="K603" s="166"/>
      <c r="L603" s="166"/>
      <c r="M603" s="166"/>
      <c r="N603" s="166"/>
      <c r="O603" s="166"/>
      <c r="P603" s="166"/>
      <c r="Q603" s="166"/>
      <c r="R603" s="166"/>
      <c r="S603" s="166"/>
      <c r="T603" s="166"/>
      <c r="U603" s="166"/>
      <c r="V603" s="166"/>
      <c r="W603" s="166"/>
      <c r="X603" s="166"/>
      <c r="Y603" s="166"/>
      <c r="Z603" s="166"/>
      <c r="AA603" s="166"/>
      <c r="AB603" s="166"/>
      <c r="AC603" s="166"/>
      <c r="AD603" s="166"/>
      <c r="AE603" s="166"/>
      <c r="AF603" s="166"/>
      <c r="AG603" s="166"/>
      <c r="AH603" s="166"/>
      <c r="AI603" s="166"/>
    </row>
    <row r="604" spans="7:35" x14ac:dyDescent="0.25">
      <c r="G604" s="165"/>
      <c r="H604" s="166"/>
      <c r="I604" s="167"/>
      <c r="J604" s="167"/>
      <c r="K604" s="166"/>
      <c r="L604" s="166"/>
      <c r="M604" s="166"/>
      <c r="N604" s="166"/>
      <c r="O604" s="166"/>
      <c r="P604" s="166"/>
      <c r="Q604" s="166"/>
      <c r="R604" s="166"/>
      <c r="S604" s="166"/>
      <c r="T604" s="166"/>
      <c r="U604" s="166"/>
      <c r="V604" s="166"/>
      <c r="W604" s="166"/>
      <c r="X604" s="166"/>
      <c r="Y604" s="166"/>
      <c r="Z604" s="166"/>
      <c r="AA604" s="166"/>
      <c r="AB604" s="166"/>
      <c r="AC604" s="166"/>
      <c r="AD604" s="166"/>
      <c r="AE604" s="166"/>
      <c r="AF604" s="166"/>
      <c r="AG604" s="166"/>
      <c r="AH604" s="166"/>
      <c r="AI604" s="166"/>
    </row>
    <row r="605" spans="7:35" x14ac:dyDescent="0.25">
      <c r="G605" s="165"/>
      <c r="H605" s="166"/>
      <c r="I605" s="167"/>
      <c r="J605" s="167"/>
      <c r="K605" s="166"/>
      <c r="L605" s="166"/>
      <c r="M605" s="166"/>
      <c r="N605" s="166"/>
      <c r="O605" s="166"/>
      <c r="P605" s="166"/>
      <c r="Q605" s="166"/>
      <c r="R605" s="166"/>
      <c r="S605" s="166"/>
      <c r="T605" s="166"/>
      <c r="U605" s="166"/>
      <c r="V605" s="166"/>
      <c r="W605" s="166"/>
      <c r="X605" s="166"/>
      <c r="Y605" s="166"/>
      <c r="Z605" s="166"/>
      <c r="AA605" s="166"/>
      <c r="AB605" s="166"/>
      <c r="AC605" s="166"/>
      <c r="AD605" s="166"/>
      <c r="AE605" s="166"/>
      <c r="AF605" s="166"/>
      <c r="AG605" s="166"/>
      <c r="AH605" s="166"/>
      <c r="AI605" s="166"/>
    </row>
    <row r="606" spans="7:35" x14ac:dyDescent="0.25">
      <c r="G606" s="165"/>
      <c r="H606" s="166"/>
      <c r="I606" s="167"/>
      <c r="J606" s="167"/>
      <c r="K606" s="166"/>
      <c r="L606" s="166"/>
      <c r="M606" s="166"/>
      <c r="N606" s="166"/>
      <c r="O606" s="166"/>
      <c r="P606" s="166"/>
      <c r="Q606" s="166"/>
      <c r="R606" s="166"/>
      <c r="S606" s="166"/>
      <c r="T606" s="166"/>
      <c r="U606" s="166"/>
      <c r="V606" s="166"/>
      <c r="W606" s="166"/>
      <c r="X606" s="166"/>
      <c r="Y606" s="166"/>
      <c r="Z606" s="166"/>
      <c r="AA606" s="166"/>
      <c r="AB606" s="166"/>
      <c r="AC606" s="166"/>
      <c r="AD606" s="166"/>
      <c r="AE606" s="166"/>
      <c r="AF606" s="166"/>
      <c r="AG606" s="166"/>
      <c r="AH606" s="166"/>
      <c r="AI606" s="166"/>
    </row>
    <row r="607" spans="7:35" x14ac:dyDescent="0.25">
      <c r="G607" s="165"/>
      <c r="H607" s="166"/>
      <c r="I607" s="167"/>
      <c r="J607" s="167"/>
      <c r="K607" s="166"/>
      <c r="L607" s="166"/>
      <c r="M607" s="166"/>
      <c r="N607" s="166"/>
      <c r="O607" s="166"/>
      <c r="P607" s="166"/>
      <c r="Q607" s="166"/>
      <c r="R607" s="166"/>
      <c r="S607" s="166"/>
      <c r="T607" s="166"/>
      <c r="U607" s="166"/>
      <c r="V607" s="166"/>
      <c r="W607" s="166"/>
      <c r="X607" s="166"/>
      <c r="Y607" s="166"/>
      <c r="Z607" s="166"/>
      <c r="AA607" s="166"/>
      <c r="AB607" s="166"/>
      <c r="AC607" s="166"/>
      <c r="AD607" s="166"/>
      <c r="AE607" s="166"/>
      <c r="AF607" s="166"/>
      <c r="AG607" s="166"/>
      <c r="AH607" s="166"/>
      <c r="AI607" s="166"/>
    </row>
    <row r="608" spans="7:35" x14ac:dyDescent="0.25">
      <c r="G608" s="165"/>
      <c r="H608" s="166"/>
      <c r="I608" s="167"/>
      <c r="J608" s="167"/>
      <c r="K608" s="166"/>
      <c r="L608" s="166"/>
      <c r="M608" s="166"/>
      <c r="N608" s="166"/>
      <c r="O608" s="166"/>
      <c r="P608" s="166"/>
      <c r="Q608" s="166"/>
      <c r="R608" s="166"/>
      <c r="S608" s="166"/>
      <c r="T608" s="166"/>
      <c r="U608" s="166"/>
      <c r="V608" s="166"/>
      <c r="W608" s="166"/>
      <c r="X608" s="166"/>
      <c r="Y608" s="166"/>
      <c r="Z608" s="166"/>
      <c r="AA608" s="166"/>
      <c r="AB608" s="166"/>
      <c r="AC608" s="166"/>
      <c r="AD608" s="166"/>
      <c r="AE608" s="166"/>
      <c r="AF608" s="166"/>
      <c r="AG608" s="166"/>
      <c r="AH608" s="166"/>
      <c r="AI608" s="166"/>
    </row>
    <row r="609" spans="7:35" x14ac:dyDescent="0.25">
      <c r="G609" s="165"/>
      <c r="H609" s="166"/>
      <c r="I609" s="167"/>
      <c r="J609" s="167"/>
      <c r="K609" s="166"/>
      <c r="L609" s="166"/>
      <c r="M609" s="166"/>
      <c r="N609" s="166"/>
      <c r="O609" s="166"/>
      <c r="P609" s="166"/>
      <c r="Q609" s="166"/>
      <c r="R609" s="166"/>
      <c r="S609" s="166"/>
      <c r="T609" s="166"/>
      <c r="U609" s="166"/>
      <c r="V609" s="166"/>
      <c r="W609" s="166"/>
      <c r="X609" s="166"/>
      <c r="Y609" s="166"/>
      <c r="Z609" s="166"/>
      <c r="AA609" s="166"/>
      <c r="AB609" s="166"/>
      <c r="AC609" s="166"/>
      <c r="AD609" s="166"/>
      <c r="AE609" s="166"/>
      <c r="AF609" s="166"/>
      <c r="AG609" s="166"/>
      <c r="AH609" s="166"/>
      <c r="AI609" s="166"/>
    </row>
    <row r="610" spans="7:35" x14ac:dyDescent="0.25">
      <c r="G610" s="165"/>
      <c r="H610" s="166"/>
      <c r="I610" s="167"/>
      <c r="J610" s="167"/>
      <c r="K610" s="166"/>
      <c r="L610" s="166"/>
      <c r="M610" s="166"/>
      <c r="N610" s="166"/>
      <c r="O610" s="166"/>
      <c r="P610" s="166"/>
      <c r="Q610" s="166"/>
      <c r="R610" s="166"/>
      <c r="S610" s="166"/>
      <c r="T610" s="166"/>
      <c r="U610" s="166"/>
      <c r="V610" s="166"/>
      <c r="W610" s="166"/>
      <c r="X610" s="166"/>
      <c r="Y610" s="166"/>
      <c r="Z610" s="166"/>
      <c r="AA610" s="166"/>
      <c r="AB610" s="166"/>
      <c r="AC610" s="166"/>
      <c r="AD610" s="166"/>
      <c r="AE610" s="166"/>
      <c r="AF610" s="166"/>
      <c r="AG610" s="166"/>
      <c r="AH610" s="166"/>
      <c r="AI610" s="166"/>
    </row>
    <row r="611" spans="7:35" x14ac:dyDescent="0.25">
      <c r="G611" s="165"/>
      <c r="H611" s="166"/>
      <c r="I611" s="167"/>
      <c r="J611" s="167"/>
      <c r="K611" s="166"/>
      <c r="L611" s="166"/>
      <c r="M611" s="166"/>
      <c r="N611" s="166"/>
      <c r="O611" s="166"/>
      <c r="P611" s="166"/>
      <c r="Q611" s="166"/>
      <c r="R611" s="166"/>
      <c r="S611" s="166"/>
      <c r="T611" s="166"/>
      <c r="U611" s="166"/>
      <c r="V611" s="166"/>
      <c r="W611" s="166"/>
      <c r="X611" s="166"/>
      <c r="Y611" s="166"/>
      <c r="Z611" s="166"/>
      <c r="AA611" s="166"/>
      <c r="AB611" s="166"/>
      <c r="AC611" s="166"/>
      <c r="AD611" s="166"/>
      <c r="AE611" s="166"/>
      <c r="AF611" s="166"/>
      <c r="AG611" s="166"/>
      <c r="AH611" s="166"/>
      <c r="AI611" s="166"/>
    </row>
    <row r="612" spans="7:35" x14ac:dyDescent="0.25">
      <c r="G612" s="165"/>
      <c r="H612" s="166"/>
      <c r="I612" s="167"/>
      <c r="J612" s="167"/>
      <c r="K612" s="166"/>
      <c r="L612" s="166"/>
      <c r="M612" s="166"/>
      <c r="N612" s="166"/>
      <c r="O612" s="166"/>
      <c r="P612" s="166"/>
      <c r="Q612" s="166"/>
      <c r="R612" s="166"/>
      <c r="S612" s="166"/>
      <c r="T612" s="166"/>
      <c r="U612" s="166"/>
      <c r="V612" s="166"/>
      <c r="W612" s="166"/>
      <c r="X612" s="166"/>
      <c r="Y612" s="166"/>
      <c r="Z612" s="166"/>
      <c r="AA612" s="166"/>
      <c r="AB612" s="166"/>
      <c r="AC612" s="166"/>
      <c r="AD612" s="166"/>
      <c r="AE612" s="166"/>
      <c r="AF612" s="166"/>
      <c r="AG612" s="166"/>
      <c r="AH612" s="166"/>
      <c r="AI612" s="166"/>
    </row>
    <row r="613" spans="7:35" x14ac:dyDescent="0.25">
      <c r="G613" s="165"/>
      <c r="H613" s="166"/>
      <c r="I613" s="167"/>
      <c r="J613" s="167"/>
      <c r="K613" s="166"/>
      <c r="L613" s="166"/>
      <c r="M613" s="166"/>
      <c r="N613" s="166"/>
      <c r="O613" s="166"/>
      <c r="P613" s="166"/>
      <c r="Q613" s="166"/>
      <c r="R613" s="166"/>
      <c r="S613" s="166"/>
      <c r="T613" s="166"/>
      <c r="U613" s="166"/>
      <c r="V613" s="166"/>
      <c r="W613" s="166"/>
      <c r="X613" s="166"/>
      <c r="Y613" s="166"/>
      <c r="Z613" s="166"/>
      <c r="AA613" s="166"/>
      <c r="AB613" s="166"/>
      <c r="AC613" s="166"/>
      <c r="AD613" s="166"/>
      <c r="AE613" s="166"/>
      <c r="AF613" s="166"/>
      <c r="AG613" s="166"/>
      <c r="AH613" s="166"/>
      <c r="AI613" s="166"/>
    </row>
    <row r="614" spans="7:35" x14ac:dyDescent="0.25">
      <c r="G614" s="165"/>
      <c r="H614" s="166"/>
      <c r="I614" s="167"/>
      <c r="J614" s="167"/>
      <c r="K614" s="166"/>
      <c r="L614" s="166"/>
      <c r="M614" s="166"/>
      <c r="N614" s="166"/>
      <c r="O614" s="166"/>
      <c r="P614" s="166"/>
      <c r="Q614" s="166"/>
      <c r="R614" s="166"/>
      <c r="S614" s="166"/>
      <c r="T614" s="166"/>
      <c r="U614" s="166"/>
      <c r="V614" s="166"/>
      <c r="W614" s="166"/>
      <c r="X614" s="166"/>
      <c r="Y614" s="166"/>
      <c r="Z614" s="166"/>
      <c r="AA614" s="166"/>
      <c r="AB614" s="166"/>
      <c r="AC614" s="166"/>
      <c r="AD614" s="166"/>
      <c r="AE614" s="166"/>
      <c r="AF614" s="166"/>
      <c r="AG614" s="166"/>
      <c r="AH614" s="166"/>
      <c r="AI614" s="166"/>
    </row>
    <row r="615" spans="7:35" x14ac:dyDescent="0.25">
      <c r="G615" s="165"/>
      <c r="H615" s="166"/>
      <c r="I615" s="167"/>
      <c r="J615" s="167"/>
      <c r="K615" s="166"/>
      <c r="L615" s="166"/>
      <c r="M615" s="166"/>
      <c r="N615" s="166"/>
      <c r="O615" s="166"/>
      <c r="P615" s="166"/>
      <c r="Q615" s="166"/>
      <c r="R615" s="166"/>
      <c r="S615" s="166"/>
      <c r="T615" s="166"/>
      <c r="U615" s="166"/>
      <c r="V615" s="166"/>
      <c r="W615" s="166"/>
      <c r="X615" s="166"/>
      <c r="Y615" s="166"/>
      <c r="Z615" s="166"/>
      <c r="AA615" s="166"/>
      <c r="AB615" s="166"/>
      <c r="AC615" s="166"/>
      <c r="AD615" s="166"/>
      <c r="AE615" s="166"/>
      <c r="AF615" s="166"/>
      <c r="AG615" s="166"/>
      <c r="AH615" s="166"/>
      <c r="AI615" s="166"/>
    </row>
    <row r="616" spans="7:35" x14ac:dyDescent="0.25">
      <c r="G616" s="165"/>
      <c r="H616" s="166"/>
      <c r="I616" s="167"/>
      <c r="J616" s="167"/>
      <c r="K616" s="166"/>
      <c r="L616" s="166"/>
      <c r="M616" s="166"/>
      <c r="N616" s="166"/>
      <c r="O616" s="166"/>
      <c r="P616" s="166"/>
      <c r="Q616" s="166"/>
      <c r="R616" s="166"/>
      <c r="S616" s="166"/>
      <c r="T616" s="166"/>
      <c r="U616" s="166"/>
      <c r="V616" s="166"/>
      <c r="W616" s="166"/>
      <c r="X616" s="166"/>
      <c r="Y616" s="166"/>
      <c r="Z616" s="166"/>
      <c r="AA616" s="166"/>
      <c r="AB616" s="166"/>
      <c r="AC616" s="166"/>
      <c r="AD616" s="166"/>
      <c r="AE616" s="166"/>
      <c r="AF616" s="166"/>
      <c r="AG616" s="166"/>
      <c r="AH616" s="166"/>
      <c r="AI616" s="166"/>
    </row>
    <row r="617" spans="7:35" x14ac:dyDescent="0.25">
      <c r="G617" s="165"/>
      <c r="H617" s="166"/>
      <c r="I617" s="167"/>
      <c r="J617" s="167"/>
      <c r="K617" s="166"/>
      <c r="L617" s="166"/>
      <c r="M617" s="166"/>
      <c r="N617" s="166"/>
      <c r="O617" s="166"/>
      <c r="P617" s="166"/>
      <c r="Q617" s="166"/>
      <c r="R617" s="166"/>
      <c r="S617" s="166"/>
      <c r="T617" s="166"/>
      <c r="U617" s="166"/>
      <c r="V617" s="166"/>
      <c r="W617" s="166"/>
      <c r="X617" s="166"/>
      <c r="Y617" s="166"/>
      <c r="Z617" s="166"/>
      <c r="AA617" s="166"/>
      <c r="AB617" s="166"/>
      <c r="AC617" s="166"/>
      <c r="AD617" s="166"/>
      <c r="AE617" s="166"/>
      <c r="AF617" s="166"/>
      <c r="AG617" s="166"/>
      <c r="AH617" s="166"/>
      <c r="AI617" s="166"/>
    </row>
    <row r="618" spans="7:35" x14ac:dyDescent="0.25">
      <c r="G618" s="165"/>
      <c r="H618" s="166"/>
      <c r="I618" s="167"/>
      <c r="J618" s="167"/>
      <c r="K618" s="166"/>
      <c r="L618" s="166"/>
      <c r="M618" s="166"/>
      <c r="N618" s="166"/>
      <c r="O618" s="166"/>
      <c r="P618" s="166"/>
      <c r="Q618" s="166"/>
      <c r="R618" s="166"/>
      <c r="S618" s="166"/>
      <c r="T618" s="166"/>
      <c r="U618" s="166"/>
      <c r="V618" s="166"/>
      <c r="W618" s="166"/>
      <c r="X618" s="166"/>
      <c r="Y618" s="166"/>
      <c r="Z618" s="166"/>
      <c r="AA618" s="166"/>
      <c r="AB618" s="166"/>
      <c r="AC618" s="166"/>
      <c r="AD618" s="166"/>
      <c r="AE618" s="166"/>
      <c r="AF618" s="166"/>
      <c r="AG618" s="166"/>
      <c r="AH618" s="166"/>
      <c r="AI618" s="166"/>
    </row>
    <row r="619" spans="7:35" x14ac:dyDescent="0.25">
      <c r="G619" s="165"/>
      <c r="H619" s="166"/>
      <c r="I619" s="167"/>
      <c r="J619" s="167"/>
      <c r="K619" s="166"/>
      <c r="L619" s="166"/>
      <c r="M619" s="166"/>
      <c r="N619" s="166"/>
      <c r="O619" s="166"/>
      <c r="P619" s="166"/>
      <c r="Q619" s="166"/>
      <c r="R619" s="166"/>
      <c r="S619" s="166"/>
      <c r="T619" s="166"/>
      <c r="U619" s="166"/>
      <c r="V619" s="166"/>
      <c r="W619" s="166"/>
      <c r="X619" s="166"/>
      <c r="Y619" s="166"/>
      <c r="Z619" s="166"/>
      <c r="AA619" s="166"/>
      <c r="AB619" s="166"/>
      <c r="AC619" s="166"/>
      <c r="AD619" s="166"/>
      <c r="AE619" s="166"/>
      <c r="AF619" s="166"/>
      <c r="AG619" s="166"/>
      <c r="AH619" s="166"/>
      <c r="AI619" s="166"/>
    </row>
    <row r="620" spans="7:35" x14ac:dyDescent="0.25">
      <c r="G620" s="165"/>
      <c r="H620" s="166"/>
      <c r="I620" s="167"/>
      <c r="J620" s="167"/>
      <c r="K620" s="166"/>
      <c r="L620" s="166"/>
      <c r="M620" s="166"/>
      <c r="N620" s="166"/>
      <c r="O620" s="166"/>
      <c r="P620" s="166"/>
      <c r="Q620" s="166"/>
      <c r="R620" s="166"/>
      <c r="S620" s="166"/>
      <c r="T620" s="166"/>
      <c r="U620" s="166"/>
      <c r="V620" s="166"/>
      <c r="W620" s="166"/>
      <c r="X620" s="166"/>
      <c r="Y620" s="166"/>
      <c r="Z620" s="166"/>
      <c r="AA620" s="166"/>
      <c r="AB620" s="166"/>
      <c r="AC620" s="166"/>
      <c r="AD620" s="166"/>
      <c r="AE620" s="166"/>
      <c r="AF620" s="166"/>
      <c r="AG620" s="166"/>
      <c r="AH620" s="166"/>
      <c r="AI620" s="166"/>
    </row>
    <row r="621" spans="7:35" x14ac:dyDescent="0.25">
      <c r="G621" s="165"/>
      <c r="H621" s="166"/>
      <c r="I621" s="167"/>
      <c r="J621" s="167"/>
      <c r="K621" s="166"/>
      <c r="L621" s="166"/>
      <c r="M621" s="166"/>
      <c r="N621" s="166"/>
      <c r="O621" s="166"/>
      <c r="P621" s="166"/>
      <c r="Q621" s="166"/>
      <c r="R621" s="166"/>
      <c r="S621" s="166"/>
      <c r="T621" s="166"/>
      <c r="U621" s="166"/>
      <c r="V621" s="166"/>
      <c r="W621" s="166"/>
      <c r="X621" s="166"/>
      <c r="Y621" s="166"/>
      <c r="Z621" s="166"/>
      <c r="AA621" s="166"/>
      <c r="AB621" s="166"/>
      <c r="AC621" s="166"/>
      <c r="AD621" s="166"/>
      <c r="AE621" s="166"/>
      <c r="AF621" s="166"/>
      <c r="AG621" s="166"/>
      <c r="AH621" s="166"/>
      <c r="AI621" s="166"/>
    </row>
    <row r="622" spans="7:35" x14ac:dyDescent="0.25">
      <c r="G622" s="165"/>
      <c r="H622" s="166"/>
      <c r="I622" s="167"/>
      <c r="J622" s="167"/>
      <c r="K622" s="166"/>
      <c r="L622" s="166"/>
      <c r="M622" s="166"/>
      <c r="N622" s="166"/>
      <c r="O622" s="166"/>
      <c r="P622" s="166"/>
      <c r="Q622" s="166"/>
      <c r="R622" s="166"/>
      <c r="S622" s="166"/>
      <c r="T622" s="166"/>
      <c r="U622" s="166"/>
      <c r="V622" s="166"/>
      <c r="W622" s="166"/>
      <c r="X622" s="166"/>
      <c r="Y622" s="166"/>
      <c r="Z622" s="166"/>
      <c r="AA622" s="166"/>
      <c r="AB622" s="166"/>
      <c r="AC622" s="166"/>
      <c r="AD622" s="166"/>
      <c r="AE622" s="166"/>
      <c r="AF622" s="166"/>
      <c r="AG622" s="166"/>
      <c r="AH622" s="166"/>
      <c r="AI622" s="166"/>
    </row>
    <row r="623" spans="7:35" x14ac:dyDescent="0.25">
      <c r="G623" s="165"/>
      <c r="H623" s="166"/>
      <c r="I623" s="167"/>
      <c r="J623" s="167"/>
      <c r="K623" s="166"/>
      <c r="L623" s="166"/>
      <c r="M623" s="166"/>
      <c r="N623" s="166"/>
      <c r="O623" s="166"/>
      <c r="P623" s="166"/>
      <c r="Q623" s="166"/>
      <c r="R623" s="166"/>
      <c r="S623" s="166"/>
      <c r="T623" s="166"/>
      <c r="U623" s="166"/>
      <c r="V623" s="166"/>
      <c r="W623" s="166"/>
      <c r="X623" s="166"/>
      <c r="Y623" s="166"/>
      <c r="Z623" s="166"/>
      <c r="AA623" s="166"/>
      <c r="AB623" s="166"/>
      <c r="AC623" s="166"/>
      <c r="AD623" s="166"/>
      <c r="AE623" s="166"/>
      <c r="AF623" s="166"/>
      <c r="AG623" s="166"/>
      <c r="AH623" s="166"/>
      <c r="AI623" s="166"/>
    </row>
    <row r="624" spans="7:35" x14ac:dyDescent="0.25">
      <c r="G624" s="165"/>
      <c r="H624" s="166"/>
      <c r="I624" s="167"/>
      <c r="J624" s="167"/>
      <c r="K624" s="166"/>
      <c r="L624" s="166"/>
      <c r="M624" s="166"/>
      <c r="N624" s="166"/>
      <c r="O624" s="166"/>
      <c r="P624" s="166"/>
      <c r="Q624" s="166"/>
      <c r="R624" s="166"/>
      <c r="S624" s="166"/>
      <c r="T624" s="166"/>
      <c r="U624" s="166"/>
      <c r="V624" s="166"/>
      <c r="W624" s="166"/>
      <c r="X624" s="166"/>
      <c r="Y624" s="166"/>
      <c r="Z624" s="166"/>
      <c r="AA624" s="166"/>
      <c r="AB624" s="166"/>
      <c r="AC624" s="166"/>
      <c r="AD624" s="166"/>
      <c r="AE624" s="166"/>
      <c r="AF624" s="166"/>
      <c r="AG624" s="166"/>
      <c r="AH624" s="166"/>
      <c r="AI624" s="166"/>
    </row>
    <row r="625" spans="7:35" x14ac:dyDescent="0.25">
      <c r="G625" s="165"/>
      <c r="H625" s="166"/>
      <c r="I625" s="167"/>
      <c r="J625" s="167"/>
      <c r="K625" s="166"/>
      <c r="L625" s="166"/>
      <c r="M625" s="166"/>
      <c r="N625" s="166"/>
      <c r="O625" s="166"/>
      <c r="P625" s="166"/>
      <c r="Q625" s="166"/>
      <c r="R625" s="166"/>
      <c r="S625" s="166"/>
      <c r="T625" s="166"/>
      <c r="U625" s="166"/>
      <c r="V625" s="166"/>
      <c r="W625" s="166"/>
      <c r="X625" s="166"/>
      <c r="Y625" s="166"/>
      <c r="Z625" s="166"/>
      <c r="AA625" s="166"/>
      <c r="AB625" s="166"/>
      <c r="AC625" s="166"/>
      <c r="AD625" s="166"/>
      <c r="AE625" s="166"/>
      <c r="AF625" s="166"/>
      <c r="AG625" s="166"/>
      <c r="AH625" s="166"/>
      <c r="AI625" s="166"/>
    </row>
    <row r="626" spans="7:35" x14ac:dyDescent="0.25">
      <c r="G626" s="165"/>
      <c r="H626" s="166"/>
      <c r="I626" s="167"/>
      <c r="J626" s="167"/>
      <c r="K626" s="166"/>
      <c r="L626" s="166"/>
      <c r="M626" s="166"/>
      <c r="N626" s="166"/>
      <c r="O626" s="166"/>
      <c r="P626" s="166"/>
      <c r="Q626" s="166"/>
      <c r="R626" s="166"/>
      <c r="S626" s="166"/>
      <c r="T626" s="166"/>
      <c r="U626" s="166"/>
      <c r="V626" s="166"/>
      <c r="W626" s="166"/>
      <c r="X626" s="166"/>
      <c r="Y626" s="166"/>
      <c r="Z626" s="166"/>
      <c r="AA626" s="166"/>
      <c r="AB626" s="166"/>
      <c r="AC626" s="166"/>
      <c r="AD626" s="166"/>
      <c r="AE626" s="166"/>
      <c r="AF626" s="166"/>
      <c r="AG626" s="166"/>
      <c r="AH626" s="166"/>
      <c r="AI626" s="166"/>
    </row>
    <row r="627" spans="7:35" x14ac:dyDescent="0.25">
      <c r="G627" s="165"/>
      <c r="H627" s="166"/>
      <c r="I627" s="167"/>
      <c r="J627" s="167"/>
      <c r="K627" s="166"/>
      <c r="L627" s="166"/>
      <c r="M627" s="166"/>
      <c r="N627" s="166"/>
      <c r="O627" s="166"/>
      <c r="P627" s="166"/>
      <c r="Q627" s="166"/>
      <c r="R627" s="166"/>
      <c r="S627" s="166"/>
      <c r="T627" s="166"/>
      <c r="U627" s="166"/>
      <c r="V627" s="166"/>
      <c r="W627" s="166"/>
      <c r="X627" s="166"/>
      <c r="Y627" s="166"/>
      <c r="Z627" s="166"/>
      <c r="AA627" s="166"/>
      <c r="AB627" s="166"/>
      <c r="AC627" s="166"/>
      <c r="AD627" s="166"/>
      <c r="AE627" s="166"/>
      <c r="AF627" s="166"/>
      <c r="AG627" s="166"/>
      <c r="AH627" s="166"/>
      <c r="AI627" s="166"/>
    </row>
    <row r="628" spans="7:35" x14ac:dyDescent="0.25">
      <c r="G628" s="165"/>
      <c r="H628" s="166"/>
      <c r="I628" s="167"/>
      <c r="J628" s="167"/>
      <c r="K628" s="166"/>
      <c r="L628" s="166"/>
      <c r="M628" s="166"/>
      <c r="N628" s="166"/>
      <c r="O628" s="166"/>
      <c r="P628" s="166"/>
      <c r="Q628" s="166"/>
      <c r="R628" s="166"/>
      <c r="S628" s="166"/>
      <c r="T628" s="166"/>
      <c r="U628" s="166"/>
      <c r="V628" s="166"/>
      <c r="W628" s="166"/>
      <c r="X628" s="166"/>
      <c r="Y628" s="166"/>
      <c r="Z628" s="166"/>
      <c r="AA628" s="166"/>
      <c r="AB628" s="166"/>
      <c r="AC628" s="166"/>
      <c r="AD628" s="166"/>
      <c r="AE628" s="166"/>
      <c r="AF628" s="166"/>
      <c r="AG628" s="166"/>
      <c r="AH628" s="166"/>
      <c r="AI628" s="166"/>
    </row>
    <row r="629" spans="7:35" x14ac:dyDescent="0.25">
      <c r="G629" s="165"/>
      <c r="H629" s="166"/>
      <c r="I629" s="167"/>
      <c r="J629" s="167"/>
      <c r="K629" s="166"/>
      <c r="L629" s="166"/>
      <c r="M629" s="166"/>
      <c r="N629" s="166"/>
      <c r="O629" s="166"/>
      <c r="P629" s="166"/>
      <c r="Q629" s="166"/>
      <c r="R629" s="166"/>
      <c r="S629" s="166"/>
      <c r="T629" s="166"/>
      <c r="U629" s="166"/>
      <c r="V629" s="166"/>
      <c r="W629" s="166"/>
      <c r="X629" s="166"/>
      <c r="Y629" s="166"/>
      <c r="Z629" s="166"/>
      <c r="AA629" s="166"/>
      <c r="AB629" s="166"/>
      <c r="AC629" s="166"/>
      <c r="AD629" s="166"/>
      <c r="AE629" s="166"/>
      <c r="AF629" s="166"/>
      <c r="AG629" s="166"/>
      <c r="AH629" s="166"/>
      <c r="AI629" s="166"/>
    </row>
    <row r="630" spans="7:35" x14ac:dyDescent="0.25">
      <c r="G630" s="165"/>
      <c r="H630" s="166"/>
      <c r="I630" s="167"/>
      <c r="J630" s="167"/>
      <c r="K630" s="166"/>
      <c r="L630" s="166"/>
      <c r="M630" s="166"/>
      <c r="N630" s="166"/>
      <c r="O630" s="166"/>
      <c r="P630" s="166"/>
      <c r="Q630" s="166"/>
      <c r="R630" s="166"/>
      <c r="S630" s="166"/>
      <c r="T630" s="166"/>
      <c r="U630" s="166"/>
      <c r="V630" s="166"/>
      <c r="W630" s="166"/>
      <c r="X630" s="166"/>
      <c r="Y630" s="166"/>
      <c r="Z630" s="166"/>
      <c r="AA630" s="166"/>
      <c r="AB630" s="166"/>
      <c r="AC630" s="166"/>
      <c r="AD630" s="166"/>
      <c r="AE630" s="166"/>
      <c r="AF630" s="166"/>
      <c r="AG630" s="166"/>
      <c r="AH630" s="166"/>
      <c r="AI630" s="166"/>
    </row>
    <row r="631" spans="7:35" x14ac:dyDescent="0.25">
      <c r="G631" s="165"/>
      <c r="H631" s="166"/>
      <c r="I631" s="167"/>
      <c r="J631" s="167"/>
      <c r="K631" s="166"/>
      <c r="L631" s="166"/>
      <c r="M631" s="166"/>
      <c r="N631" s="166"/>
      <c r="O631" s="166"/>
      <c r="P631" s="166"/>
      <c r="Q631" s="166"/>
      <c r="R631" s="166"/>
      <c r="S631" s="166"/>
      <c r="T631" s="166"/>
      <c r="U631" s="166"/>
      <c r="V631" s="166"/>
      <c r="W631" s="166"/>
      <c r="X631" s="166"/>
      <c r="Y631" s="166"/>
      <c r="Z631" s="166"/>
      <c r="AA631" s="166"/>
      <c r="AB631" s="166"/>
      <c r="AC631" s="166"/>
      <c r="AD631" s="166"/>
      <c r="AE631" s="166"/>
      <c r="AF631" s="166"/>
      <c r="AG631" s="166"/>
      <c r="AH631" s="166"/>
      <c r="AI631" s="166"/>
    </row>
    <row r="632" spans="7:35" x14ac:dyDescent="0.25">
      <c r="G632" s="165"/>
      <c r="H632" s="166"/>
      <c r="I632" s="167"/>
      <c r="J632" s="167"/>
      <c r="K632" s="166"/>
      <c r="L632" s="166"/>
      <c r="M632" s="166"/>
      <c r="N632" s="166"/>
      <c r="O632" s="166"/>
      <c r="P632" s="166"/>
      <c r="Q632" s="166"/>
      <c r="R632" s="166"/>
      <c r="S632" s="166"/>
      <c r="T632" s="166"/>
      <c r="U632" s="166"/>
      <c r="V632" s="166"/>
      <c r="W632" s="166"/>
      <c r="X632" s="166"/>
      <c r="Y632" s="166"/>
      <c r="Z632" s="166"/>
      <c r="AA632" s="166"/>
      <c r="AB632" s="166"/>
      <c r="AC632" s="166"/>
      <c r="AD632" s="166"/>
      <c r="AE632" s="166"/>
      <c r="AF632" s="166"/>
      <c r="AG632" s="166"/>
      <c r="AH632" s="166"/>
      <c r="AI632" s="166"/>
    </row>
    <row r="633" spans="7:35" x14ac:dyDescent="0.25">
      <c r="G633" s="165"/>
      <c r="H633" s="166"/>
      <c r="I633" s="167"/>
      <c r="J633" s="167"/>
      <c r="K633" s="166"/>
      <c r="L633" s="166"/>
      <c r="M633" s="166"/>
      <c r="N633" s="166"/>
      <c r="O633" s="166"/>
      <c r="P633" s="166"/>
      <c r="Q633" s="166"/>
      <c r="R633" s="166"/>
      <c r="S633" s="166"/>
      <c r="T633" s="166"/>
      <c r="U633" s="166"/>
      <c r="V633" s="166"/>
      <c r="W633" s="166"/>
      <c r="X633" s="166"/>
      <c r="Y633" s="166"/>
      <c r="Z633" s="166"/>
      <c r="AA633" s="166"/>
      <c r="AB633" s="166"/>
      <c r="AC633" s="166"/>
      <c r="AD633" s="166"/>
      <c r="AE633" s="166"/>
      <c r="AF633" s="166"/>
      <c r="AG633" s="166"/>
      <c r="AH633" s="166"/>
      <c r="AI633" s="166"/>
    </row>
    <row r="634" spans="7:35" x14ac:dyDescent="0.25">
      <c r="G634" s="165"/>
      <c r="H634" s="166"/>
      <c r="I634" s="167"/>
      <c r="J634" s="167"/>
      <c r="K634" s="166"/>
      <c r="L634" s="166"/>
      <c r="M634" s="166"/>
      <c r="N634" s="166"/>
      <c r="O634" s="166"/>
      <c r="P634" s="166"/>
      <c r="Q634" s="166"/>
      <c r="R634" s="166"/>
      <c r="S634" s="166"/>
      <c r="T634" s="166"/>
      <c r="U634" s="166"/>
      <c r="V634" s="166"/>
      <c r="W634" s="166"/>
      <c r="X634" s="166"/>
      <c r="Y634" s="166"/>
      <c r="Z634" s="166"/>
      <c r="AA634" s="166"/>
      <c r="AB634" s="166"/>
      <c r="AC634" s="166"/>
      <c r="AD634" s="166"/>
      <c r="AE634" s="166"/>
      <c r="AF634" s="166"/>
      <c r="AG634" s="166"/>
      <c r="AH634" s="166"/>
      <c r="AI634" s="166"/>
    </row>
    <row r="635" spans="7:35" x14ac:dyDescent="0.25">
      <c r="G635" s="165"/>
      <c r="H635" s="166"/>
      <c r="I635" s="167"/>
      <c r="J635" s="167"/>
      <c r="K635" s="166"/>
      <c r="L635" s="166"/>
      <c r="M635" s="166"/>
      <c r="N635" s="166"/>
      <c r="O635" s="166"/>
      <c r="P635" s="166"/>
      <c r="Q635" s="166"/>
      <c r="R635" s="166"/>
      <c r="S635" s="166"/>
      <c r="T635" s="166"/>
      <c r="U635" s="166"/>
      <c r="V635" s="166"/>
      <c r="W635" s="166"/>
      <c r="X635" s="166"/>
      <c r="Y635" s="166"/>
      <c r="Z635" s="166"/>
      <c r="AA635" s="166"/>
      <c r="AB635" s="166"/>
      <c r="AC635" s="166"/>
      <c r="AD635" s="166"/>
      <c r="AE635" s="166"/>
      <c r="AF635" s="166"/>
      <c r="AG635" s="166"/>
      <c r="AH635" s="166"/>
      <c r="AI635" s="166"/>
    </row>
    <row r="636" spans="7:35" x14ac:dyDescent="0.25">
      <c r="G636" s="165"/>
      <c r="H636" s="166"/>
      <c r="I636" s="167"/>
      <c r="J636" s="167"/>
      <c r="K636" s="166"/>
      <c r="L636" s="166"/>
      <c r="M636" s="166"/>
      <c r="N636" s="166"/>
      <c r="O636" s="166"/>
      <c r="P636" s="166"/>
      <c r="Q636" s="166"/>
      <c r="R636" s="166"/>
      <c r="S636" s="166"/>
      <c r="T636" s="166"/>
      <c r="U636" s="166"/>
      <c r="V636" s="166"/>
      <c r="W636" s="166"/>
      <c r="X636" s="166"/>
      <c r="Y636" s="166"/>
      <c r="Z636" s="166"/>
      <c r="AA636" s="166"/>
      <c r="AB636" s="166"/>
      <c r="AC636" s="166"/>
      <c r="AD636" s="166"/>
      <c r="AE636" s="166"/>
      <c r="AF636" s="166"/>
      <c r="AG636" s="166"/>
      <c r="AH636" s="166"/>
      <c r="AI636" s="166"/>
    </row>
    <row r="637" spans="7:35" x14ac:dyDescent="0.25">
      <c r="G637" s="165"/>
      <c r="H637" s="166"/>
      <c r="I637" s="167"/>
      <c r="J637" s="167"/>
      <c r="K637" s="166"/>
      <c r="L637" s="166"/>
      <c r="M637" s="166"/>
      <c r="N637" s="166"/>
      <c r="O637" s="166"/>
      <c r="P637" s="166"/>
      <c r="Q637" s="166"/>
      <c r="R637" s="166"/>
      <c r="S637" s="166"/>
      <c r="T637" s="166"/>
      <c r="U637" s="166"/>
      <c r="V637" s="166"/>
      <c r="W637" s="166"/>
      <c r="X637" s="166"/>
      <c r="Y637" s="166"/>
      <c r="Z637" s="166"/>
      <c r="AA637" s="166"/>
      <c r="AB637" s="166"/>
      <c r="AC637" s="166"/>
      <c r="AD637" s="166"/>
      <c r="AE637" s="166"/>
      <c r="AF637" s="166"/>
      <c r="AG637" s="166"/>
      <c r="AH637" s="166"/>
      <c r="AI637" s="166"/>
    </row>
    <row r="638" spans="7:35" x14ac:dyDescent="0.25">
      <c r="G638" s="165"/>
      <c r="H638" s="166"/>
      <c r="I638" s="167"/>
      <c r="J638" s="167"/>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row>
    <row r="639" spans="7:35" x14ac:dyDescent="0.25">
      <c r="G639" s="165"/>
      <c r="H639" s="166"/>
      <c r="I639" s="167"/>
      <c r="J639" s="167"/>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row>
    <row r="640" spans="7:35" x14ac:dyDescent="0.25">
      <c r="G640" s="165"/>
      <c r="H640" s="166"/>
      <c r="I640" s="167"/>
      <c r="J640" s="167"/>
      <c r="K640" s="166"/>
      <c r="L640" s="166"/>
      <c r="M640" s="166"/>
      <c r="N640" s="166"/>
      <c r="O640" s="166"/>
      <c r="P640" s="166"/>
      <c r="Q640" s="166"/>
      <c r="R640" s="166"/>
      <c r="S640" s="166"/>
      <c r="T640" s="166"/>
      <c r="U640" s="166"/>
      <c r="V640" s="166"/>
      <c r="W640" s="166"/>
      <c r="X640" s="166"/>
      <c r="Y640" s="166"/>
      <c r="Z640" s="166"/>
      <c r="AA640" s="166"/>
      <c r="AB640" s="166"/>
      <c r="AC640" s="166"/>
      <c r="AD640" s="166"/>
      <c r="AE640" s="166"/>
      <c r="AF640" s="166"/>
      <c r="AG640" s="166"/>
      <c r="AH640" s="166"/>
      <c r="AI640" s="166"/>
    </row>
    <row r="641" spans="7:35" x14ac:dyDescent="0.25">
      <c r="G641" s="165"/>
      <c r="H641" s="166"/>
      <c r="I641" s="167"/>
      <c r="J641" s="167"/>
      <c r="K641" s="166"/>
      <c r="L641" s="166"/>
      <c r="M641" s="166"/>
      <c r="N641" s="166"/>
      <c r="O641" s="166"/>
      <c r="P641" s="166"/>
      <c r="Q641" s="166"/>
      <c r="R641" s="166"/>
      <c r="S641" s="166"/>
      <c r="T641" s="166"/>
      <c r="U641" s="166"/>
      <c r="V641" s="166"/>
      <c r="W641" s="166"/>
      <c r="X641" s="166"/>
      <c r="Y641" s="166"/>
      <c r="Z641" s="166"/>
      <c r="AA641" s="166"/>
      <c r="AB641" s="166"/>
      <c r="AC641" s="166"/>
      <c r="AD641" s="166"/>
      <c r="AE641" s="166"/>
      <c r="AF641" s="166"/>
      <c r="AG641" s="166"/>
      <c r="AH641" s="166"/>
      <c r="AI641" s="166"/>
    </row>
    <row r="642" spans="7:35" x14ac:dyDescent="0.25">
      <c r="G642" s="165"/>
      <c r="H642" s="166"/>
      <c r="I642" s="167"/>
      <c r="J642" s="167"/>
      <c r="K642" s="166"/>
      <c r="L642" s="166"/>
      <c r="M642" s="166"/>
      <c r="N642" s="166"/>
      <c r="O642" s="166"/>
      <c r="P642" s="166"/>
      <c r="Q642" s="166"/>
      <c r="R642" s="166"/>
      <c r="S642" s="166"/>
      <c r="T642" s="166"/>
      <c r="U642" s="166"/>
      <c r="V642" s="166"/>
      <c r="W642" s="166"/>
      <c r="X642" s="166"/>
      <c r="Y642" s="166"/>
      <c r="Z642" s="166"/>
      <c r="AA642" s="166"/>
      <c r="AB642" s="166"/>
      <c r="AC642" s="166"/>
      <c r="AD642" s="166"/>
      <c r="AE642" s="166"/>
      <c r="AF642" s="166"/>
      <c r="AG642" s="166"/>
      <c r="AH642" s="166"/>
      <c r="AI642" s="166"/>
    </row>
    <row r="643" spans="7:35" x14ac:dyDescent="0.25">
      <c r="G643" s="165"/>
      <c r="H643" s="166"/>
      <c r="I643" s="167"/>
      <c r="J643" s="167"/>
      <c r="K643" s="166"/>
      <c r="L643" s="166"/>
      <c r="M643" s="166"/>
      <c r="N643" s="166"/>
      <c r="O643" s="166"/>
      <c r="P643" s="166"/>
      <c r="Q643" s="166"/>
      <c r="R643" s="166"/>
      <c r="S643" s="166"/>
      <c r="T643" s="166"/>
      <c r="U643" s="166"/>
      <c r="V643" s="166"/>
      <c r="W643" s="166"/>
      <c r="X643" s="166"/>
      <c r="Y643" s="166"/>
      <c r="Z643" s="166"/>
      <c r="AA643" s="166"/>
      <c r="AB643" s="166"/>
      <c r="AC643" s="166"/>
      <c r="AD643" s="166"/>
      <c r="AE643" s="166"/>
      <c r="AF643" s="166"/>
      <c r="AG643" s="166"/>
      <c r="AH643" s="166"/>
      <c r="AI643" s="166"/>
    </row>
    <row r="644" spans="7:35" x14ac:dyDescent="0.25">
      <c r="G644" s="165"/>
      <c r="H644" s="166"/>
      <c r="I644" s="167"/>
      <c r="J644" s="167"/>
      <c r="K644" s="166"/>
      <c r="L644" s="166"/>
      <c r="M644" s="166"/>
      <c r="N644" s="166"/>
      <c r="O644" s="166"/>
      <c r="P644" s="166"/>
      <c r="Q644" s="166"/>
      <c r="R644" s="166"/>
      <c r="S644" s="166"/>
      <c r="T644" s="166"/>
      <c r="U644" s="166"/>
      <c r="V644" s="166"/>
      <c r="W644" s="166"/>
      <c r="X644" s="166"/>
      <c r="Y644" s="166"/>
      <c r="Z644" s="166"/>
      <c r="AA644" s="166"/>
      <c r="AB644" s="166"/>
      <c r="AC644" s="166"/>
      <c r="AD644" s="166"/>
      <c r="AE644" s="166"/>
      <c r="AF644" s="166"/>
      <c r="AG644" s="166"/>
      <c r="AH644" s="166"/>
      <c r="AI644" s="166"/>
    </row>
    <row r="645" spans="7:35" x14ac:dyDescent="0.25">
      <c r="G645" s="165"/>
      <c r="H645" s="166"/>
      <c r="I645" s="167"/>
      <c r="J645" s="167"/>
      <c r="K645" s="166"/>
      <c r="L645" s="166"/>
      <c r="M645" s="166"/>
      <c r="N645" s="166"/>
      <c r="O645" s="166"/>
      <c r="P645" s="166"/>
      <c r="Q645" s="166"/>
      <c r="R645" s="166"/>
      <c r="S645" s="166"/>
      <c r="T645" s="166"/>
      <c r="U645" s="166"/>
      <c r="V645" s="166"/>
      <c r="W645" s="166"/>
      <c r="X645" s="166"/>
      <c r="Y645" s="166"/>
      <c r="Z645" s="166"/>
      <c r="AA645" s="166"/>
      <c r="AB645" s="166"/>
      <c r="AC645" s="166"/>
      <c r="AD645" s="166"/>
      <c r="AE645" s="166"/>
      <c r="AF645" s="166"/>
      <c r="AG645" s="166"/>
      <c r="AH645" s="166"/>
      <c r="AI645" s="166"/>
    </row>
    <row r="646" spans="7:35" x14ac:dyDescent="0.25">
      <c r="G646" s="165"/>
      <c r="H646" s="166"/>
      <c r="I646" s="167"/>
      <c r="J646" s="167"/>
      <c r="K646" s="166"/>
      <c r="L646" s="166"/>
      <c r="M646" s="166"/>
      <c r="N646" s="166"/>
      <c r="O646" s="166"/>
      <c r="P646" s="166"/>
      <c r="Q646" s="166"/>
      <c r="R646" s="166"/>
      <c r="S646" s="166"/>
      <c r="T646" s="166"/>
      <c r="U646" s="166"/>
      <c r="V646" s="166"/>
      <c r="W646" s="166"/>
      <c r="X646" s="166"/>
      <c r="Y646" s="166"/>
      <c r="Z646" s="166"/>
      <c r="AA646" s="166"/>
      <c r="AB646" s="166"/>
      <c r="AC646" s="166"/>
      <c r="AD646" s="166"/>
      <c r="AE646" s="166"/>
      <c r="AF646" s="166"/>
      <c r="AG646" s="166"/>
      <c r="AH646" s="166"/>
      <c r="AI646" s="166"/>
    </row>
    <row r="647" spans="7:35" x14ac:dyDescent="0.25">
      <c r="G647" s="165"/>
      <c r="H647" s="166"/>
      <c r="I647" s="167"/>
      <c r="J647" s="167"/>
      <c r="K647" s="166"/>
      <c r="L647" s="166"/>
      <c r="M647" s="166"/>
      <c r="N647" s="166"/>
      <c r="O647" s="166"/>
      <c r="P647" s="166"/>
      <c r="Q647" s="166"/>
      <c r="R647" s="166"/>
      <c r="S647" s="166"/>
      <c r="T647" s="166"/>
      <c r="U647" s="166"/>
      <c r="V647" s="166"/>
      <c r="W647" s="166"/>
      <c r="X647" s="166"/>
      <c r="Y647" s="166"/>
      <c r="Z647" s="166"/>
      <c r="AA647" s="166"/>
      <c r="AB647" s="166"/>
      <c r="AC647" s="166"/>
      <c r="AD647" s="166"/>
      <c r="AE647" s="166"/>
      <c r="AF647" s="166"/>
      <c r="AG647" s="166"/>
      <c r="AH647" s="166"/>
      <c r="AI647" s="166"/>
    </row>
    <row r="648" spans="7:35" x14ac:dyDescent="0.25">
      <c r="G648" s="165"/>
      <c r="H648" s="166"/>
      <c r="I648" s="167"/>
      <c r="J648" s="167"/>
      <c r="K648" s="166"/>
      <c r="L648" s="166"/>
      <c r="M648" s="166"/>
      <c r="N648" s="166"/>
      <c r="O648" s="166"/>
      <c r="P648" s="166"/>
      <c r="Q648" s="166"/>
      <c r="R648" s="166"/>
      <c r="S648" s="166"/>
      <c r="T648" s="166"/>
      <c r="U648" s="166"/>
      <c r="V648" s="166"/>
      <c r="W648" s="166"/>
      <c r="X648" s="166"/>
      <c r="Y648" s="166"/>
      <c r="Z648" s="166"/>
      <c r="AA648" s="166"/>
      <c r="AB648" s="166"/>
      <c r="AC648" s="166"/>
      <c r="AD648" s="166"/>
      <c r="AE648" s="166"/>
      <c r="AF648" s="166"/>
      <c r="AG648" s="166"/>
      <c r="AH648" s="166"/>
      <c r="AI648" s="166"/>
    </row>
    <row r="649" spans="7:35" x14ac:dyDescent="0.25">
      <c r="G649" s="165"/>
      <c r="H649" s="166"/>
      <c r="I649" s="167"/>
      <c r="J649" s="167"/>
      <c r="K649" s="166"/>
      <c r="L649" s="166"/>
      <c r="M649" s="166"/>
      <c r="N649" s="166"/>
      <c r="O649" s="166"/>
      <c r="P649" s="166"/>
      <c r="Q649" s="166"/>
      <c r="R649" s="166"/>
      <c r="S649" s="166"/>
      <c r="T649" s="166"/>
      <c r="U649" s="166"/>
      <c r="V649" s="166"/>
      <c r="W649" s="166"/>
      <c r="X649" s="166"/>
      <c r="Y649" s="166"/>
      <c r="Z649" s="166"/>
      <c r="AA649" s="166"/>
      <c r="AB649" s="166"/>
      <c r="AC649" s="166"/>
      <c r="AD649" s="166"/>
      <c r="AE649" s="166"/>
      <c r="AF649" s="166"/>
      <c r="AG649" s="166"/>
      <c r="AH649" s="166"/>
      <c r="AI649" s="166"/>
    </row>
    <row r="650" spans="7:35" x14ac:dyDescent="0.25">
      <c r="G650" s="165"/>
      <c r="H650" s="166"/>
      <c r="I650" s="167"/>
      <c r="J650" s="167"/>
      <c r="K650" s="166"/>
      <c r="L650" s="166"/>
      <c r="M650" s="166"/>
      <c r="N650" s="166"/>
      <c r="O650" s="166"/>
      <c r="P650" s="166"/>
      <c r="Q650" s="166"/>
      <c r="R650" s="166"/>
      <c r="S650" s="166"/>
      <c r="T650" s="166"/>
      <c r="U650" s="166"/>
      <c r="V650" s="166"/>
      <c r="W650" s="166"/>
      <c r="X650" s="166"/>
      <c r="Y650" s="166"/>
      <c r="Z650" s="166"/>
      <c r="AA650" s="166"/>
      <c r="AB650" s="166"/>
      <c r="AC650" s="166"/>
      <c r="AD650" s="166"/>
      <c r="AE650" s="166"/>
      <c r="AF650" s="166"/>
      <c r="AG650" s="166"/>
      <c r="AH650" s="166"/>
      <c r="AI650" s="166"/>
    </row>
    <row r="651" spans="7:35" x14ac:dyDescent="0.25">
      <c r="G651" s="165"/>
      <c r="H651" s="166"/>
      <c r="I651" s="167"/>
      <c r="J651" s="167"/>
      <c r="K651" s="166"/>
      <c r="L651" s="166"/>
      <c r="M651" s="166"/>
      <c r="N651" s="166"/>
      <c r="O651" s="166"/>
      <c r="P651" s="166"/>
      <c r="Q651" s="166"/>
      <c r="R651" s="166"/>
      <c r="S651" s="166"/>
      <c r="T651" s="166"/>
      <c r="U651" s="166"/>
      <c r="V651" s="166"/>
      <c r="W651" s="166"/>
      <c r="X651" s="166"/>
      <c r="Y651" s="166"/>
      <c r="Z651" s="166"/>
      <c r="AA651" s="166"/>
      <c r="AB651" s="166"/>
      <c r="AC651" s="166"/>
      <c r="AD651" s="166"/>
      <c r="AE651" s="166"/>
      <c r="AF651" s="166"/>
      <c r="AG651" s="166"/>
      <c r="AH651" s="166"/>
      <c r="AI651" s="166"/>
    </row>
    <row r="652" spans="7:35" x14ac:dyDescent="0.25">
      <c r="G652" s="165"/>
      <c r="H652" s="166"/>
      <c r="I652" s="167"/>
      <c r="J652" s="167"/>
      <c r="K652" s="166"/>
      <c r="L652" s="166"/>
      <c r="M652" s="166"/>
      <c r="N652" s="166"/>
      <c r="O652" s="166"/>
      <c r="P652" s="166"/>
      <c r="Q652" s="166"/>
      <c r="R652" s="166"/>
      <c r="S652" s="166"/>
      <c r="T652" s="166"/>
      <c r="U652" s="166"/>
      <c r="V652" s="166"/>
      <c r="W652" s="166"/>
      <c r="X652" s="166"/>
      <c r="Y652" s="166"/>
      <c r="Z652" s="166"/>
      <c r="AA652" s="166"/>
      <c r="AB652" s="166"/>
      <c r="AC652" s="166"/>
      <c r="AD652" s="166"/>
      <c r="AE652" s="166"/>
      <c r="AF652" s="166"/>
      <c r="AG652" s="166"/>
      <c r="AH652" s="166"/>
      <c r="AI652" s="166"/>
    </row>
    <row r="653" spans="7:35" x14ac:dyDescent="0.25">
      <c r="G653" s="165"/>
      <c r="H653" s="166"/>
      <c r="I653" s="167"/>
      <c r="J653" s="167"/>
      <c r="K653" s="166"/>
      <c r="L653" s="166"/>
      <c r="M653" s="166"/>
      <c r="N653" s="166"/>
      <c r="O653" s="166"/>
      <c r="P653" s="166"/>
      <c r="Q653" s="166"/>
      <c r="R653" s="166"/>
      <c r="S653" s="166"/>
      <c r="T653" s="166"/>
      <c r="U653" s="166"/>
      <c r="V653" s="166"/>
      <c r="W653" s="166"/>
      <c r="X653" s="166"/>
      <c r="Y653" s="166"/>
      <c r="Z653" s="166"/>
      <c r="AA653" s="166"/>
      <c r="AB653" s="166"/>
      <c r="AC653" s="166"/>
      <c r="AD653" s="166"/>
      <c r="AE653" s="166"/>
      <c r="AF653" s="166"/>
      <c r="AG653" s="166"/>
      <c r="AH653" s="166"/>
      <c r="AI653" s="166"/>
    </row>
    <row r="654" spans="7:35" x14ac:dyDescent="0.25">
      <c r="G654" s="165"/>
      <c r="H654" s="166"/>
      <c r="I654" s="167"/>
      <c r="J654" s="167"/>
      <c r="K654" s="166"/>
      <c r="L654" s="166"/>
      <c r="M654" s="166"/>
      <c r="N654" s="166"/>
      <c r="O654" s="166"/>
      <c r="P654" s="166"/>
      <c r="Q654" s="166"/>
      <c r="R654" s="166"/>
      <c r="S654" s="166"/>
      <c r="T654" s="166"/>
      <c r="U654" s="166"/>
      <c r="V654" s="166"/>
      <c r="W654" s="166"/>
      <c r="X654" s="166"/>
      <c r="Y654" s="166"/>
      <c r="Z654" s="166"/>
      <c r="AA654" s="166"/>
      <c r="AB654" s="166"/>
      <c r="AC654" s="166"/>
      <c r="AD654" s="166"/>
      <c r="AE654" s="166"/>
      <c r="AF654" s="166"/>
      <c r="AG654" s="166"/>
      <c r="AH654" s="166"/>
      <c r="AI654" s="166"/>
    </row>
    <row r="655" spans="7:35" x14ac:dyDescent="0.25">
      <c r="G655" s="165"/>
      <c r="H655" s="166"/>
      <c r="I655" s="167"/>
      <c r="J655" s="167"/>
      <c r="K655" s="166"/>
      <c r="L655" s="166"/>
      <c r="M655" s="166"/>
      <c r="N655" s="166"/>
      <c r="O655" s="166"/>
      <c r="P655" s="166"/>
      <c r="Q655" s="166"/>
      <c r="R655" s="166"/>
      <c r="S655" s="166"/>
      <c r="T655" s="166"/>
      <c r="U655" s="166"/>
      <c r="V655" s="166"/>
      <c r="W655" s="166"/>
      <c r="X655" s="166"/>
      <c r="Y655" s="166"/>
      <c r="Z655" s="166"/>
      <c r="AA655" s="166"/>
      <c r="AB655" s="166"/>
      <c r="AC655" s="166"/>
      <c r="AD655" s="166"/>
      <c r="AE655" s="166"/>
      <c r="AF655" s="166"/>
      <c r="AG655" s="166"/>
      <c r="AH655" s="166"/>
      <c r="AI655" s="166"/>
    </row>
    <row r="656" spans="7:35" x14ac:dyDescent="0.25">
      <c r="G656" s="165"/>
      <c r="H656" s="166"/>
      <c r="I656" s="167"/>
      <c r="J656" s="167"/>
      <c r="K656" s="166"/>
      <c r="L656" s="166"/>
      <c r="M656" s="166"/>
      <c r="N656" s="166"/>
      <c r="O656" s="166"/>
      <c r="P656" s="166"/>
      <c r="Q656" s="166"/>
      <c r="R656" s="166"/>
      <c r="S656" s="166"/>
      <c r="T656" s="166"/>
      <c r="U656" s="166"/>
      <c r="V656" s="166"/>
      <c r="W656" s="166"/>
      <c r="X656" s="166"/>
      <c r="Y656" s="166"/>
      <c r="Z656" s="166"/>
      <c r="AA656" s="166"/>
      <c r="AB656" s="166"/>
      <c r="AC656" s="166"/>
      <c r="AD656" s="166"/>
      <c r="AE656" s="166"/>
      <c r="AF656" s="166"/>
      <c r="AG656" s="166"/>
      <c r="AH656" s="166"/>
      <c r="AI656" s="166"/>
    </row>
    <row r="657" spans="7:35" x14ac:dyDescent="0.25">
      <c r="G657" s="165"/>
      <c r="H657" s="166"/>
      <c r="I657" s="167"/>
      <c r="J657" s="167"/>
      <c r="K657" s="166"/>
      <c r="L657" s="166"/>
      <c r="M657" s="166"/>
      <c r="N657" s="166"/>
      <c r="O657" s="166"/>
      <c r="P657" s="166"/>
      <c r="Q657" s="166"/>
      <c r="R657" s="166"/>
      <c r="S657" s="166"/>
      <c r="T657" s="166"/>
      <c r="U657" s="166"/>
      <c r="V657" s="166"/>
      <c r="W657" s="166"/>
      <c r="X657" s="166"/>
      <c r="Y657" s="166"/>
      <c r="Z657" s="166"/>
      <c r="AA657" s="166"/>
      <c r="AB657" s="166"/>
      <c r="AC657" s="166"/>
      <c r="AD657" s="166"/>
      <c r="AE657" s="166"/>
      <c r="AF657" s="166"/>
      <c r="AG657" s="166"/>
      <c r="AH657" s="166"/>
      <c r="AI657" s="166"/>
    </row>
    <row r="658" spans="7:35" x14ac:dyDescent="0.25">
      <c r="G658" s="165"/>
      <c r="H658" s="166"/>
      <c r="I658" s="167"/>
      <c r="J658" s="167"/>
      <c r="K658" s="166"/>
      <c r="L658" s="166"/>
      <c r="M658" s="166"/>
      <c r="N658" s="166"/>
      <c r="O658" s="166"/>
      <c r="P658" s="166"/>
      <c r="Q658" s="166"/>
      <c r="R658" s="166"/>
      <c r="S658" s="166"/>
      <c r="T658" s="166"/>
      <c r="U658" s="166"/>
      <c r="V658" s="166"/>
      <c r="W658" s="166"/>
      <c r="X658" s="166"/>
      <c r="Y658" s="166"/>
      <c r="Z658" s="166"/>
      <c r="AA658" s="166"/>
      <c r="AB658" s="166"/>
      <c r="AC658" s="166"/>
      <c r="AD658" s="166"/>
      <c r="AE658" s="166"/>
      <c r="AF658" s="166"/>
      <c r="AG658" s="166"/>
      <c r="AH658" s="166"/>
      <c r="AI658" s="166"/>
    </row>
    <row r="659" spans="7:35" x14ac:dyDescent="0.25">
      <c r="G659" s="165"/>
      <c r="H659" s="166"/>
      <c r="I659" s="167"/>
      <c r="J659" s="167"/>
      <c r="K659" s="166"/>
      <c r="L659" s="166"/>
      <c r="M659" s="166"/>
      <c r="N659" s="166"/>
      <c r="O659" s="166"/>
      <c r="P659" s="166"/>
      <c r="Q659" s="166"/>
      <c r="R659" s="166"/>
      <c r="S659" s="166"/>
      <c r="T659" s="166"/>
      <c r="U659" s="166"/>
      <c r="V659" s="166"/>
      <c r="W659" s="166"/>
      <c r="X659" s="166"/>
      <c r="Y659" s="166"/>
      <c r="Z659" s="166"/>
      <c r="AA659" s="166"/>
      <c r="AB659" s="166"/>
      <c r="AC659" s="166"/>
      <c r="AD659" s="166"/>
      <c r="AE659" s="166"/>
      <c r="AF659" s="166"/>
      <c r="AG659" s="166"/>
      <c r="AH659" s="166"/>
      <c r="AI659" s="166"/>
    </row>
    <row r="660" spans="7:35" x14ac:dyDescent="0.25">
      <c r="G660" s="165"/>
      <c r="H660" s="166"/>
      <c r="I660" s="167"/>
      <c r="J660" s="167"/>
      <c r="K660" s="166"/>
      <c r="L660" s="166"/>
      <c r="M660" s="166"/>
      <c r="N660" s="166"/>
      <c r="O660" s="166"/>
      <c r="P660" s="166"/>
      <c r="Q660" s="166"/>
      <c r="R660" s="166"/>
      <c r="S660" s="166"/>
      <c r="T660" s="166"/>
      <c r="U660" s="166"/>
      <c r="V660" s="166"/>
      <c r="W660" s="166"/>
      <c r="X660" s="166"/>
      <c r="Y660" s="166"/>
      <c r="Z660" s="166"/>
      <c r="AA660" s="166"/>
      <c r="AB660" s="166"/>
      <c r="AC660" s="166"/>
      <c r="AD660" s="166"/>
      <c r="AE660" s="166"/>
      <c r="AF660" s="166"/>
      <c r="AG660" s="166"/>
      <c r="AH660" s="166"/>
      <c r="AI660" s="166"/>
    </row>
    <row r="661" spans="7:35" x14ac:dyDescent="0.25">
      <c r="G661" s="165"/>
      <c r="H661" s="166"/>
      <c r="I661" s="167"/>
      <c r="J661" s="167"/>
      <c r="K661" s="166"/>
      <c r="L661" s="166"/>
      <c r="M661" s="166"/>
      <c r="N661" s="166"/>
      <c r="O661" s="166"/>
      <c r="P661" s="166"/>
      <c r="Q661" s="166"/>
      <c r="R661" s="166"/>
      <c r="S661" s="166"/>
      <c r="T661" s="166"/>
      <c r="U661" s="166"/>
      <c r="V661" s="166"/>
      <c r="W661" s="166"/>
      <c r="X661" s="166"/>
      <c r="Y661" s="166"/>
      <c r="Z661" s="166"/>
      <c r="AA661" s="166"/>
      <c r="AB661" s="166"/>
      <c r="AC661" s="166"/>
      <c r="AD661" s="166"/>
      <c r="AE661" s="166"/>
      <c r="AF661" s="166"/>
      <c r="AG661" s="166"/>
      <c r="AH661" s="166"/>
      <c r="AI661" s="166"/>
    </row>
    <row r="662" spans="7:35" x14ac:dyDescent="0.25">
      <c r="G662" s="165"/>
      <c r="H662" s="166"/>
      <c r="I662" s="167"/>
      <c r="J662" s="167"/>
      <c r="K662" s="166"/>
      <c r="L662" s="166"/>
      <c r="M662" s="166"/>
      <c r="N662" s="166"/>
      <c r="O662" s="166"/>
      <c r="P662" s="166"/>
      <c r="Q662" s="166"/>
      <c r="R662" s="166"/>
      <c r="S662" s="166"/>
      <c r="T662" s="166"/>
      <c r="U662" s="166"/>
      <c r="V662" s="166"/>
      <c r="W662" s="166"/>
      <c r="X662" s="166"/>
      <c r="Y662" s="166"/>
      <c r="Z662" s="166"/>
      <c r="AA662" s="166"/>
      <c r="AB662" s="166"/>
      <c r="AC662" s="166"/>
      <c r="AD662" s="166"/>
      <c r="AE662" s="166"/>
      <c r="AF662" s="166"/>
      <c r="AG662" s="166"/>
      <c r="AH662" s="166"/>
      <c r="AI662" s="166"/>
    </row>
    <row r="663" spans="7:35" x14ac:dyDescent="0.25">
      <c r="G663" s="165"/>
      <c r="H663" s="166"/>
      <c r="I663" s="167"/>
      <c r="J663" s="167"/>
      <c r="K663" s="166"/>
      <c r="L663" s="166"/>
      <c r="M663" s="166"/>
      <c r="N663" s="166"/>
      <c r="O663" s="166"/>
      <c r="P663" s="166"/>
      <c r="Q663" s="166"/>
      <c r="R663" s="166"/>
      <c r="S663" s="166"/>
      <c r="T663" s="166"/>
      <c r="U663" s="166"/>
      <c r="V663" s="166"/>
      <c r="W663" s="166"/>
      <c r="X663" s="166"/>
      <c r="Y663" s="166"/>
      <c r="Z663" s="166"/>
      <c r="AA663" s="166"/>
      <c r="AB663" s="166"/>
      <c r="AC663" s="166"/>
      <c r="AD663" s="166"/>
      <c r="AE663" s="166"/>
      <c r="AF663" s="166"/>
      <c r="AG663" s="166"/>
      <c r="AH663" s="166"/>
      <c r="AI663" s="166"/>
    </row>
    <row r="664" spans="7:35" x14ac:dyDescent="0.25">
      <c r="G664" s="165"/>
      <c r="H664" s="166"/>
      <c r="I664" s="167"/>
      <c r="J664" s="167"/>
      <c r="K664" s="166"/>
      <c r="L664" s="166"/>
      <c r="M664" s="166"/>
      <c r="N664" s="166"/>
      <c r="O664" s="166"/>
      <c r="P664" s="166"/>
      <c r="Q664" s="166"/>
      <c r="R664" s="166"/>
      <c r="S664" s="166"/>
      <c r="T664" s="166"/>
      <c r="U664" s="166"/>
      <c r="V664" s="166"/>
      <c r="W664" s="166"/>
      <c r="X664" s="166"/>
      <c r="Y664" s="166"/>
      <c r="Z664" s="166"/>
      <c r="AA664" s="166"/>
      <c r="AB664" s="166"/>
      <c r="AC664" s="166"/>
      <c r="AD664" s="166"/>
      <c r="AE664" s="166"/>
      <c r="AF664" s="166"/>
      <c r="AG664" s="166"/>
      <c r="AH664" s="166"/>
      <c r="AI664" s="166"/>
    </row>
    <row r="665" spans="7:35" x14ac:dyDescent="0.25">
      <c r="G665" s="165"/>
      <c r="H665" s="166"/>
      <c r="I665" s="167"/>
      <c r="J665" s="167"/>
      <c r="K665" s="166"/>
      <c r="L665" s="166"/>
      <c r="M665" s="166"/>
      <c r="N665" s="166"/>
      <c r="O665" s="166"/>
      <c r="P665" s="166"/>
      <c r="Q665" s="166"/>
      <c r="R665" s="166"/>
      <c r="S665" s="166"/>
      <c r="T665" s="166"/>
      <c r="U665" s="166"/>
      <c r="V665" s="166"/>
      <c r="W665" s="166"/>
      <c r="X665" s="166"/>
      <c r="Y665" s="166"/>
      <c r="Z665" s="166"/>
      <c r="AA665" s="166"/>
      <c r="AB665" s="166"/>
      <c r="AC665" s="166"/>
      <c r="AD665" s="166"/>
      <c r="AE665" s="166"/>
      <c r="AF665" s="166"/>
      <c r="AG665" s="166"/>
      <c r="AH665" s="166"/>
      <c r="AI665" s="166"/>
    </row>
    <row r="666" spans="7:35" x14ac:dyDescent="0.25">
      <c r="G666" s="165"/>
      <c r="H666" s="166"/>
      <c r="I666" s="167"/>
      <c r="J666" s="167"/>
      <c r="K666" s="166"/>
      <c r="L666" s="166"/>
      <c r="M666" s="166"/>
      <c r="N666" s="166"/>
      <c r="O666" s="166"/>
      <c r="P666" s="166"/>
      <c r="Q666" s="166"/>
      <c r="R666" s="166"/>
      <c r="S666" s="166"/>
      <c r="T666" s="166"/>
      <c r="U666" s="166"/>
      <c r="V666" s="166"/>
      <c r="W666" s="166"/>
      <c r="X666" s="166"/>
      <c r="Y666" s="166"/>
      <c r="Z666" s="166"/>
      <c r="AA666" s="166"/>
      <c r="AB666" s="166"/>
      <c r="AC666" s="166"/>
      <c r="AD666" s="166"/>
      <c r="AE666" s="166"/>
      <c r="AF666" s="166"/>
      <c r="AG666" s="166"/>
      <c r="AH666" s="166"/>
      <c r="AI666" s="166"/>
    </row>
    <row r="667" spans="7:35" x14ac:dyDescent="0.25">
      <c r="G667" s="165"/>
      <c r="H667" s="166"/>
      <c r="I667" s="167"/>
      <c r="J667" s="167"/>
      <c r="K667" s="166"/>
      <c r="L667" s="166"/>
      <c r="M667" s="166"/>
      <c r="N667" s="166"/>
      <c r="O667" s="166"/>
      <c r="P667" s="166"/>
      <c r="Q667" s="166"/>
      <c r="R667" s="166"/>
      <c r="S667" s="166"/>
      <c r="T667" s="166"/>
      <c r="U667" s="166"/>
      <c r="V667" s="166"/>
      <c r="W667" s="166"/>
      <c r="X667" s="166"/>
      <c r="Y667" s="166"/>
      <c r="Z667" s="166"/>
      <c r="AA667" s="166"/>
      <c r="AB667" s="166"/>
      <c r="AC667" s="166"/>
      <c r="AD667" s="166"/>
      <c r="AE667" s="166"/>
      <c r="AF667" s="166"/>
      <c r="AG667" s="166"/>
      <c r="AH667" s="166"/>
      <c r="AI667" s="166"/>
    </row>
    <row r="668" spans="7:35" x14ac:dyDescent="0.25">
      <c r="G668" s="165"/>
      <c r="H668" s="166"/>
      <c r="I668" s="167"/>
      <c r="J668" s="167"/>
      <c r="K668" s="166"/>
      <c r="L668" s="166"/>
      <c r="M668" s="166"/>
      <c r="N668" s="166"/>
      <c r="O668" s="166"/>
      <c r="P668" s="166"/>
      <c r="Q668" s="166"/>
      <c r="R668" s="166"/>
      <c r="S668" s="166"/>
      <c r="T668" s="166"/>
      <c r="U668" s="166"/>
      <c r="V668" s="166"/>
      <c r="W668" s="166"/>
      <c r="X668" s="166"/>
      <c r="Y668" s="166"/>
      <c r="Z668" s="166"/>
      <c r="AA668" s="166"/>
      <c r="AB668" s="166"/>
      <c r="AC668" s="166"/>
      <c r="AD668" s="166"/>
      <c r="AE668" s="166"/>
      <c r="AF668" s="166"/>
      <c r="AG668" s="166"/>
      <c r="AH668" s="166"/>
      <c r="AI668" s="166"/>
    </row>
    <row r="669" spans="7:35" x14ac:dyDescent="0.25">
      <c r="G669" s="165"/>
      <c r="H669" s="166"/>
      <c r="I669" s="167"/>
      <c r="J669" s="167"/>
      <c r="K669" s="166"/>
      <c r="L669" s="166"/>
      <c r="M669" s="166"/>
      <c r="N669" s="166"/>
      <c r="O669" s="166"/>
      <c r="P669" s="166"/>
      <c r="Q669" s="166"/>
      <c r="R669" s="166"/>
      <c r="S669" s="166"/>
      <c r="T669" s="166"/>
      <c r="U669" s="166"/>
      <c r="V669" s="166"/>
      <c r="W669" s="166"/>
      <c r="X669" s="166"/>
      <c r="Y669" s="166"/>
      <c r="Z669" s="166"/>
      <c r="AA669" s="166"/>
      <c r="AB669" s="166"/>
      <c r="AC669" s="166"/>
      <c r="AD669" s="166"/>
      <c r="AE669" s="166"/>
      <c r="AF669" s="166"/>
      <c r="AG669" s="166"/>
      <c r="AH669" s="166"/>
      <c r="AI669" s="166"/>
    </row>
    <row r="670" spans="7:35" x14ac:dyDescent="0.25">
      <c r="G670" s="165"/>
      <c r="H670" s="166"/>
      <c r="I670" s="167"/>
      <c r="J670" s="167"/>
      <c r="K670" s="166"/>
      <c r="L670" s="166"/>
      <c r="M670" s="166"/>
      <c r="N670" s="166"/>
      <c r="O670" s="166"/>
      <c r="P670" s="166"/>
      <c r="Q670" s="166"/>
      <c r="R670" s="166"/>
      <c r="S670" s="166"/>
      <c r="T670" s="166"/>
      <c r="U670" s="166"/>
      <c r="V670" s="166"/>
      <c r="W670" s="166"/>
      <c r="X670" s="166"/>
      <c r="Y670" s="166"/>
      <c r="Z670" s="166"/>
      <c r="AA670" s="166"/>
      <c r="AB670" s="166"/>
      <c r="AC670" s="166"/>
      <c r="AD670" s="166"/>
      <c r="AE670" s="166"/>
      <c r="AF670" s="166"/>
      <c r="AG670" s="166"/>
      <c r="AH670" s="166"/>
      <c r="AI670" s="166"/>
    </row>
    <row r="671" spans="7:35" x14ac:dyDescent="0.25">
      <c r="G671" s="165"/>
      <c r="H671" s="166"/>
      <c r="I671" s="167"/>
      <c r="J671" s="167"/>
      <c r="K671" s="166"/>
      <c r="L671" s="166"/>
      <c r="M671" s="166"/>
      <c r="N671" s="166"/>
      <c r="O671" s="166"/>
      <c r="P671" s="166"/>
      <c r="Q671" s="166"/>
      <c r="R671" s="166"/>
      <c r="S671" s="166"/>
      <c r="T671" s="166"/>
      <c r="U671" s="166"/>
      <c r="V671" s="166"/>
      <c r="W671" s="166"/>
      <c r="X671" s="166"/>
      <c r="Y671" s="166"/>
      <c r="Z671" s="166"/>
      <c r="AA671" s="166"/>
      <c r="AB671" s="166"/>
      <c r="AC671" s="166"/>
      <c r="AD671" s="166"/>
      <c r="AE671" s="166"/>
      <c r="AF671" s="166"/>
      <c r="AG671" s="166"/>
      <c r="AH671" s="166"/>
      <c r="AI671" s="166"/>
    </row>
    <row r="672" spans="7:35" x14ac:dyDescent="0.25">
      <c r="G672" s="165"/>
      <c r="H672" s="166"/>
      <c r="I672" s="167"/>
      <c r="J672" s="167"/>
      <c r="K672" s="166"/>
      <c r="L672" s="166"/>
      <c r="M672" s="166"/>
      <c r="N672" s="166"/>
      <c r="O672" s="166"/>
      <c r="P672" s="166"/>
      <c r="Q672" s="166"/>
      <c r="R672" s="166"/>
      <c r="S672" s="166"/>
      <c r="T672" s="166"/>
      <c r="U672" s="166"/>
      <c r="V672" s="166"/>
      <c r="W672" s="166"/>
      <c r="X672" s="166"/>
      <c r="Y672" s="166"/>
      <c r="Z672" s="166"/>
      <c r="AA672" s="166"/>
      <c r="AB672" s="166"/>
      <c r="AC672" s="166"/>
      <c r="AD672" s="166"/>
      <c r="AE672" s="166"/>
      <c r="AF672" s="166"/>
      <c r="AG672" s="166"/>
      <c r="AH672" s="166"/>
      <c r="AI672" s="166"/>
    </row>
    <row r="673" spans="7:35" x14ac:dyDescent="0.25">
      <c r="G673" s="165"/>
      <c r="H673" s="166"/>
      <c r="I673" s="167"/>
      <c r="J673" s="167"/>
      <c r="K673" s="166"/>
      <c r="L673" s="166"/>
      <c r="M673" s="166"/>
      <c r="N673" s="166"/>
      <c r="O673" s="166"/>
      <c r="P673" s="166"/>
      <c r="Q673" s="166"/>
      <c r="R673" s="166"/>
      <c r="S673" s="166"/>
      <c r="T673" s="166"/>
      <c r="U673" s="166"/>
      <c r="V673" s="166"/>
      <c r="W673" s="166"/>
      <c r="X673" s="166"/>
      <c r="Y673" s="166"/>
      <c r="Z673" s="166"/>
      <c r="AA673" s="166"/>
      <c r="AB673" s="166"/>
      <c r="AC673" s="166"/>
      <c r="AD673" s="166"/>
      <c r="AE673" s="166"/>
      <c r="AF673" s="166"/>
      <c r="AG673" s="166"/>
      <c r="AH673" s="166"/>
      <c r="AI673" s="166"/>
    </row>
    <row r="674" spans="7:35" x14ac:dyDescent="0.25">
      <c r="G674" s="165"/>
      <c r="H674" s="166"/>
      <c r="I674" s="167"/>
      <c r="J674" s="167"/>
      <c r="K674" s="166"/>
      <c r="L674" s="166"/>
      <c r="M674" s="166"/>
      <c r="N674" s="166"/>
      <c r="O674" s="166"/>
      <c r="P674" s="166"/>
      <c r="Q674" s="166"/>
      <c r="R674" s="166"/>
      <c r="S674" s="166"/>
      <c r="T674" s="166"/>
      <c r="U674" s="166"/>
      <c r="V674" s="166"/>
      <c r="W674" s="166"/>
      <c r="X674" s="166"/>
      <c r="Y674" s="166"/>
      <c r="Z674" s="166"/>
      <c r="AA674" s="166"/>
      <c r="AB674" s="166"/>
      <c r="AC674" s="166"/>
      <c r="AD674" s="166"/>
      <c r="AE674" s="166"/>
      <c r="AF674" s="166"/>
      <c r="AG674" s="166"/>
      <c r="AH674" s="166"/>
      <c r="AI674" s="166"/>
    </row>
    <row r="675" spans="7:35" x14ac:dyDescent="0.25">
      <c r="G675" s="165"/>
      <c r="H675" s="166"/>
      <c r="I675" s="167"/>
      <c r="J675" s="167"/>
      <c r="K675" s="166"/>
      <c r="L675" s="166"/>
      <c r="M675" s="166"/>
      <c r="N675" s="166"/>
      <c r="O675" s="166"/>
      <c r="P675" s="166"/>
      <c r="Q675" s="166"/>
      <c r="R675" s="166"/>
      <c r="S675" s="166"/>
      <c r="T675" s="166"/>
      <c r="U675" s="166"/>
      <c r="V675" s="166"/>
      <c r="W675" s="166"/>
      <c r="X675" s="166"/>
      <c r="Y675" s="166"/>
      <c r="Z675" s="166"/>
      <c r="AA675" s="166"/>
      <c r="AB675" s="166"/>
      <c r="AC675" s="166"/>
      <c r="AD675" s="166"/>
      <c r="AE675" s="166"/>
      <c r="AF675" s="166"/>
      <c r="AG675" s="166"/>
      <c r="AH675" s="166"/>
      <c r="AI675" s="166"/>
    </row>
    <row r="676" spans="7:35" x14ac:dyDescent="0.25">
      <c r="G676" s="165"/>
      <c r="H676" s="166"/>
      <c r="I676" s="167"/>
      <c r="J676" s="167"/>
      <c r="K676" s="166"/>
      <c r="L676" s="166"/>
      <c r="M676" s="166"/>
      <c r="N676" s="166"/>
      <c r="O676" s="166"/>
      <c r="P676" s="166"/>
      <c r="Q676" s="166"/>
      <c r="R676" s="166"/>
      <c r="S676" s="166"/>
      <c r="T676" s="166"/>
      <c r="U676" s="166"/>
      <c r="V676" s="166"/>
      <c r="W676" s="166"/>
      <c r="X676" s="166"/>
      <c r="Y676" s="166"/>
      <c r="Z676" s="166"/>
      <c r="AA676" s="166"/>
      <c r="AB676" s="166"/>
      <c r="AC676" s="166"/>
      <c r="AD676" s="166"/>
      <c r="AE676" s="166"/>
      <c r="AF676" s="166"/>
      <c r="AG676" s="166"/>
      <c r="AH676" s="166"/>
      <c r="AI676" s="166"/>
    </row>
    <row r="677" spans="7:35" x14ac:dyDescent="0.25">
      <c r="G677" s="165"/>
      <c r="H677" s="166"/>
      <c r="I677" s="167"/>
      <c r="J677" s="167"/>
      <c r="K677" s="166"/>
      <c r="L677" s="166"/>
      <c r="M677" s="166"/>
      <c r="N677" s="166"/>
      <c r="O677" s="166"/>
      <c r="P677" s="166"/>
      <c r="Q677" s="166"/>
      <c r="R677" s="166"/>
      <c r="S677" s="166"/>
      <c r="T677" s="166"/>
      <c r="U677" s="166"/>
      <c r="V677" s="166"/>
      <c r="W677" s="166"/>
      <c r="X677" s="166"/>
      <c r="Y677" s="166"/>
      <c r="Z677" s="166"/>
      <c r="AA677" s="166"/>
      <c r="AB677" s="166"/>
      <c r="AC677" s="166"/>
      <c r="AD677" s="166"/>
      <c r="AE677" s="166"/>
      <c r="AF677" s="166"/>
      <c r="AG677" s="166"/>
      <c r="AH677" s="166"/>
      <c r="AI677" s="166"/>
    </row>
    <row r="678" spans="7:35" x14ac:dyDescent="0.25">
      <c r="G678" s="165"/>
      <c r="H678" s="166"/>
      <c r="I678" s="167"/>
      <c r="J678" s="167"/>
      <c r="K678" s="166"/>
      <c r="L678" s="166"/>
      <c r="M678" s="166"/>
      <c r="N678" s="166"/>
      <c r="O678" s="166"/>
      <c r="P678" s="166"/>
      <c r="Q678" s="166"/>
      <c r="R678" s="166"/>
      <c r="S678" s="166"/>
      <c r="T678" s="166"/>
      <c r="U678" s="166"/>
      <c r="V678" s="166"/>
      <c r="W678" s="166"/>
      <c r="X678" s="166"/>
      <c r="Y678" s="166"/>
      <c r="Z678" s="166"/>
      <c r="AA678" s="166"/>
      <c r="AB678" s="166"/>
      <c r="AC678" s="166"/>
      <c r="AD678" s="166"/>
      <c r="AE678" s="166"/>
      <c r="AF678" s="166"/>
      <c r="AG678" s="166"/>
      <c r="AH678" s="166"/>
      <c r="AI678" s="166"/>
    </row>
    <row r="679" spans="7:35" x14ac:dyDescent="0.25">
      <c r="G679" s="165"/>
      <c r="H679" s="166"/>
      <c r="I679" s="167"/>
      <c r="J679" s="167"/>
      <c r="K679" s="166"/>
      <c r="L679" s="166"/>
      <c r="M679" s="166"/>
      <c r="N679" s="166"/>
      <c r="O679" s="166"/>
      <c r="P679" s="166"/>
      <c r="Q679" s="166"/>
      <c r="R679" s="166"/>
      <c r="S679" s="166"/>
      <c r="T679" s="166"/>
      <c r="U679" s="166"/>
      <c r="V679" s="166"/>
      <c r="W679" s="166"/>
      <c r="X679" s="166"/>
      <c r="Y679" s="166"/>
      <c r="Z679" s="166"/>
      <c r="AA679" s="166"/>
      <c r="AB679" s="166"/>
      <c r="AC679" s="166"/>
      <c r="AD679" s="166"/>
      <c r="AE679" s="166"/>
      <c r="AF679" s="166"/>
      <c r="AG679" s="166"/>
      <c r="AH679" s="166"/>
      <c r="AI679" s="166"/>
    </row>
    <row r="680" spans="7:35" x14ac:dyDescent="0.25">
      <c r="G680" s="165"/>
      <c r="H680" s="166"/>
      <c r="I680" s="167"/>
      <c r="J680" s="167"/>
      <c r="K680" s="166"/>
      <c r="L680" s="166"/>
      <c r="M680" s="166"/>
      <c r="N680" s="166"/>
      <c r="O680" s="166"/>
      <c r="P680" s="166"/>
      <c r="Q680" s="166"/>
      <c r="R680" s="166"/>
      <c r="S680" s="166"/>
      <c r="T680" s="166"/>
      <c r="U680" s="166"/>
      <c r="V680" s="166"/>
      <c r="W680" s="166"/>
      <c r="X680" s="166"/>
      <c r="Y680" s="166"/>
      <c r="Z680" s="166"/>
      <c r="AA680" s="166"/>
      <c r="AB680" s="166"/>
      <c r="AC680" s="166"/>
      <c r="AD680" s="166"/>
      <c r="AE680" s="166"/>
      <c r="AF680" s="166"/>
      <c r="AG680" s="166"/>
      <c r="AH680" s="166"/>
      <c r="AI680" s="166"/>
    </row>
    <row r="681" spans="7:35" x14ac:dyDescent="0.25">
      <c r="G681" s="165"/>
      <c r="H681" s="166"/>
      <c r="I681" s="167"/>
      <c r="J681" s="167"/>
      <c r="K681" s="166"/>
      <c r="L681" s="166"/>
      <c r="M681" s="166"/>
      <c r="N681" s="166"/>
      <c r="O681" s="166"/>
      <c r="P681" s="166"/>
      <c r="Q681" s="166"/>
      <c r="R681" s="166"/>
      <c r="S681" s="166"/>
      <c r="T681" s="166"/>
      <c r="U681" s="166"/>
      <c r="V681" s="166"/>
      <c r="W681" s="166"/>
      <c r="X681" s="166"/>
      <c r="Y681" s="166"/>
      <c r="Z681" s="166"/>
      <c r="AA681" s="166"/>
      <c r="AB681" s="166"/>
      <c r="AC681" s="166"/>
      <c r="AD681" s="166"/>
      <c r="AE681" s="166"/>
      <c r="AF681" s="166"/>
      <c r="AG681" s="166"/>
      <c r="AH681" s="166"/>
      <c r="AI681" s="166"/>
    </row>
    <row r="682" spans="7:35" x14ac:dyDescent="0.25">
      <c r="G682" s="165"/>
      <c r="H682" s="166"/>
      <c r="I682" s="167"/>
      <c r="J682" s="167"/>
      <c r="K682" s="166"/>
      <c r="L682" s="166"/>
      <c r="M682" s="166"/>
      <c r="N682" s="166"/>
      <c r="O682" s="166"/>
      <c r="P682" s="166"/>
      <c r="Q682" s="166"/>
      <c r="R682" s="166"/>
      <c r="S682" s="166"/>
      <c r="T682" s="166"/>
      <c r="U682" s="166"/>
      <c r="V682" s="166"/>
      <c r="W682" s="166"/>
      <c r="X682" s="166"/>
      <c r="Y682" s="166"/>
      <c r="Z682" s="166"/>
      <c r="AA682" s="166"/>
      <c r="AB682" s="166"/>
      <c r="AC682" s="166"/>
      <c r="AD682" s="166"/>
      <c r="AE682" s="166"/>
      <c r="AF682" s="166"/>
      <c r="AG682" s="166"/>
      <c r="AH682" s="166"/>
      <c r="AI682" s="166"/>
    </row>
    <row r="683" spans="7:35" x14ac:dyDescent="0.25">
      <c r="G683" s="165"/>
      <c r="H683" s="166"/>
      <c r="I683" s="167"/>
      <c r="J683" s="167"/>
      <c r="K683" s="166"/>
      <c r="L683" s="166"/>
      <c r="M683" s="166"/>
      <c r="N683" s="166"/>
      <c r="O683" s="166"/>
      <c r="P683" s="166"/>
      <c r="Q683" s="166"/>
      <c r="R683" s="166"/>
      <c r="S683" s="166"/>
      <c r="T683" s="166"/>
      <c r="U683" s="166"/>
      <c r="V683" s="166"/>
      <c r="W683" s="166"/>
      <c r="X683" s="166"/>
      <c r="Y683" s="166"/>
      <c r="Z683" s="166"/>
      <c r="AA683" s="166"/>
      <c r="AB683" s="166"/>
      <c r="AC683" s="166"/>
      <c r="AD683" s="166"/>
      <c r="AE683" s="166"/>
      <c r="AF683" s="166"/>
      <c r="AG683" s="166"/>
      <c r="AH683" s="166"/>
      <c r="AI683" s="166"/>
    </row>
    <row r="684" spans="7:35" x14ac:dyDescent="0.25">
      <c r="G684" s="165"/>
      <c r="H684" s="166"/>
      <c r="I684" s="167"/>
      <c r="J684" s="167"/>
      <c r="K684" s="166"/>
      <c r="L684" s="166"/>
      <c r="M684" s="166"/>
      <c r="N684" s="166"/>
      <c r="O684" s="166"/>
      <c r="P684" s="166"/>
      <c r="Q684" s="166"/>
      <c r="R684" s="166"/>
      <c r="S684" s="166"/>
      <c r="T684" s="166"/>
      <c r="U684" s="166"/>
      <c r="V684" s="166"/>
      <c r="W684" s="166"/>
      <c r="X684" s="166"/>
      <c r="Y684" s="166"/>
      <c r="Z684" s="166"/>
      <c r="AA684" s="166"/>
      <c r="AB684" s="166"/>
      <c r="AC684" s="166"/>
      <c r="AD684" s="166"/>
      <c r="AE684" s="166"/>
      <c r="AF684" s="166"/>
      <c r="AG684" s="166"/>
      <c r="AH684" s="166"/>
      <c r="AI684" s="166"/>
    </row>
    <row r="685" spans="7:35" x14ac:dyDescent="0.25">
      <c r="G685" s="165"/>
      <c r="H685" s="166"/>
      <c r="I685" s="167"/>
      <c r="J685" s="167"/>
      <c r="K685" s="166"/>
      <c r="L685" s="166"/>
      <c r="M685" s="166"/>
      <c r="N685" s="166"/>
      <c r="O685" s="166"/>
      <c r="P685" s="166"/>
      <c r="Q685" s="166"/>
      <c r="R685" s="166"/>
      <c r="S685" s="166"/>
      <c r="T685" s="166"/>
      <c r="U685" s="166"/>
      <c r="V685" s="166"/>
      <c r="W685" s="166"/>
      <c r="X685" s="166"/>
      <c r="Y685" s="166"/>
      <c r="Z685" s="166"/>
      <c r="AA685" s="166"/>
      <c r="AB685" s="166"/>
      <c r="AC685" s="166"/>
      <c r="AD685" s="166"/>
      <c r="AE685" s="166"/>
      <c r="AF685" s="166"/>
      <c r="AG685" s="166"/>
      <c r="AH685" s="166"/>
      <c r="AI685" s="166"/>
    </row>
    <row r="686" spans="7:35" x14ac:dyDescent="0.25">
      <c r="G686" s="165"/>
      <c r="H686" s="166"/>
      <c r="I686" s="167"/>
      <c r="J686" s="167"/>
      <c r="K686" s="166"/>
      <c r="L686" s="166"/>
      <c r="M686" s="166"/>
      <c r="N686" s="166"/>
      <c r="O686" s="166"/>
      <c r="P686" s="166"/>
      <c r="Q686" s="166"/>
      <c r="R686" s="166"/>
      <c r="S686" s="166"/>
      <c r="T686" s="166"/>
      <c r="U686" s="166"/>
      <c r="V686" s="166"/>
      <c r="W686" s="166"/>
      <c r="X686" s="166"/>
      <c r="Y686" s="166"/>
      <c r="Z686" s="166"/>
      <c r="AA686" s="166"/>
      <c r="AB686" s="166"/>
      <c r="AC686" s="166"/>
      <c r="AD686" s="166"/>
      <c r="AE686" s="166"/>
      <c r="AF686" s="166"/>
      <c r="AG686" s="166"/>
      <c r="AH686" s="166"/>
      <c r="AI686" s="166"/>
    </row>
    <row r="687" spans="7:35" x14ac:dyDescent="0.25">
      <c r="G687" s="165"/>
      <c r="H687" s="166"/>
      <c r="I687" s="167"/>
      <c r="J687" s="167"/>
      <c r="K687" s="166"/>
      <c r="L687" s="166"/>
      <c r="M687" s="166"/>
      <c r="N687" s="166"/>
      <c r="O687" s="166"/>
      <c r="P687" s="166"/>
      <c r="Q687" s="166"/>
      <c r="R687" s="166"/>
      <c r="S687" s="166"/>
      <c r="T687" s="166"/>
      <c r="U687" s="166"/>
      <c r="V687" s="166"/>
      <c r="W687" s="166"/>
      <c r="X687" s="166"/>
      <c r="Y687" s="166"/>
      <c r="Z687" s="166"/>
      <c r="AA687" s="166"/>
      <c r="AB687" s="166"/>
      <c r="AC687" s="166"/>
      <c r="AD687" s="166"/>
      <c r="AE687" s="166"/>
      <c r="AF687" s="166"/>
      <c r="AG687" s="166"/>
      <c r="AH687" s="166"/>
      <c r="AI687" s="166"/>
    </row>
    <row r="688" spans="7:35" x14ac:dyDescent="0.25">
      <c r="G688" s="165"/>
      <c r="H688" s="166"/>
      <c r="I688" s="167"/>
      <c r="J688" s="167"/>
      <c r="K688" s="166"/>
      <c r="L688" s="166"/>
      <c r="M688" s="166"/>
      <c r="N688" s="166"/>
      <c r="O688" s="166"/>
      <c r="P688" s="166"/>
      <c r="Q688" s="166"/>
      <c r="R688" s="166"/>
      <c r="S688" s="166"/>
      <c r="T688" s="166"/>
      <c r="U688" s="166"/>
      <c r="V688" s="166"/>
      <c r="W688" s="166"/>
      <c r="X688" s="166"/>
      <c r="Y688" s="166"/>
      <c r="Z688" s="166"/>
      <c r="AA688" s="166"/>
      <c r="AB688" s="166"/>
      <c r="AC688" s="166"/>
      <c r="AD688" s="166"/>
      <c r="AE688" s="166"/>
      <c r="AF688" s="166"/>
      <c r="AG688" s="166"/>
      <c r="AH688" s="166"/>
      <c r="AI688" s="166"/>
    </row>
    <row r="689" spans="7:35" x14ac:dyDescent="0.25">
      <c r="G689" s="165"/>
      <c r="H689" s="166"/>
      <c r="I689" s="167"/>
      <c r="J689" s="167"/>
      <c r="K689" s="166"/>
      <c r="L689" s="166"/>
      <c r="M689" s="166"/>
      <c r="N689" s="166"/>
      <c r="O689" s="166"/>
      <c r="P689" s="166"/>
      <c r="Q689" s="166"/>
      <c r="R689" s="166"/>
      <c r="S689" s="166"/>
      <c r="T689" s="166"/>
      <c r="U689" s="166"/>
      <c r="V689" s="166"/>
      <c r="W689" s="166"/>
      <c r="X689" s="166"/>
      <c r="Y689" s="166"/>
      <c r="Z689" s="166"/>
      <c r="AA689" s="166"/>
      <c r="AB689" s="166"/>
      <c r="AC689" s="166"/>
      <c r="AD689" s="166"/>
      <c r="AE689" s="166"/>
      <c r="AF689" s="166"/>
      <c r="AG689" s="166"/>
      <c r="AH689" s="166"/>
      <c r="AI689" s="166"/>
    </row>
    <row r="690" spans="7:35" x14ac:dyDescent="0.25">
      <c r="G690" s="165"/>
      <c r="H690" s="166"/>
      <c r="I690" s="167"/>
      <c r="J690" s="167"/>
      <c r="K690" s="166"/>
      <c r="L690" s="166"/>
      <c r="M690" s="166"/>
      <c r="N690" s="166"/>
      <c r="O690" s="166"/>
      <c r="P690" s="166"/>
      <c r="Q690" s="166"/>
      <c r="R690" s="166"/>
      <c r="S690" s="166"/>
      <c r="T690" s="166"/>
      <c r="U690" s="166"/>
      <c r="V690" s="166"/>
      <c r="W690" s="166"/>
      <c r="X690" s="166"/>
      <c r="Y690" s="166"/>
      <c r="Z690" s="166"/>
      <c r="AA690" s="166"/>
      <c r="AB690" s="166"/>
      <c r="AC690" s="166"/>
      <c r="AD690" s="166"/>
      <c r="AE690" s="166"/>
      <c r="AF690" s="166"/>
      <c r="AG690" s="166"/>
      <c r="AH690" s="166"/>
      <c r="AI690" s="166"/>
    </row>
    <row r="691" spans="7:35" x14ac:dyDescent="0.25">
      <c r="G691" s="165"/>
      <c r="H691" s="166"/>
      <c r="I691" s="167"/>
      <c r="J691" s="167"/>
      <c r="K691" s="166"/>
      <c r="L691" s="166"/>
      <c r="M691" s="166"/>
      <c r="N691" s="166"/>
      <c r="O691" s="166"/>
      <c r="P691" s="166"/>
      <c r="Q691" s="166"/>
      <c r="R691" s="166"/>
      <c r="S691" s="166"/>
      <c r="T691" s="166"/>
      <c r="U691" s="166"/>
      <c r="V691" s="166"/>
      <c r="W691" s="166"/>
      <c r="X691" s="166"/>
      <c r="Y691" s="166"/>
      <c r="Z691" s="166"/>
      <c r="AA691" s="166"/>
      <c r="AB691" s="166"/>
      <c r="AC691" s="166"/>
      <c r="AD691" s="166"/>
      <c r="AE691" s="166"/>
      <c r="AF691" s="166"/>
      <c r="AG691" s="166"/>
      <c r="AH691" s="166"/>
      <c r="AI691" s="166"/>
    </row>
    <row r="692" spans="7:35" x14ac:dyDescent="0.25">
      <c r="G692" s="165"/>
      <c r="H692" s="166"/>
      <c r="I692" s="167"/>
      <c r="J692" s="167"/>
      <c r="K692" s="166"/>
      <c r="L692" s="166"/>
      <c r="M692" s="166"/>
      <c r="N692" s="166"/>
      <c r="O692" s="166"/>
      <c r="P692" s="166"/>
      <c r="Q692" s="166"/>
      <c r="R692" s="166"/>
      <c r="S692" s="166"/>
      <c r="T692" s="166"/>
      <c r="U692" s="166"/>
      <c r="V692" s="166"/>
      <c r="W692" s="166"/>
      <c r="X692" s="166"/>
      <c r="Y692" s="166"/>
      <c r="Z692" s="166"/>
      <c r="AA692" s="166"/>
      <c r="AB692" s="166"/>
      <c r="AC692" s="166"/>
      <c r="AD692" s="166"/>
      <c r="AE692" s="166"/>
      <c r="AF692" s="166"/>
      <c r="AG692" s="166"/>
      <c r="AH692" s="166"/>
      <c r="AI692" s="166"/>
    </row>
    <row r="693" spans="7:35" x14ac:dyDescent="0.25">
      <c r="G693" s="165"/>
      <c r="H693" s="166"/>
      <c r="I693" s="167"/>
      <c r="J693" s="167"/>
      <c r="K693" s="166"/>
      <c r="L693" s="166"/>
      <c r="M693" s="166"/>
      <c r="N693" s="166"/>
      <c r="O693" s="166"/>
      <c r="P693" s="166"/>
      <c r="Q693" s="166"/>
      <c r="R693" s="166"/>
      <c r="S693" s="166"/>
      <c r="T693" s="166"/>
      <c r="U693" s="166"/>
      <c r="V693" s="166"/>
      <c r="W693" s="166"/>
      <c r="X693" s="166"/>
      <c r="Y693" s="166"/>
      <c r="Z693" s="166"/>
      <c r="AA693" s="166"/>
      <c r="AB693" s="166"/>
      <c r="AC693" s="166"/>
      <c r="AD693" s="166"/>
      <c r="AE693" s="166"/>
      <c r="AF693" s="166"/>
      <c r="AG693" s="166"/>
      <c r="AH693" s="166"/>
      <c r="AI693" s="166"/>
    </row>
    <row r="694" spans="7:35" x14ac:dyDescent="0.25">
      <c r="G694" s="165"/>
      <c r="H694" s="166"/>
      <c r="I694" s="167"/>
      <c r="J694" s="167"/>
      <c r="K694" s="166"/>
      <c r="L694" s="166"/>
      <c r="M694" s="166"/>
      <c r="N694" s="166"/>
      <c r="O694" s="166"/>
      <c r="P694" s="166"/>
      <c r="Q694" s="166"/>
      <c r="R694" s="166"/>
      <c r="S694" s="166"/>
      <c r="T694" s="166"/>
      <c r="U694" s="166"/>
      <c r="V694" s="166"/>
      <c r="W694" s="166"/>
      <c r="X694" s="166"/>
      <c r="Y694" s="166"/>
      <c r="Z694" s="166"/>
      <c r="AA694" s="166"/>
      <c r="AB694" s="166"/>
      <c r="AC694" s="166"/>
      <c r="AD694" s="166"/>
      <c r="AE694" s="166"/>
      <c r="AF694" s="166"/>
      <c r="AG694" s="166"/>
      <c r="AH694" s="166"/>
      <c r="AI694" s="166"/>
    </row>
    <row r="695" spans="7:35" x14ac:dyDescent="0.25">
      <c r="G695" s="165"/>
      <c r="H695" s="166"/>
      <c r="I695" s="167"/>
      <c r="J695" s="167"/>
      <c r="K695" s="166"/>
      <c r="L695" s="166"/>
      <c r="M695" s="166"/>
      <c r="N695" s="166"/>
      <c r="O695" s="166"/>
      <c r="P695" s="166"/>
      <c r="Q695" s="166"/>
      <c r="R695" s="166"/>
      <c r="S695" s="166"/>
      <c r="T695" s="166"/>
      <c r="U695" s="166"/>
      <c r="V695" s="166"/>
      <c r="W695" s="166"/>
      <c r="X695" s="166"/>
      <c r="Y695" s="166"/>
      <c r="Z695" s="166"/>
      <c r="AA695" s="166"/>
      <c r="AB695" s="166"/>
      <c r="AC695" s="166"/>
      <c r="AD695" s="166"/>
      <c r="AE695" s="166"/>
      <c r="AF695" s="166"/>
      <c r="AG695" s="166"/>
      <c r="AH695" s="166"/>
      <c r="AI695" s="166"/>
    </row>
    <row r="696" spans="7:35" x14ac:dyDescent="0.25">
      <c r="G696" s="165"/>
      <c r="H696" s="166"/>
      <c r="I696" s="167"/>
      <c r="J696" s="167"/>
      <c r="K696" s="166"/>
      <c r="L696" s="166"/>
      <c r="M696" s="166"/>
      <c r="N696" s="166"/>
      <c r="O696" s="166"/>
      <c r="P696" s="166"/>
      <c r="Q696" s="166"/>
      <c r="R696" s="166"/>
      <c r="S696" s="166"/>
      <c r="T696" s="166"/>
      <c r="U696" s="166"/>
      <c r="V696" s="166"/>
      <c r="W696" s="166"/>
      <c r="X696" s="166"/>
      <c r="Y696" s="166"/>
      <c r="Z696" s="166"/>
      <c r="AA696" s="166"/>
      <c r="AB696" s="166"/>
      <c r="AC696" s="166"/>
      <c r="AD696" s="166"/>
      <c r="AE696" s="166"/>
      <c r="AF696" s="166"/>
      <c r="AG696" s="166"/>
      <c r="AH696" s="166"/>
      <c r="AI696" s="166"/>
    </row>
    <row r="697" spans="7:35" x14ac:dyDescent="0.25">
      <c r="G697" s="165"/>
      <c r="H697" s="166"/>
      <c r="I697" s="167"/>
      <c r="J697" s="167"/>
      <c r="K697" s="166"/>
      <c r="L697" s="166"/>
      <c r="M697" s="166"/>
      <c r="N697" s="166"/>
      <c r="O697" s="166"/>
      <c r="P697" s="166"/>
      <c r="Q697" s="166"/>
      <c r="R697" s="166"/>
      <c r="S697" s="166"/>
      <c r="T697" s="166"/>
      <c r="U697" s="166"/>
      <c r="V697" s="166"/>
      <c r="W697" s="166"/>
      <c r="X697" s="166"/>
      <c r="Y697" s="166"/>
      <c r="Z697" s="166"/>
      <c r="AA697" s="166"/>
      <c r="AB697" s="166"/>
      <c r="AC697" s="166"/>
      <c r="AD697" s="166"/>
      <c r="AE697" s="166"/>
      <c r="AF697" s="166"/>
      <c r="AG697" s="166"/>
      <c r="AH697" s="166"/>
      <c r="AI697" s="166"/>
    </row>
    <row r="698" spans="7:35" x14ac:dyDescent="0.25">
      <c r="G698" s="165"/>
      <c r="H698" s="166"/>
      <c r="I698" s="167"/>
      <c r="J698" s="167"/>
      <c r="K698" s="166"/>
      <c r="L698" s="166"/>
      <c r="M698" s="166"/>
      <c r="N698" s="166"/>
      <c r="O698" s="166"/>
      <c r="P698" s="166"/>
      <c r="Q698" s="166"/>
      <c r="R698" s="166"/>
      <c r="S698" s="166"/>
      <c r="T698" s="166"/>
      <c r="U698" s="166"/>
      <c r="V698" s="166"/>
      <c r="W698" s="166"/>
      <c r="X698" s="166"/>
      <c r="Y698" s="166"/>
      <c r="Z698" s="166"/>
      <c r="AA698" s="166"/>
      <c r="AB698" s="166"/>
      <c r="AC698" s="166"/>
      <c r="AD698" s="166"/>
      <c r="AE698" s="166"/>
      <c r="AF698" s="166"/>
      <c r="AG698" s="166"/>
      <c r="AH698" s="166"/>
      <c r="AI698" s="166"/>
    </row>
    <row r="699" spans="7:35" x14ac:dyDescent="0.25">
      <c r="G699" s="165"/>
      <c r="H699" s="166"/>
      <c r="I699" s="167"/>
      <c r="J699" s="167"/>
      <c r="K699" s="166"/>
      <c r="L699" s="166"/>
      <c r="M699" s="166"/>
      <c r="N699" s="166"/>
      <c r="O699" s="166"/>
      <c r="P699" s="166"/>
      <c r="Q699" s="166"/>
      <c r="R699" s="166"/>
      <c r="S699" s="166"/>
      <c r="T699" s="166"/>
      <c r="U699" s="166"/>
      <c r="V699" s="166"/>
      <c r="W699" s="166"/>
      <c r="X699" s="166"/>
      <c r="Y699" s="166"/>
      <c r="Z699" s="166"/>
      <c r="AA699" s="166"/>
      <c r="AB699" s="166"/>
      <c r="AC699" s="166"/>
      <c r="AD699" s="166"/>
      <c r="AE699" s="166"/>
      <c r="AF699" s="166"/>
      <c r="AG699" s="166"/>
      <c r="AH699" s="166"/>
      <c r="AI699" s="166"/>
    </row>
    <row r="700" spans="7:35" x14ac:dyDescent="0.25">
      <c r="G700" s="165"/>
      <c r="H700" s="166"/>
      <c r="I700" s="167"/>
      <c r="J700" s="167"/>
      <c r="K700" s="166"/>
      <c r="L700" s="166"/>
      <c r="M700" s="166"/>
      <c r="N700" s="166"/>
      <c r="O700" s="166"/>
      <c r="P700" s="166"/>
      <c r="Q700" s="166"/>
      <c r="R700" s="166"/>
      <c r="S700" s="166"/>
      <c r="T700" s="166"/>
      <c r="U700" s="166"/>
      <c r="V700" s="166"/>
      <c r="W700" s="166"/>
      <c r="X700" s="166"/>
      <c r="Y700" s="166"/>
      <c r="Z700" s="166"/>
      <c r="AA700" s="166"/>
      <c r="AB700" s="166"/>
      <c r="AC700" s="166"/>
      <c r="AD700" s="166"/>
      <c r="AE700" s="166"/>
      <c r="AF700" s="166"/>
      <c r="AG700" s="166"/>
      <c r="AH700" s="166"/>
      <c r="AI700" s="166"/>
    </row>
    <row r="701" spans="7:35" x14ac:dyDescent="0.25">
      <c r="G701" s="165"/>
      <c r="H701" s="166"/>
      <c r="I701" s="167"/>
      <c r="J701" s="167"/>
      <c r="K701" s="166"/>
      <c r="L701" s="166"/>
      <c r="M701" s="166"/>
      <c r="N701" s="166"/>
      <c r="O701" s="166"/>
      <c r="P701" s="166"/>
      <c r="Q701" s="166"/>
      <c r="R701" s="166"/>
      <c r="S701" s="166"/>
      <c r="T701" s="166"/>
      <c r="U701" s="166"/>
      <c r="V701" s="166"/>
      <c r="W701" s="166"/>
      <c r="X701" s="166"/>
      <c r="Y701" s="166"/>
      <c r="Z701" s="166"/>
      <c r="AA701" s="166"/>
      <c r="AB701" s="166"/>
      <c r="AC701" s="166"/>
      <c r="AD701" s="166"/>
      <c r="AE701" s="166"/>
      <c r="AF701" s="166"/>
      <c r="AG701" s="166"/>
      <c r="AH701" s="166"/>
      <c r="AI701" s="166"/>
    </row>
    <row r="702" spans="7:35" x14ac:dyDescent="0.25">
      <c r="G702" s="165"/>
      <c r="H702" s="166"/>
      <c r="I702" s="167"/>
      <c r="J702" s="167"/>
      <c r="K702" s="166"/>
      <c r="L702" s="166"/>
      <c r="M702" s="166"/>
      <c r="N702" s="166"/>
      <c r="O702" s="166"/>
      <c r="P702" s="166"/>
      <c r="Q702" s="166"/>
      <c r="R702" s="166"/>
      <c r="S702" s="166"/>
      <c r="T702" s="166"/>
      <c r="U702" s="166"/>
      <c r="V702" s="166"/>
      <c r="W702" s="166"/>
      <c r="X702" s="166"/>
      <c r="Y702" s="166"/>
      <c r="Z702" s="166"/>
      <c r="AA702" s="166"/>
      <c r="AB702" s="166"/>
      <c r="AC702" s="166"/>
      <c r="AD702" s="166"/>
      <c r="AE702" s="166"/>
      <c r="AF702" s="166"/>
      <c r="AG702" s="166"/>
      <c r="AH702" s="166"/>
      <c r="AI702" s="166"/>
    </row>
    <row r="703" spans="7:35" x14ac:dyDescent="0.25">
      <c r="G703" s="165"/>
      <c r="H703" s="166"/>
      <c r="I703" s="167"/>
      <c r="J703" s="167"/>
      <c r="K703" s="166"/>
      <c r="L703" s="166"/>
      <c r="M703" s="166"/>
      <c r="N703" s="166"/>
      <c r="O703" s="166"/>
      <c r="P703" s="166"/>
      <c r="Q703" s="166"/>
      <c r="R703" s="166"/>
      <c r="S703" s="166"/>
      <c r="T703" s="166"/>
      <c r="U703" s="166"/>
      <c r="V703" s="166"/>
      <c r="W703" s="166"/>
      <c r="X703" s="166"/>
      <c r="Y703" s="166"/>
      <c r="Z703" s="166"/>
      <c r="AA703" s="166"/>
      <c r="AB703" s="166"/>
      <c r="AC703" s="166"/>
      <c r="AD703" s="166"/>
      <c r="AE703" s="166"/>
      <c r="AF703" s="166"/>
      <c r="AG703" s="166"/>
      <c r="AH703" s="166"/>
      <c r="AI703" s="166"/>
    </row>
    <row r="704" spans="7:35" x14ac:dyDescent="0.25">
      <c r="G704" s="165"/>
      <c r="H704" s="166"/>
      <c r="I704" s="167"/>
      <c r="J704" s="167"/>
      <c r="K704" s="166"/>
      <c r="L704" s="166"/>
      <c r="M704" s="166"/>
      <c r="N704" s="166"/>
      <c r="O704" s="166"/>
      <c r="P704" s="166"/>
      <c r="Q704" s="166"/>
      <c r="R704" s="166"/>
      <c r="S704" s="166"/>
      <c r="T704" s="166"/>
      <c r="U704" s="166"/>
      <c r="V704" s="166"/>
      <c r="W704" s="166"/>
      <c r="X704" s="166"/>
      <c r="Y704" s="166"/>
      <c r="Z704" s="166"/>
      <c r="AA704" s="166"/>
      <c r="AB704" s="166"/>
      <c r="AC704" s="166"/>
      <c r="AD704" s="166"/>
      <c r="AE704" s="166"/>
      <c r="AF704" s="166"/>
      <c r="AG704" s="166"/>
      <c r="AH704" s="166"/>
      <c r="AI704" s="166"/>
    </row>
    <row r="705" spans="7:35" x14ac:dyDescent="0.25">
      <c r="G705" s="165"/>
      <c r="H705" s="166"/>
      <c r="I705" s="167"/>
      <c r="J705" s="167"/>
      <c r="K705" s="166"/>
      <c r="L705" s="166"/>
      <c r="M705" s="166"/>
      <c r="N705" s="166"/>
      <c r="O705" s="166"/>
      <c r="P705" s="166"/>
      <c r="Q705" s="166"/>
      <c r="R705" s="166"/>
      <c r="S705" s="166"/>
      <c r="T705" s="166"/>
      <c r="U705" s="166"/>
      <c r="V705" s="166"/>
      <c r="W705" s="166"/>
      <c r="X705" s="166"/>
      <c r="Y705" s="166"/>
      <c r="Z705" s="166"/>
      <c r="AA705" s="166"/>
      <c r="AB705" s="166"/>
      <c r="AC705" s="166"/>
      <c r="AD705" s="166"/>
      <c r="AE705" s="166"/>
      <c r="AF705" s="166"/>
      <c r="AG705" s="166"/>
      <c r="AH705" s="166"/>
      <c r="AI705" s="166"/>
    </row>
    <row r="706" spans="7:35" x14ac:dyDescent="0.25">
      <c r="G706" s="165"/>
      <c r="H706" s="166"/>
      <c r="I706" s="167"/>
      <c r="J706" s="167"/>
      <c r="K706" s="166"/>
      <c r="L706" s="166"/>
      <c r="M706" s="166"/>
      <c r="N706" s="166"/>
      <c r="O706" s="166"/>
      <c r="P706" s="166"/>
      <c r="Q706" s="166"/>
      <c r="R706" s="166"/>
      <c r="S706" s="166"/>
      <c r="T706" s="166"/>
      <c r="U706" s="166"/>
      <c r="V706" s="166"/>
      <c r="W706" s="166"/>
      <c r="X706" s="166"/>
      <c r="Y706" s="166"/>
      <c r="Z706" s="166"/>
      <c r="AA706" s="166"/>
      <c r="AB706" s="166"/>
      <c r="AC706" s="166"/>
      <c r="AD706" s="166"/>
      <c r="AE706" s="166"/>
      <c r="AF706" s="166"/>
      <c r="AG706" s="166"/>
      <c r="AH706" s="166"/>
      <c r="AI706" s="166"/>
    </row>
    <row r="707" spans="7:35" x14ac:dyDescent="0.25">
      <c r="G707" s="165"/>
      <c r="H707" s="166"/>
      <c r="I707" s="167"/>
      <c r="J707" s="167"/>
      <c r="K707" s="166"/>
      <c r="L707" s="166"/>
      <c r="M707" s="166"/>
      <c r="N707" s="166"/>
      <c r="O707" s="166"/>
      <c r="P707" s="166"/>
      <c r="Q707" s="166"/>
      <c r="R707" s="166"/>
      <c r="S707" s="166"/>
      <c r="T707" s="166"/>
      <c r="U707" s="166"/>
      <c r="V707" s="166"/>
      <c r="W707" s="166"/>
      <c r="X707" s="166"/>
      <c r="Y707" s="166"/>
      <c r="Z707" s="166"/>
      <c r="AA707" s="166"/>
      <c r="AB707" s="166"/>
      <c r="AC707" s="166"/>
      <c r="AD707" s="166"/>
      <c r="AE707" s="166"/>
      <c r="AF707" s="166"/>
      <c r="AG707" s="166"/>
      <c r="AH707" s="166"/>
      <c r="AI707" s="166"/>
    </row>
    <row r="708" spans="7:35" x14ac:dyDescent="0.25">
      <c r="G708" s="165"/>
      <c r="H708" s="166"/>
      <c r="I708" s="167"/>
      <c r="J708" s="167"/>
      <c r="K708" s="166"/>
      <c r="L708" s="166"/>
      <c r="M708" s="166"/>
      <c r="N708" s="166"/>
      <c r="O708" s="166"/>
      <c r="P708" s="166"/>
      <c r="Q708" s="166"/>
      <c r="R708" s="166"/>
      <c r="S708" s="166"/>
      <c r="T708" s="166"/>
      <c r="U708" s="166"/>
      <c r="V708" s="166"/>
      <c r="W708" s="166"/>
      <c r="X708" s="166"/>
      <c r="Y708" s="166"/>
      <c r="Z708" s="166"/>
      <c r="AA708" s="166"/>
      <c r="AB708" s="166"/>
      <c r="AC708" s="166"/>
      <c r="AD708" s="166"/>
      <c r="AE708" s="166"/>
      <c r="AF708" s="166"/>
      <c r="AG708" s="166"/>
      <c r="AH708" s="166"/>
      <c r="AI708" s="166"/>
    </row>
    <row r="709" spans="7:35" x14ac:dyDescent="0.25">
      <c r="G709" s="165"/>
      <c r="H709" s="166"/>
      <c r="I709" s="167"/>
      <c r="J709" s="167"/>
      <c r="K709" s="166"/>
      <c r="L709" s="166"/>
      <c r="M709" s="166"/>
      <c r="N709" s="166"/>
      <c r="O709" s="166"/>
      <c r="P709" s="166"/>
      <c r="Q709" s="166"/>
      <c r="R709" s="166"/>
      <c r="S709" s="166"/>
      <c r="T709" s="166"/>
      <c r="U709" s="166"/>
      <c r="V709" s="166"/>
      <c r="W709" s="166"/>
      <c r="X709" s="166"/>
      <c r="Y709" s="166"/>
      <c r="Z709" s="166"/>
      <c r="AA709" s="166"/>
      <c r="AB709" s="166"/>
      <c r="AC709" s="166"/>
      <c r="AD709" s="166"/>
      <c r="AE709" s="166"/>
      <c r="AF709" s="166"/>
      <c r="AG709" s="166"/>
      <c r="AH709" s="166"/>
      <c r="AI709" s="166"/>
    </row>
    <row r="710" spans="7:35" x14ac:dyDescent="0.25">
      <c r="G710" s="165"/>
      <c r="H710" s="166"/>
      <c r="I710" s="167"/>
      <c r="J710" s="167"/>
      <c r="K710" s="166"/>
      <c r="L710" s="166"/>
      <c r="M710" s="166"/>
      <c r="N710" s="166"/>
      <c r="O710" s="166"/>
      <c r="P710" s="166"/>
      <c r="Q710" s="166"/>
      <c r="R710" s="166"/>
      <c r="S710" s="166"/>
      <c r="T710" s="166"/>
      <c r="U710" s="166"/>
      <c r="V710" s="166"/>
      <c r="W710" s="166"/>
      <c r="X710" s="166"/>
      <c r="Y710" s="166"/>
      <c r="Z710" s="166"/>
      <c r="AA710" s="166"/>
      <c r="AB710" s="166"/>
      <c r="AC710" s="166"/>
      <c r="AD710" s="166"/>
      <c r="AE710" s="166"/>
      <c r="AF710" s="166"/>
      <c r="AG710" s="166"/>
      <c r="AH710" s="166"/>
      <c r="AI710" s="166"/>
    </row>
    <row r="711" spans="7:35" x14ac:dyDescent="0.25">
      <c r="G711" s="165"/>
      <c r="H711" s="166"/>
      <c r="I711" s="167"/>
      <c r="J711" s="167"/>
      <c r="K711" s="166"/>
      <c r="L711" s="166"/>
      <c r="M711" s="166"/>
      <c r="N711" s="166"/>
      <c r="O711" s="166"/>
      <c r="P711" s="166"/>
      <c r="Q711" s="166"/>
      <c r="R711" s="166"/>
      <c r="S711" s="166"/>
      <c r="T711" s="166"/>
      <c r="U711" s="166"/>
      <c r="V711" s="166"/>
      <c r="W711" s="166"/>
      <c r="X711" s="166"/>
      <c r="Y711" s="166"/>
      <c r="Z711" s="166"/>
      <c r="AA711" s="166"/>
      <c r="AB711" s="166"/>
      <c r="AC711" s="166"/>
      <c r="AD711" s="166"/>
      <c r="AE711" s="166"/>
      <c r="AF711" s="166"/>
      <c r="AG711" s="166"/>
      <c r="AH711" s="166"/>
      <c r="AI711" s="166"/>
    </row>
    <row r="712" spans="7:35" x14ac:dyDescent="0.25">
      <c r="G712" s="165"/>
      <c r="H712" s="166"/>
      <c r="I712" s="167"/>
      <c r="J712" s="167"/>
      <c r="K712" s="166"/>
      <c r="L712" s="166"/>
      <c r="M712" s="166"/>
      <c r="N712" s="166"/>
      <c r="O712" s="166"/>
      <c r="P712" s="166"/>
      <c r="Q712" s="166"/>
      <c r="R712" s="166"/>
      <c r="S712" s="166"/>
      <c r="T712" s="166"/>
      <c r="U712" s="166"/>
      <c r="V712" s="166"/>
      <c r="W712" s="166"/>
      <c r="X712" s="166"/>
      <c r="Y712" s="166"/>
      <c r="Z712" s="166"/>
      <c r="AA712" s="166"/>
      <c r="AB712" s="166"/>
      <c r="AC712" s="166"/>
      <c r="AD712" s="166"/>
      <c r="AE712" s="166"/>
      <c r="AF712" s="166"/>
      <c r="AG712" s="166"/>
      <c r="AH712" s="166"/>
      <c r="AI712" s="166"/>
    </row>
    <row r="713" spans="7:35" x14ac:dyDescent="0.25">
      <c r="G713" s="165"/>
      <c r="H713" s="166"/>
      <c r="I713" s="167"/>
      <c r="J713" s="167"/>
      <c r="K713" s="166"/>
      <c r="L713" s="166"/>
      <c r="M713" s="166"/>
      <c r="N713" s="166"/>
      <c r="O713" s="166"/>
      <c r="P713" s="166"/>
      <c r="Q713" s="166"/>
      <c r="R713" s="166"/>
      <c r="S713" s="166"/>
      <c r="T713" s="166"/>
      <c r="U713" s="166"/>
      <c r="V713" s="166"/>
      <c r="W713" s="166"/>
      <c r="X713" s="166"/>
      <c r="Y713" s="166"/>
      <c r="Z713" s="166"/>
      <c r="AA713" s="166"/>
      <c r="AB713" s="166"/>
      <c r="AC713" s="166"/>
      <c r="AD713" s="166"/>
      <c r="AE713" s="166"/>
      <c r="AF713" s="166"/>
      <c r="AG713" s="166"/>
      <c r="AH713" s="166"/>
      <c r="AI713" s="166"/>
    </row>
    <row r="714" spans="7:35" x14ac:dyDescent="0.25">
      <c r="G714" s="165"/>
      <c r="H714" s="166"/>
      <c r="I714" s="167"/>
      <c r="J714" s="167"/>
      <c r="K714" s="166"/>
      <c r="L714" s="166"/>
      <c r="M714" s="166"/>
      <c r="N714" s="166"/>
      <c r="O714" s="166"/>
      <c r="P714" s="166"/>
      <c r="Q714" s="166"/>
      <c r="R714" s="166"/>
      <c r="S714" s="166"/>
      <c r="T714" s="166"/>
      <c r="U714" s="166"/>
      <c r="V714" s="166"/>
      <c r="W714" s="166"/>
      <c r="X714" s="166"/>
      <c r="Y714" s="166"/>
      <c r="Z714" s="166"/>
      <c r="AA714" s="166"/>
      <c r="AB714" s="166"/>
      <c r="AC714" s="166"/>
      <c r="AD714" s="166"/>
      <c r="AE714" s="166"/>
      <c r="AF714" s="166"/>
      <c r="AG714" s="166"/>
      <c r="AH714" s="166"/>
      <c r="AI714" s="166"/>
    </row>
    <row r="715" spans="7:35" x14ac:dyDescent="0.25">
      <c r="G715" s="165"/>
      <c r="H715" s="166"/>
      <c r="I715" s="167"/>
      <c r="J715" s="167"/>
      <c r="K715" s="166"/>
      <c r="L715" s="166"/>
      <c r="M715" s="166"/>
      <c r="N715" s="166"/>
      <c r="O715" s="166"/>
      <c r="P715" s="166"/>
      <c r="Q715" s="166"/>
      <c r="R715" s="166"/>
      <c r="S715" s="166"/>
      <c r="T715" s="166"/>
      <c r="U715" s="166"/>
      <c r="V715" s="166"/>
      <c r="W715" s="166"/>
      <c r="X715" s="166"/>
      <c r="Y715" s="166"/>
      <c r="Z715" s="166"/>
      <c r="AA715" s="166"/>
      <c r="AB715" s="166"/>
      <c r="AC715" s="166"/>
      <c r="AD715" s="166"/>
      <c r="AE715" s="166"/>
      <c r="AF715" s="166"/>
      <c r="AG715" s="166"/>
      <c r="AH715" s="166"/>
      <c r="AI715" s="166"/>
    </row>
    <row r="716" spans="7:35" x14ac:dyDescent="0.25">
      <c r="G716" s="165"/>
      <c r="H716" s="166"/>
      <c r="I716" s="167"/>
      <c r="J716" s="167"/>
      <c r="K716" s="166"/>
      <c r="L716" s="166"/>
      <c r="M716" s="166"/>
      <c r="N716" s="166"/>
      <c r="O716" s="166"/>
      <c r="P716" s="166"/>
      <c r="Q716" s="166"/>
      <c r="R716" s="166"/>
      <c r="S716" s="166"/>
      <c r="T716" s="166"/>
      <c r="U716" s="166"/>
      <c r="V716" s="166"/>
      <c r="W716" s="166"/>
      <c r="X716" s="166"/>
      <c r="Y716" s="166"/>
      <c r="Z716" s="166"/>
      <c r="AA716" s="166"/>
      <c r="AB716" s="166"/>
      <c r="AC716" s="166"/>
      <c r="AD716" s="166"/>
      <c r="AE716" s="166"/>
      <c r="AF716" s="166"/>
      <c r="AG716" s="166"/>
      <c r="AH716" s="166"/>
      <c r="AI716" s="166"/>
    </row>
    <row r="717" spans="7:35" x14ac:dyDescent="0.25">
      <c r="G717" s="165"/>
      <c r="H717" s="166"/>
      <c r="I717" s="167"/>
      <c r="J717" s="167"/>
      <c r="K717" s="166"/>
      <c r="L717" s="166"/>
      <c r="M717" s="166"/>
      <c r="N717" s="166"/>
      <c r="O717" s="166"/>
      <c r="P717" s="166"/>
      <c r="Q717" s="166"/>
      <c r="R717" s="166"/>
      <c r="S717" s="166"/>
      <c r="T717" s="166"/>
      <c r="U717" s="166"/>
      <c r="V717" s="166"/>
      <c r="W717" s="166"/>
      <c r="X717" s="166"/>
      <c r="Y717" s="166"/>
      <c r="Z717" s="166"/>
      <c r="AA717" s="166"/>
      <c r="AB717" s="166"/>
      <c r="AC717" s="166"/>
      <c r="AD717" s="166"/>
      <c r="AE717" s="166"/>
      <c r="AF717" s="166"/>
      <c r="AG717" s="166"/>
      <c r="AH717" s="166"/>
      <c r="AI717" s="166"/>
    </row>
    <row r="718" spans="7:35" x14ac:dyDescent="0.25">
      <c r="G718" s="165"/>
      <c r="H718" s="166"/>
      <c r="I718" s="167"/>
      <c r="J718" s="167"/>
      <c r="K718" s="166"/>
      <c r="L718" s="166"/>
      <c r="M718" s="166"/>
      <c r="N718" s="166"/>
      <c r="O718" s="166"/>
      <c r="P718" s="166"/>
      <c r="Q718" s="166"/>
      <c r="R718" s="166"/>
      <c r="S718" s="166"/>
      <c r="T718" s="166"/>
      <c r="U718" s="166"/>
      <c r="V718" s="166"/>
      <c r="W718" s="166"/>
      <c r="X718" s="166"/>
      <c r="Y718" s="166"/>
      <c r="Z718" s="166"/>
      <c r="AA718" s="166"/>
      <c r="AB718" s="166"/>
      <c r="AC718" s="166"/>
      <c r="AD718" s="166"/>
      <c r="AE718" s="166"/>
      <c r="AF718" s="166"/>
      <c r="AG718" s="166"/>
      <c r="AH718" s="166"/>
      <c r="AI718" s="166"/>
    </row>
    <row r="719" spans="7:35" x14ac:dyDescent="0.25">
      <c r="G719" s="165"/>
      <c r="H719" s="166"/>
      <c r="I719" s="167"/>
      <c r="J719" s="167"/>
      <c r="K719" s="166"/>
      <c r="L719" s="166"/>
      <c r="M719" s="166"/>
      <c r="N719" s="166"/>
      <c r="O719" s="166"/>
      <c r="P719" s="166"/>
      <c r="Q719" s="166"/>
      <c r="R719" s="166"/>
      <c r="S719" s="166"/>
      <c r="T719" s="166"/>
      <c r="U719" s="166"/>
      <c r="V719" s="166"/>
      <c r="W719" s="166"/>
      <c r="X719" s="166"/>
      <c r="Y719" s="166"/>
      <c r="Z719" s="166"/>
      <c r="AA719" s="166"/>
      <c r="AB719" s="166"/>
      <c r="AC719" s="166"/>
      <c r="AD719" s="166"/>
      <c r="AE719" s="166"/>
      <c r="AF719" s="166"/>
      <c r="AG719" s="166"/>
      <c r="AH719" s="166"/>
      <c r="AI719" s="166"/>
    </row>
    <row r="720" spans="7:35" x14ac:dyDescent="0.25">
      <c r="G720" s="165"/>
      <c r="H720" s="166"/>
      <c r="I720" s="167"/>
      <c r="J720" s="167"/>
      <c r="K720" s="166"/>
      <c r="L720" s="166"/>
      <c r="M720" s="166"/>
      <c r="N720" s="166"/>
      <c r="O720" s="166"/>
      <c r="P720" s="166"/>
      <c r="Q720" s="166"/>
      <c r="R720" s="166"/>
      <c r="S720" s="166"/>
      <c r="T720" s="166"/>
      <c r="U720" s="166"/>
      <c r="V720" s="166"/>
      <c r="W720" s="166"/>
      <c r="X720" s="166"/>
      <c r="Y720" s="166"/>
      <c r="Z720" s="166"/>
      <c r="AA720" s="166"/>
      <c r="AB720" s="166"/>
      <c r="AC720" s="166"/>
      <c r="AD720" s="166"/>
      <c r="AE720" s="166"/>
      <c r="AF720" s="166"/>
      <c r="AG720" s="166"/>
      <c r="AH720" s="166"/>
      <c r="AI720" s="166"/>
    </row>
    <row r="721" spans="7:35" x14ac:dyDescent="0.25">
      <c r="G721" s="165"/>
      <c r="H721" s="166"/>
      <c r="I721" s="167"/>
      <c r="J721" s="167"/>
      <c r="K721" s="166"/>
      <c r="L721" s="166"/>
      <c r="M721" s="166"/>
      <c r="N721" s="166"/>
      <c r="O721" s="166"/>
      <c r="P721" s="166"/>
      <c r="Q721" s="166"/>
      <c r="R721" s="166"/>
      <c r="S721" s="166"/>
      <c r="T721" s="166"/>
      <c r="U721" s="166"/>
      <c r="V721" s="166"/>
      <c r="W721" s="166"/>
      <c r="X721" s="166"/>
      <c r="Y721" s="166"/>
      <c r="Z721" s="166"/>
      <c r="AA721" s="166"/>
      <c r="AB721" s="166"/>
      <c r="AC721" s="166"/>
      <c r="AD721" s="166"/>
      <c r="AE721" s="166"/>
      <c r="AF721" s="166"/>
      <c r="AG721" s="166"/>
      <c r="AH721" s="166"/>
      <c r="AI721" s="166"/>
    </row>
    <row r="722" spans="7:35" x14ac:dyDescent="0.25">
      <c r="G722" s="165"/>
      <c r="H722" s="166"/>
      <c r="I722" s="167"/>
      <c r="J722" s="167"/>
      <c r="K722" s="166"/>
      <c r="L722" s="166"/>
      <c r="M722" s="166"/>
      <c r="N722" s="166"/>
      <c r="O722" s="166"/>
      <c r="P722" s="166"/>
      <c r="Q722" s="166"/>
      <c r="R722" s="166"/>
      <c r="S722" s="166"/>
      <c r="T722" s="166"/>
      <c r="U722" s="166"/>
      <c r="V722" s="166"/>
      <c r="W722" s="166"/>
      <c r="X722" s="166"/>
      <c r="Y722" s="166"/>
      <c r="Z722" s="166"/>
      <c r="AA722" s="166"/>
      <c r="AB722" s="166"/>
      <c r="AC722" s="166"/>
      <c r="AD722" s="166"/>
      <c r="AE722" s="166"/>
      <c r="AF722" s="166"/>
      <c r="AG722" s="166"/>
      <c r="AH722" s="166"/>
      <c r="AI722" s="166"/>
    </row>
    <row r="723" spans="7:35" x14ac:dyDescent="0.25">
      <c r="G723" s="165"/>
      <c r="H723" s="166"/>
      <c r="I723" s="167"/>
      <c r="J723" s="167"/>
      <c r="K723" s="166"/>
      <c r="L723" s="166"/>
      <c r="M723" s="166"/>
      <c r="N723" s="166"/>
      <c r="O723" s="166"/>
      <c r="P723" s="166"/>
      <c r="Q723" s="166"/>
      <c r="R723" s="166"/>
      <c r="S723" s="166"/>
      <c r="T723" s="166"/>
      <c r="U723" s="166"/>
      <c r="V723" s="166"/>
      <c r="W723" s="166"/>
      <c r="X723" s="166"/>
      <c r="Y723" s="166"/>
      <c r="Z723" s="166"/>
      <c r="AA723" s="166"/>
      <c r="AB723" s="166"/>
      <c r="AC723" s="166"/>
      <c r="AD723" s="166"/>
      <c r="AE723" s="166"/>
      <c r="AF723" s="166"/>
      <c r="AG723" s="166"/>
      <c r="AH723" s="166"/>
      <c r="AI723" s="166"/>
    </row>
    <row r="724" spans="7:35" x14ac:dyDescent="0.25">
      <c r="G724" s="165"/>
      <c r="H724" s="166"/>
      <c r="I724" s="167"/>
      <c r="J724" s="167"/>
      <c r="K724" s="166"/>
      <c r="L724" s="166"/>
      <c r="M724" s="166"/>
      <c r="N724" s="166"/>
      <c r="O724" s="166"/>
      <c r="P724" s="166"/>
      <c r="Q724" s="166"/>
      <c r="R724" s="166"/>
      <c r="S724" s="166"/>
      <c r="T724" s="166"/>
      <c r="U724" s="166"/>
      <c r="V724" s="166"/>
      <c r="W724" s="166"/>
      <c r="X724" s="166"/>
      <c r="Y724" s="166"/>
      <c r="Z724" s="166"/>
      <c r="AA724" s="166"/>
      <c r="AB724" s="166"/>
      <c r="AC724" s="166"/>
      <c r="AD724" s="166"/>
      <c r="AE724" s="166"/>
      <c r="AF724" s="166"/>
      <c r="AG724" s="166"/>
      <c r="AH724" s="166"/>
      <c r="AI724" s="166"/>
    </row>
    <row r="725" spans="7:35" x14ac:dyDescent="0.25">
      <c r="G725" s="165"/>
      <c r="H725" s="166"/>
      <c r="I725" s="167"/>
      <c r="J725" s="167"/>
      <c r="K725" s="166"/>
      <c r="L725" s="166"/>
      <c r="M725" s="166"/>
      <c r="N725" s="166"/>
      <c r="O725" s="166"/>
      <c r="P725" s="166"/>
      <c r="Q725" s="166"/>
      <c r="R725" s="166"/>
      <c r="S725" s="166"/>
      <c r="T725" s="166"/>
      <c r="U725" s="166"/>
      <c r="V725" s="166"/>
      <c r="W725" s="166"/>
      <c r="X725" s="166"/>
      <c r="Y725" s="166"/>
      <c r="Z725" s="166"/>
      <c r="AA725" s="166"/>
      <c r="AB725" s="166"/>
      <c r="AC725" s="166"/>
      <c r="AD725" s="166"/>
      <c r="AE725" s="166"/>
      <c r="AF725" s="166"/>
      <c r="AG725" s="166"/>
      <c r="AH725" s="166"/>
      <c r="AI725" s="166"/>
    </row>
    <row r="726" spans="7:35" x14ac:dyDescent="0.25">
      <c r="G726" s="165"/>
      <c r="H726" s="166"/>
      <c r="I726" s="167"/>
      <c r="J726" s="167"/>
      <c r="K726" s="166"/>
      <c r="L726" s="166"/>
      <c r="M726" s="166"/>
      <c r="N726" s="166"/>
      <c r="O726" s="166"/>
      <c r="P726" s="166"/>
      <c r="Q726" s="166"/>
      <c r="R726" s="166"/>
      <c r="S726" s="166"/>
      <c r="T726" s="166"/>
      <c r="U726" s="166"/>
      <c r="V726" s="166"/>
      <c r="W726" s="166"/>
      <c r="X726" s="166"/>
      <c r="Y726" s="166"/>
      <c r="Z726" s="166"/>
      <c r="AA726" s="166"/>
      <c r="AB726" s="166"/>
      <c r="AC726" s="166"/>
      <c r="AD726" s="166"/>
      <c r="AE726" s="166"/>
      <c r="AF726" s="166"/>
      <c r="AG726" s="166"/>
      <c r="AH726" s="166"/>
      <c r="AI726" s="166"/>
    </row>
    <row r="727" spans="7:35" x14ac:dyDescent="0.25">
      <c r="G727" s="165"/>
      <c r="H727" s="166"/>
      <c r="I727" s="167"/>
      <c r="J727" s="167"/>
      <c r="K727" s="166"/>
      <c r="L727" s="166"/>
      <c r="M727" s="166"/>
      <c r="N727" s="166"/>
      <c r="O727" s="166"/>
      <c r="P727" s="166"/>
      <c r="Q727" s="166"/>
      <c r="R727" s="166"/>
      <c r="S727" s="166"/>
      <c r="T727" s="166"/>
      <c r="U727" s="166"/>
      <c r="V727" s="166"/>
      <c r="W727" s="166"/>
      <c r="X727" s="166"/>
      <c r="Y727" s="166"/>
      <c r="Z727" s="166"/>
      <c r="AA727" s="166"/>
      <c r="AB727" s="166"/>
      <c r="AC727" s="166"/>
      <c r="AD727" s="166"/>
      <c r="AE727" s="166"/>
      <c r="AF727" s="166"/>
      <c r="AG727" s="166"/>
      <c r="AH727" s="166"/>
      <c r="AI727" s="166"/>
    </row>
    <row r="728" spans="7:35" x14ac:dyDescent="0.25">
      <c r="G728" s="165"/>
      <c r="H728" s="166"/>
      <c r="I728" s="167"/>
      <c r="J728" s="167"/>
      <c r="K728" s="166"/>
      <c r="L728" s="166"/>
      <c r="M728" s="166"/>
      <c r="N728" s="166"/>
      <c r="O728" s="166"/>
      <c r="P728" s="166"/>
      <c r="Q728" s="166"/>
      <c r="R728" s="166"/>
      <c r="S728" s="166"/>
      <c r="T728" s="166"/>
      <c r="U728" s="166"/>
      <c r="V728" s="166"/>
      <c r="W728" s="166"/>
      <c r="X728" s="166"/>
      <c r="Y728" s="166"/>
      <c r="Z728" s="166"/>
      <c r="AA728" s="166"/>
      <c r="AB728" s="166"/>
      <c r="AC728" s="166"/>
      <c r="AD728" s="166"/>
      <c r="AE728" s="166"/>
      <c r="AF728" s="166"/>
      <c r="AG728" s="166"/>
      <c r="AH728" s="166"/>
      <c r="AI728" s="166"/>
    </row>
    <row r="729" spans="7:35" x14ac:dyDescent="0.25">
      <c r="G729" s="165"/>
      <c r="H729" s="166"/>
      <c r="I729" s="167"/>
      <c r="J729" s="167"/>
      <c r="K729" s="166"/>
      <c r="L729" s="166"/>
      <c r="M729" s="166"/>
      <c r="N729" s="166"/>
      <c r="O729" s="166"/>
      <c r="P729" s="166"/>
      <c r="Q729" s="166"/>
      <c r="R729" s="166"/>
      <c r="S729" s="166"/>
      <c r="T729" s="166"/>
      <c r="U729" s="166"/>
      <c r="V729" s="166"/>
      <c r="W729" s="166"/>
      <c r="X729" s="166"/>
      <c r="Y729" s="166"/>
      <c r="Z729" s="166"/>
      <c r="AA729" s="166"/>
      <c r="AB729" s="166"/>
      <c r="AC729" s="166"/>
      <c r="AD729" s="166"/>
      <c r="AE729" s="166"/>
      <c r="AF729" s="166"/>
      <c r="AG729" s="166"/>
      <c r="AH729" s="166"/>
      <c r="AI729" s="166"/>
    </row>
    <row r="730" spans="7:35" x14ac:dyDescent="0.25">
      <c r="G730" s="165"/>
      <c r="H730" s="166"/>
      <c r="I730" s="167"/>
      <c r="J730" s="167"/>
      <c r="K730" s="166"/>
      <c r="L730" s="166"/>
      <c r="M730" s="166"/>
      <c r="N730" s="166"/>
      <c r="O730" s="166"/>
      <c r="P730" s="166"/>
      <c r="Q730" s="166"/>
      <c r="R730" s="166"/>
      <c r="S730" s="166"/>
      <c r="T730" s="166"/>
      <c r="U730" s="166"/>
      <c r="V730" s="166"/>
      <c r="W730" s="166"/>
      <c r="X730" s="166"/>
      <c r="Y730" s="166"/>
      <c r="Z730" s="166"/>
      <c r="AA730" s="166"/>
      <c r="AB730" s="166"/>
      <c r="AC730" s="166"/>
      <c r="AD730" s="166"/>
      <c r="AE730" s="166"/>
      <c r="AF730" s="166"/>
      <c r="AG730" s="166"/>
      <c r="AH730" s="166"/>
      <c r="AI730" s="166"/>
    </row>
    <row r="731" spans="7:35" x14ac:dyDescent="0.25">
      <c r="G731" s="165"/>
      <c r="H731" s="166"/>
      <c r="I731" s="167"/>
      <c r="J731" s="167"/>
      <c r="K731" s="166"/>
      <c r="L731" s="166"/>
      <c r="M731" s="166"/>
      <c r="N731" s="166"/>
      <c r="O731" s="166"/>
      <c r="P731" s="166"/>
      <c r="Q731" s="166"/>
      <c r="R731" s="166"/>
      <c r="S731" s="166"/>
      <c r="T731" s="166"/>
      <c r="U731" s="166"/>
      <c r="V731" s="166"/>
      <c r="W731" s="166"/>
      <c r="X731" s="166"/>
      <c r="Y731" s="166"/>
      <c r="Z731" s="166"/>
      <c r="AA731" s="166"/>
      <c r="AB731" s="166"/>
      <c r="AC731" s="166"/>
      <c r="AD731" s="166"/>
      <c r="AE731" s="166"/>
      <c r="AF731" s="166"/>
      <c r="AG731" s="166"/>
      <c r="AH731" s="166"/>
      <c r="AI731" s="166"/>
    </row>
    <row r="732" spans="7:35" x14ac:dyDescent="0.25">
      <c r="G732" s="165"/>
      <c r="H732" s="166"/>
      <c r="I732" s="167"/>
      <c r="J732" s="167"/>
      <c r="K732" s="166"/>
      <c r="L732" s="166"/>
      <c r="M732" s="166"/>
      <c r="N732" s="166"/>
      <c r="O732" s="166"/>
      <c r="P732" s="166"/>
      <c r="Q732" s="166"/>
      <c r="R732" s="166"/>
      <c r="S732" s="166"/>
      <c r="T732" s="166"/>
      <c r="U732" s="166"/>
      <c r="V732" s="166"/>
      <c r="W732" s="166"/>
      <c r="X732" s="166"/>
      <c r="Y732" s="166"/>
      <c r="Z732" s="166"/>
      <c r="AA732" s="166"/>
      <c r="AB732" s="166"/>
      <c r="AC732" s="166"/>
      <c r="AD732" s="166"/>
      <c r="AE732" s="166"/>
      <c r="AF732" s="166"/>
      <c r="AG732" s="166"/>
      <c r="AH732" s="166"/>
      <c r="AI732" s="166"/>
    </row>
    <row r="733" spans="7:35" x14ac:dyDescent="0.25">
      <c r="G733" s="165"/>
      <c r="H733" s="166"/>
      <c r="I733" s="167"/>
      <c r="J733" s="167"/>
      <c r="K733" s="166"/>
      <c r="L733" s="166"/>
      <c r="M733" s="166"/>
      <c r="N733" s="166"/>
      <c r="O733" s="166"/>
      <c r="P733" s="166"/>
      <c r="Q733" s="166"/>
      <c r="R733" s="166"/>
      <c r="S733" s="166"/>
      <c r="T733" s="166"/>
      <c r="U733" s="166"/>
      <c r="V733" s="166"/>
      <c r="W733" s="166"/>
      <c r="X733" s="166"/>
      <c r="Y733" s="166"/>
      <c r="Z733" s="166"/>
      <c r="AA733" s="166"/>
      <c r="AB733" s="166"/>
      <c r="AC733" s="166"/>
      <c r="AD733" s="166"/>
      <c r="AE733" s="166"/>
      <c r="AF733" s="166"/>
      <c r="AG733" s="166"/>
      <c r="AH733" s="166"/>
      <c r="AI733" s="166"/>
    </row>
    <row r="734" spans="7:35" x14ac:dyDescent="0.25">
      <c r="G734" s="165"/>
      <c r="H734" s="166"/>
      <c r="I734" s="167"/>
      <c r="J734" s="167"/>
      <c r="K734" s="166"/>
      <c r="L734" s="166"/>
      <c r="M734" s="166"/>
      <c r="N734" s="166"/>
      <c r="O734" s="166"/>
      <c r="P734" s="166"/>
      <c r="Q734" s="166"/>
      <c r="R734" s="166"/>
      <c r="S734" s="166"/>
      <c r="T734" s="166"/>
      <c r="U734" s="166"/>
      <c r="V734" s="166"/>
      <c r="W734" s="166"/>
      <c r="X734" s="166"/>
      <c r="Y734" s="166"/>
      <c r="Z734" s="166"/>
      <c r="AA734" s="166"/>
      <c r="AB734" s="166"/>
      <c r="AC734" s="166"/>
      <c r="AD734" s="166"/>
      <c r="AE734" s="166"/>
      <c r="AF734" s="166"/>
      <c r="AG734" s="166"/>
      <c r="AH734" s="166"/>
      <c r="AI734" s="166"/>
    </row>
    <row r="735" spans="7:35" x14ac:dyDescent="0.25">
      <c r="G735" s="165"/>
      <c r="H735" s="166"/>
      <c r="I735" s="167"/>
      <c r="J735" s="167"/>
      <c r="K735" s="166"/>
      <c r="L735" s="166"/>
      <c r="M735" s="166"/>
      <c r="N735" s="166"/>
      <c r="O735" s="166"/>
      <c r="P735" s="166"/>
      <c r="Q735" s="166"/>
      <c r="R735" s="166"/>
      <c r="S735" s="166"/>
      <c r="T735" s="166"/>
      <c r="U735" s="166"/>
      <c r="V735" s="166"/>
      <c r="W735" s="166"/>
      <c r="X735" s="166"/>
      <c r="Y735" s="166"/>
      <c r="Z735" s="166"/>
      <c r="AA735" s="166"/>
      <c r="AB735" s="166"/>
      <c r="AC735" s="166"/>
      <c r="AD735" s="166"/>
      <c r="AE735" s="166"/>
      <c r="AF735" s="166"/>
      <c r="AG735" s="166"/>
      <c r="AH735" s="166"/>
      <c r="AI735" s="166"/>
    </row>
    <row r="736" spans="7:35" x14ac:dyDescent="0.25">
      <c r="G736" s="165"/>
      <c r="H736" s="166"/>
      <c r="I736" s="167"/>
      <c r="J736" s="167"/>
      <c r="K736" s="166"/>
      <c r="L736" s="166"/>
      <c r="M736" s="166"/>
      <c r="N736" s="166"/>
      <c r="O736" s="166"/>
      <c r="P736" s="166"/>
      <c r="Q736" s="166"/>
      <c r="R736" s="166"/>
      <c r="S736" s="166"/>
      <c r="T736" s="166"/>
      <c r="U736" s="166"/>
      <c r="V736" s="166"/>
      <c r="W736" s="166"/>
      <c r="X736" s="166"/>
      <c r="Y736" s="166"/>
      <c r="Z736" s="166"/>
      <c r="AA736" s="166"/>
      <c r="AB736" s="166"/>
      <c r="AC736" s="166"/>
      <c r="AD736" s="166"/>
      <c r="AE736" s="166"/>
      <c r="AF736" s="166"/>
      <c r="AG736" s="166"/>
      <c r="AH736" s="166"/>
      <c r="AI736" s="166"/>
    </row>
    <row r="737" spans="7:35" x14ac:dyDescent="0.25">
      <c r="G737" s="165"/>
      <c r="H737" s="166"/>
      <c r="I737" s="167"/>
      <c r="J737" s="167"/>
      <c r="K737" s="166"/>
      <c r="L737" s="166"/>
      <c r="M737" s="166"/>
      <c r="N737" s="166"/>
      <c r="O737" s="166"/>
      <c r="P737" s="166"/>
      <c r="Q737" s="166"/>
      <c r="R737" s="166"/>
      <c r="S737" s="166"/>
      <c r="T737" s="166"/>
      <c r="U737" s="166"/>
      <c r="V737" s="166"/>
      <c r="W737" s="166"/>
      <c r="X737" s="166"/>
      <c r="Y737" s="166"/>
      <c r="Z737" s="166"/>
      <c r="AA737" s="166"/>
      <c r="AB737" s="166"/>
      <c r="AC737" s="166"/>
      <c r="AD737" s="166"/>
      <c r="AE737" s="166"/>
      <c r="AF737" s="166"/>
      <c r="AG737" s="166"/>
      <c r="AH737" s="166"/>
      <c r="AI737" s="166"/>
    </row>
    <row r="738" spans="7:35" x14ac:dyDescent="0.25">
      <c r="G738" s="165"/>
      <c r="H738" s="166"/>
      <c r="I738" s="167"/>
      <c r="J738" s="167"/>
      <c r="K738" s="166"/>
      <c r="L738" s="166"/>
      <c r="M738" s="166"/>
      <c r="N738" s="166"/>
      <c r="O738" s="166"/>
      <c r="P738" s="166"/>
      <c r="Q738" s="166"/>
      <c r="R738" s="166"/>
      <c r="S738" s="166"/>
      <c r="T738" s="166"/>
      <c r="U738" s="166"/>
      <c r="V738" s="166"/>
      <c r="W738" s="166"/>
      <c r="X738" s="166"/>
      <c r="Y738" s="166"/>
      <c r="Z738" s="166"/>
      <c r="AA738" s="166"/>
      <c r="AB738" s="166"/>
      <c r="AC738" s="166"/>
      <c r="AD738" s="166"/>
      <c r="AE738" s="166"/>
      <c r="AF738" s="166"/>
      <c r="AG738" s="166"/>
      <c r="AH738" s="166"/>
      <c r="AI738" s="166"/>
    </row>
    <row r="739" spans="7:35" x14ac:dyDescent="0.25">
      <c r="G739" s="165"/>
      <c r="H739" s="166"/>
      <c r="I739" s="167"/>
      <c r="J739" s="167"/>
      <c r="K739" s="166"/>
      <c r="L739" s="166"/>
      <c r="M739" s="166"/>
      <c r="N739" s="166"/>
      <c r="O739" s="166"/>
      <c r="P739" s="166"/>
      <c r="Q739" s="166"/>
      <c r="R739" s="166"/>
      <c r="S739" s="166"/>
      <c r="T739" s="166"/>
      <c r="U739" s="166"/>
      <c r="V739" s="166"/>
      <c r="W739" s="166"/>
      <c r="X739" s="166"/>
      <c r="Y739" s="166"/>
      <c r="Z739" s="166"/>
      <c r="AA739" s="166"/>
      <c r="AB739" s="166"/>
      <c r="AC739" s="166"/>
      <c r="AD739" s="166"/>
      <c r="AE739" s="166"/>
      <c r="AF739" s="166"/>
      <c r="AG739" s="166"/>
      <c r="AH739" s="166"/>
      <c r="AI739" s="166"/>
    </row>
    <row r="740" spans="7:35" x14ac:dyDescent="0.25">
      <c r="G740" s="165"/>
      <c r="H740" s="166"/>
      <c r="I740" s="167"/>
      <c r="J740" s="167"/>
      <c r="K740" s="166"/>
      <c r="L740" s="166"/>
      <c r="M740" s="166"/>
      <c r="N740" s="166"/>
      <c r="O740" s="166"/>
      <c r="P740" s="166"/>
      <c r="Q740" s="166"/>
      <c r="R740" s="166"/>
      <c r="S740" s="166"/>
      <c r="T740" s="166"/>
      <c r="U740" s="166"/>
      <c r="V740" s="166"/>
      <c r="W740" s="166"/>
      <c r="X740" s="166"/>
      <c r="Y740" s="166"/>
      <c r="Z740" s="166"/>
      <c r="AA740" s="166"/>
      <c r="AB740" s="166"/>
      <c r="AC740" s="166"/>
      <c r="AD740" s="166"/>
      <c r="AE740" s="166"/>
      <c r="AF740" s="166"/>
      <c r="AG740" s="166"/>
      <c r="AH740" s="166"/>
      <c r="AI740" s="166"/>
    </row>
    <row r="741" spans="7:35" x14ac:dyDescent="0.25">
      <c r="G741" s="165"/>
      <c r="H741" s="166"/>
      <c r="I741" s="167"/>
      <c r="J741" s="167"/>
      <c r="K741" s="166"/>
      <c r="L741" s="166"/>
      <c r="M741" s="166"/>
      <c r="N741" s="166"/>
      <c r="O741" s="166"/>
      <c r="P741" s="166"/>
      <c r="Q741" s="166"/>
      <c r="R741" s="166"/>
      <c r="S741" s="166"/>
      <c r="T741" s="166"/>
      <c r="U741" s="166"/>
      <c r="V741" s="166"/>
      <c r="W741" s="166"/>
      <c r="X741" s="166"/>
      <c r="Y741" s="166"/>
      <c r="Z741" s="166"/>
      <c r="AA741" s="166"/>
      <c r="AB741" s="166"/>
      <c r="AC741" s="166"/>
      <c r="AD741" s="166"/>
      <c r="AE741" s="166"/>
      <c r="AF741" s="166"/>
      <c r="AG741" s="166"/>
      <c r="AH741" s="166"/>
      <c r="AI741" s="166"/>
    </row>
    <row r="742" spans="7:35" x14ac:dyDescent="0.25">
      <c r="G742" s="165"/>
      <c r="H742" s="166"/>
      <c r="I742" s="167"/>
      <c r="J742" s="167"/>
      <c r="K742" s="166"/>
      <c r="L742" s="166"/>
      <c r="M742" s="166"/>
      <c r="N742" s="166"/>
      <c r="O742" s="166"/>
      <c r="P742" s="166"/>
      <c r="Q742" s="166"/>
      <c r="R742" s="166"/>
      <c r="S742" s="166"/>
      <c r="T742" s="166"/>
      <c r="U742" s="166"/>
      <c r="V742" s="166"/>
      <c r="W742" s="166"/>
      <c r="X742" s="166"/>
      <c r="Y742" s="166"/>
      <c r="Z742" s="166"/>
      <c r="AA742" s="166"/>
      <c r="AB742" s="166"/>
      <c r="AC742" s="166"/>
      <c r="AD742" s="166"/>
      <c r="AE742" s="166"/>
      <c r="AF742" s="166"/>
      <c r="AG742" s="166"/>
      <c r="AH742" s="166"/>
      <c r="AI742" s="166"/>
    </row>
    <row r="743" spans="7:35" x14ac:dyDescent="0.25">
      <c r="G743" s="165"/>
      <c r="H743" s="166"/>
      <c r="I743" s="167"/>
      <c r="J743" s="167"/>
      <c r="K743" s="166"/>
      <c r="L743" s="166"/>
      <c r="M743" s="166"/>
      <c r="N743" s="166"/>
      <c r="O743" s="166"/>
      <c r="P743" s="166"/>
      <c r="Q743" s="166"/>
      <c r="R743" s="166"/>
      <c r="S743" s="166"/>
      <c r="T743" s="166"/>
      <c r="U743" s="166"/>
      <c r="V743" s="166"/>
      <c r="W743" s="166"/>
      <c r="X743" s="166"/>
      <c r="Y743" s="166"/>
      <c r="Z743" s="166"/>
      <c r="AA743" s="166"/>
      <c r="AB743" s="166"/>
      <c r="AC743" s="166"/>
      <c r="AD743" s="166"/>
      <c r="AE743" s="166"/>
      <c r="AF743" s="166"/>
      <c r="AG743" s="166"/>
      <c r="AH743" s="166"/>
      <c r="AI743" s="166"/>
    </row>
    <row r="744" spans="7:35" x14ac:dyDescent="0.25">
      <c r="G744" s="165"/>
      <c r="H744" s="166"/>
      <c r="I744" s="167"/>
      <c r="J744" s="167"/>
      <c r="K744" s="166"/>
      <c r="L744" s="166"/>
      <c r="M744" s="166"/>
      <c r="N744" s="166"/>
      <c r="O744" s="166"/>
      <c r="P744" s="166"/>
      <c r="Q744" s="166"/>
      <c r="R744" s="166"/>
      <c r="S744" s="166"/>
      <c r="T744" s="166"/>
      <c r="U744" s="166"/>
      <c r="V744" s="166"/>
      <c r="W744" s="166"/>
      <c r="X744" s="166"/>
      <c r="Y744" s="166"/>
      <c r="Z744" s="166"/>
      <c r="AA744" s="166"/>
      <c r="AB744" s="166"/>
      <c r="AC744" s="166"/>
      <c r="AD744" s="166"/>
      <c r="AE744" s="166"/>
      <c r="AF744" s="166"/>
      <c r="AG744" s="166"/>
      <c r="AH744" s="166"/>
      <c r="AI744" s="166"/>
    </row>
    <row r="745" spans="7:35" x14ac:dyDescent="0.25">
      <c r="G745" s="165"/>
      <c r="H745" s="166"/>
      <c r="I745" s="167"/>
      <c r="J745" s="167"/>
      <c r="K745" s="166"/>
      <c r="L745" s="166"/>
      <c r="M745" s="166"/>
      <c r="N745" s="166"/>
      <c r="O745" s="166"/>
      <c r="P745" s="166"/>
      <c r="Q745" s="166"/>
      <c r="R745" s="166"/>
      <c r="S745" s="166"/>
      <c r="T745" s="166"/>
      <c r="U745" s="166"/>
      <c r="V745" s="166"/>
      <c r="W745" s="166"/>
      <c r="X745" s="166"/>
      <c r="Y745" s="166"/>
      <c r="Z745" s="166"/>
      <c r="AA745" s="166"/>
      <c r="AB745" s="166"/>
      <c r="AC745" s="166"/>
      <c r="AD745" s="166"/>
      <c r="AE745" s="166"/>
      <c r="AF745" s="166"/>
      <c r="AG745" s="166"/>
      <c r="AH745" s="166"/>
      <c r="AI745" s="166"/>
    </row>
    <row r="746" spans="7:35" x14ac:dyDescent="0.25">
      <c r="G746" s="165"/>
      <c r="H746" s="166"/>
      <c r="I746" s="167"/>
      <c r="J746" s="167"/>
      <c r="K746" s="166"/>
      <c r="L746" s="166"/>
      <c r="M746" s="166"/>
      <c r="N746" s="166"/>
      <c r="O746" s="166"/>
      <c r="P746" s="166"/>
      <c r="Q746" s="166"/>
      <c r="R746" s="166"/>
      <c r="S746" s="166"/>
      <c r="T746" s="166"/>
      <c r="U746" s="166"/>
      <c r="V746" s="166"/>
      <c r="W746" s="166"/>
      <c r="X746" s="166"/>
      <c r="Y746" s="166"/>
      <c r="Z746" s="166"/>
      <c r="AA746" s="166"/>
      <c r="AB746" s="166"/>
      <c r="AC746" s="166"/>
      <c r="AD746" s="166"/>
      <c r="AE746" s="166"/>
      <c r="AF746" s="166"/>
      <c r="AG746" s="166"/>
      <c r="AH746" s="166"/>
      <c r="AI746" s="166"/>
    </row>
    <row r="747" spans="7:35" x14ac:dyDescent="0.25">
      <c r="G747" s="165"/>
      <c r="H747" s="166"/>
      <c r="I747" s="167"/>
      <c r="J747" s="167"/>
      <c r="K747" s="166"/>
      <c r="L747" s="166"/>
      <c r="M747" s="166"/>
      <c r="N747" s="166"/>
      <c r="O747" s="166"/>
      <c r="P747" s="166"/>
      <c r="Q747" s="166"/>
      <c r="R747" s="166"/>
      <c r="S747" s="166"/>
      <c r="T747" s="166"/>
      <c r="U747" s="166"/>
      <c r="V747" s="166"/>
      <c r="W747" s="166"/>
      <c r="X747" s="166"/>
      <c r="Y747" s="166"/>
      <c r="Z747" s="166"/>
      <c r="AA747" s="166"/>
      <c r="AB747" s="166"/>
      <c r="AC747" s="166"/>
      <c r="AD747" s="166"/>
      <c r="AE747" s="166"/>
      <c r="AF747" s="166"/>
      <c r="AG747" s="166"/>
      <c r="AH747" s="166"/>
      <c r="AI747" s="166"/>
    </row>
    <row r="748" spans="7:35" x14ac:dyDescent="0.25">
      <c r="G748" s="165"/>
      <c r="H748" s="166"/>
      <c r="I748" s="167"/>
      <c r="J748" s="167"/>
      <c r="K748" s="166"/>
      <c r="L748" s="166"/>
      <c r="M748" s="166"/>
      <c r="N748" s="166"/>
      <c r="O748" s="166"/>
      <c r="P748" s="166"/>
      <c r="Q748" s="166"/>
      <c r="R748" s="166"/>
      <c r="S748" s="166"/>
      <c r="T748" s="166"/>
      <c r="U748" s="166"/>
      <c r="V748" s="166"/>
      <c r="W748" s="166"/>
      <c r="X748" s="166"/>
      <c r="Y748" s="166"/>
      <c r="Z748" s="166"/>
      <c r="AA748" s="166"/>
      <c r="AB748" s="166"/>
      <c r="AC748" s="166"/>
      <c r="AD748" s="166"/>
      <c r="AE748" s="166"/>
      <c r="AF748" s="166"/>
      <c r="AG748" s="166"/>
      <c r="AH748" s="166"/>
      <c r="AI748" s="166"/>
    </row>
    <row r="749" spans="7:35" x14ac:dyDescent="0.25">
      <c r="G749" s="165"/>
      <c r="H749" s="166"/>
      <c r="I749" s="167"/>
      <c r="J749" s="167"/>
      <c r="K749" s="166"/>
      <c r="L749" s="166"/>
      <c r="M749" s="166"/>
      <c r="N749" s="166"/>
      <c r="O749" s="166"/>
      <c r="P749" s="166"/>
      <c r="Q749" s="166"/>
      <c r="R749" s="166"/>
      <c r="S749" s="166"/>
      <c r="T749" s="166"/>
      <c r="U749" s="166"/>
      <c r="V749" s="166"/>
      <c r="W749" s="166"/>
      <c r="X749" s="166"/>
      <c r="Y749" s="166"/>
      <c r="Z749" s="166"/>
      <c r="AA749" s="166"/>
      <c r="AB749" s="166"/>
      <c r="AC749" s="166"/>
      <c r="AD749" s="166"/>
      <c r="AE749" s="166"/>
      <c r="AF749" s="166"/>
      <c r="AG749" s="166"/>
      <c r="AH749" s="166"/>
      <c r="AI749" s="166"/>
    </row>
    <row r="750" spans="7:35" x14ac:dyDescent="0.25">
      <c r="G750" s="165"/>
      <c r="H750" s="166"/>
      <c r="I750" s="167"/>
      <c r="J750" s="167"/>
      <c r="K750" s="166"/>
      <c r="L750" s="166"/>
      <c r="M750" s="166"/>
      <c r="N750" s="166"/>
      <c r="O750" s="166"/>
      <c r="P750" s="166"/>
      <c r="Q750" s="166"/>
      <c r="R750" s="166"/>
      <c r="S750" s="166"/>
      <c r="T750" s="166"/>
      <c r="U750" s="166"/>
      <c r="V750" s="166"/>
      <c r="W750" s="166"/>
      <c r="X750" s="166"/>
      <c r="Y750" s="166"/>
      <c r="Z750" s="166"/>
      <c r="AA750" s="166"/>
      <c r="AB750" s="166"/>
      <c r="AC750" s="166"/>
      <c r="AD750" s="166"/>
      <c r="AE750" s="166"/>
      <c r="AF750" s="166"/>
      <c r="AG750" s="166"/>
      <c r="AH750" s="166"/>
      <c r="AI750" s="166"/>
    </row>
    <row r="751" spans="7:35" x14ac:dyDescent="0.25">
      <c r="G751" s="165"/>
      <c r="H751" s="166"/>
      <c r="I751" s="167"/>
      <c r="J751" s="167"/>
      <c r="K751" s="166"/>
      <c r="L751" s="166"/>
      <c r="M751" s="166"/>
      <c r="N751" s="166"/>
      <c r="O751" s="166"/>
      <c r="P751" s="166"/>
      <c r="Q751" s="166"/>
      <c r="R751" s="166"/>
      <c r="S751" s="166"/>
      <c r="T751" s="166"/>
      <c r="U751" s="166"/>
      <c r="V751" s="166"/>
      <c r="W751" s="166"/>
      <c r="X751" s="166"/>
      <c r="Y751" s="166"/>
      <c r="Z751" s="166"/>
      <c r="AA751" s="166"/>
      <c r="AB751" s="166"/>
      <c r="AC751" s="166"/>
      <c r="AD751" s="166"/>
      <c r="AE751" s="166"/>
      <c r="AF751" s="166"/>
      <c r="AG751" s="166"/>
      <c r="AH751" s="166"/>
      <c r="AI751" s="166"/>
    </row>
    <row r="752" spans="7:35" x14ac:dyDescent="0.25">
      <c r="G752" s="165"/>
      <c r="H752" s="166"/>
      <c r="I752" s="167"/>
      <c r="J752" s="167"/>
      <c r="K752" s="166"/>
      <c r="L752" s="166"/>
      <c r="M752" s="166"/>
      <c r="N752" s="166"/>
      <c r="O752" s="166"/>
      <c r="P752" s="166"/>
      <c r="Q752" s="166"/>
      <c r="R752" s="166"/>
      <c r="S752" s="166"/>
      <c r="T752" s="166"/>
      <c r="U752" s="166"/>
      <c r="V752" s="166"/>
      <c r="W752" s="166"/>
      <c r="X752" s="166"/>
      <c r="Y752" s="166"/>
      <c r="Z752" s="166"/>
      <c r="AA752" s="166"/>
      <c r="AB752" s="166"/>
      <c r="AC752" s="166"/>
      <c r="AD752" s="166"/>
      <c r="AE752" s="166"/>
      <c r="AF752" s="166"/>
      <c r="AG752" s="166"/>
      <c r="AH752" s="166"/>
      <c r="AI752" s="166"/>
    </row>
    <row r="753" spans="7:35" x14ac:dyDescent="0.25">
      <c r="G753" s="165"/>
      <c r="H753" s="166"/>
      <c r="I753" s="167"/>
      <c r="J753" s="167"/>
      <c r="K753" s="166"/>
      <c r="L753" s="166"/>
      <c r="M753" s="166"/>
      <c r="N753" s="166"/>
      <c r="O753" s="166"/>
      <c r="P753" s="166"/>
      <c r="Q753" s="166"/>
      <c r="R753" s="166"/>
      <c r="S753" s="166"/>
      <c r="T753" s="166"/>
      <c r="U753" s="166"/>
      <c r="V753" s="166"/>
      <c r="W753" s="166"/>
      <c r="X753" s="166"/>
      <c r="Y753" s="166"/>
      <c r="Z753" s="166"/>
      <c r="AA753" s="166"/>
      <c r="AB753" s="166"/>
      <c r="AC753" s="166"/>
      <c r="AD753" s="166"/>
      <c r="AE753" s="166"/>
      <c r="AF753" s="166"/>
      <c r="AG753" s="166"/>
      <c r="AH753" s="166"/>
      <c r="AI753" s="166"/>
    </row>
    <row r="754" spans="7:35" x14ac:dyDescent="0.25">
      <c r="G754" s="165"/>
      <c r="H754" s="166"/>
      <c r="I754" s="167"/>
      <c r="J754" s="167"/>
      <c r="K754" s="166"/>
      <c r="L754" s="166"/>
      <c r="M754" s="166"/>
      <c r="N754" s="166"/>
      <c r="O754" s="166"/>
      <c r="P754" s="166"/>
      <c r="Q754" s="166"/>
      <c r="R754" s="166"/>
      <c r="S754" s="166"/>
      <c r="T754" s="166"/>
      <c r="U754" s="166"/>
      <c r="V754" s="166"/>
      <c r="W754" s="166"/>
      <c r="X754" s="166"/>
      <c r="Y754" s="166"/>
      <c r="Z754" s="166"/>
      <c r="AA754" s="166"/>
      <c r="AB754" s="166"/>
      <c r="AC754" s="166"/>
      <c r="AD754" s="166"/>
      <c r="AE754" s="166"/>
      <c r="AF754" s="166"/>
      <c r="AG754" s="166"/>
      <c r="AH754" s="166"/>
      <c r="AI754" s="166"/>
    </row>
    <row r="755" spans="7:35" x14ac:dyDescent="0.25">
      <c r="G755" s="165"/>
      <c r="H755" s="166"/>
      <c r="I755" s="167"/>
      <c r="J755" s="167"/>
      <c r="K755" s="166"/>
      <c r="L755" s="166"/>
      <c r="M755" s="166"/>
      <c r="N755" s="166"/>
      <c r="O755" s="166"/>
      <c r="P755" s="166"/>
      <c r="Q755" s="166"/>
      <c r="R755" s="166"/>
      <c r="S755" s="166"/>
      <c r="T755" s="166"/>
      <c r="U755" s="166"/>
      <c r="V755" s="166"/>
      <c r="W755" s="166"/>
      <c r="X755" s="166"/>
      <c r="Y755" s="166"/>
      <c r="Z755" s="166"/>
      <c r="AA755" s="166"/>
      <c r="AB755" s="166"/>
      <c r="AC755" s="166"/>
      <c r="AD755" s="166"/>
      <c r="AE755" s="166"/>
      <c r="AF755" s="166"/>
      <c r="AG755" s="166"/>
      <c r="AH755" s="166"/>
      <c r="AI755" s="166"/>
    </row>
    <row r="756" spans="7:35" x14ac:dyDescent="0.25">
      <c r="G756" s="165"/>
      <c r="H756" s="166"/>
      <c r="I756" s="167"/>
      <c r="J756" s="167"/>
      <c r="K756" s="166"/>
      <c r="L756" s="166"/>
      <c r="M756" s="166"/>
      <c r="N756" s="166"/>
      <c r="O756" s="166"/>
      <c r="P756" s="166"/>
      <c r="Q756" s="166"/>
      <c r="R756" s="166"/>
      <c r="S756" s="166"/>
      <c r="T756" s="166"/>
      <c r="U756" s="166"/>
      <c r="V756" s="166"/>
      <c r="W756" s="166"/>
      <c r="X756" s="166"/>
      <c r="Y756" s="166"/>
      <c r="Z756" s="166"/>
      <c r="AA756" s="166"/>
      <c r="AB756" s="166"/>
      <c r="AC756" s="166"/>
      <c r="AD756" s="166"/>
      <c r="AE756" s="166"/>
      <c r="AF756" s="166"/>
      <c r="AG756" s="166"/>
      <c r="AH756" s="166"/>
      <c r="AI756" s="166"/>
    </row>
    <row r="757" spans="7:35" x14ac:dyDescent="0.25">
      <c r="G757" s="165"/>
      <c r="H757" s="166"/>
      <c r="I757" s="167"/>
      <c r="J757" s="167"/>
      <c r="K757" s="166"/>
      <c r="L757" s="166"/>
      <c r="M757" s="166"/>
      <c r="N757" s="166"/>
      <c r="O757" s="166"/>
      <c r="P757" s="166"/>
      <c r="Q757" s="166"/>
      <c r="R757" s="166"/>
      <c r="S757" s="166"/>
      <c r="T757" s="166"/>
      <c r="U757" s="166"/>
      <c r="V757" s="166"/>
      <c r="W757" s="166"/>
      <c r="X757" s="166"/>
      <c r="Y757" s="166"/>
      <c r="Z757" s="166"/>
      <c r="AA757" s="166"/>
      <c r="AB757" s="166"/>
      <c r="AC757" s="166"/>
      <c r="AD757" s="166"/>
      <c r="AE757" s="166"/>
      <c r="AF757" s="166"/>
      <c r="AG757" s="166"/>
      <c r="AH757" s="166"/>
      <c r="AI757" s="166"/>
    </row>
    <row r="758" spans="7:35" x14ac:dyDescent="0.25">
      <c r="G758" s="165"/>
      <c r="H758" s="166"/>
      <c r="I758" s="167"/>
      <c r="J758" s="167"/>
      <c r="K758" s="166"/>
      <c r="L758" s="166"/>
      <c r="M758" s="166"/>
      <c r="N758" s="166"/>
      <c r="O758" s="166"/>
      <c r="P758" s="166"/>
      <c r="Q758" s="166"/>
      <c r="R758" s="166"/>
      <c r="S758" s="166"/>
      <c r="T758" s="166"/>
      <c r="U758" s="166"/>
      <c r="V758" s="166"/>
      <c r="W758" s="166"/>
      <c r="X758" s="166"/>
      <c r="Y758" s="166"/>
      <c r="Z758" s="166"/>
      <c r="AA758" s="166"/>
      <c r="AB758" s="166"/>
      <c r="AC758" s="166"/>
      <c r="AD758" s="166"/>
      <c r="AE758" s="166"/>
      <c r="AF758" s="166"/>
      <c r="AG758" s="166"/>
      <c r="AH758" s="166"/>
      <c r="AI758" s="166"/>
    </row>
    <row r="759" spans="7:35" x14ac:dyDescent="0.25">
      <c r="G759" s="165"/>
      <c r="H759" s="166"/>
      <c r="I759" s="167"/>
      <c r="J759" s="167"/>
      <c r="K759" s="166"/>
      <c r="L759" s="166"/>
      <c r="M759" s="166"/>
      <c r="N759" s="166"/>
      <c r="O759" s="166"/>
      <c r="P759" s="166"/>
      <c r="Q759" s="166"/>
      <c r="R759" s="166"/>
      <c r="S759" s="166"/>
      <c r="T759" s="166"/>
      <c r="U759" s="166"/>
      <c r="V759" s="166"/>
      <c r="W759" s="166"/>
      <c r="X759" s="166"/>
      <c r="Y759" s="166"/>
      <c r="Z759" s="166"/>
      <c r="AA759" s="166"/>
      <c r="AB759" s="166"/>
      <c r="AC759" s="166"/>
      <c r="AD759" s="166"/>
      <c r="AE759" s="166"/>
      <c r="AF759" s="166"/>
      <c r="AG759" s="166"/>
      <c r="AH759" s="166"/>
      <c r="AI759" s="166"/>
    </row>
    <row r="760" spans="7:35" x14ac:dyDescent="0.25">
      <c r="G760" s="165"/>
      <c r="H760" s="166"/>
      <c r="I760" s="167"/>
      <c r="J760" s="167"/>
      <c r="K760" s="166"/>
      <c r="L760" s="166"/>
      <c r="M760" s="166"/>
      <c r="N760" s="166"/>
      <c r="O760" s="166"/>
      <c r="P760" s="166"/>
      <c r="Q760" s="166"/>
      <c r="R760" s="166"/>
      <c r="S760" s="166"/>
      <c r="T760" s="166"/>
      <c r="U760" s="166"/>
      <c r="V760" s="166"/>
      <c r="W760" s="166"/>
      <c r="X760" s="166"/>
      <c r="Y760" s="166"/>
      <c r="Z760" s="166"/>
      <c r="AA760" s="166"/>
      <c r="AB760" s="166"/>
      <c r="AC760" s="166"/>
      <c r="AD760" s="166"/>
      <c r="AE760" s="166"/>
      <c r="AF760" s="166"/>
      <c r="AG760" s="166"/>
      <c r="AH760" s="166"/>
      <c r="AI760" s="166"/>
    </row>
    <row r="761" spans="7:35" x14ac:dyDescent="0.25">
      <c r="G761" s="165"/>
      <c r="H761" s="166"/>
      <c r="I761" s="167"/>
      <c r="J761" s="167"/>
      <c r="K761" s="166"/>
      <c r="L761" s="166"/>
      <c r="M761" s="166"/>
      <c r="N761" s="166"/>
      <c r="O761" s="166"/>
      <c r="P761" s="166"/>
      <c r="Q761" s="166"/>
      <c r="R761" s="166"/>
      <c r="S761" s="166"/>
      <c r="T761" s="166"/>
      <c r="U761" s="166"/>
      <c r="V761" s="166"/>
      <c r="W761" s="166"/>
      <c r="X761" s="166"/>
      <c r="Y761" s="166"/>
      <c r="Z761" s="166"/>
      <c r="AA761" s="166"/>
      <c r="AB761" s="166"/>
      <c r="AC761" s="166"/>
      <c r="AD761" s="166"/>
      <c r="AE761" s="166"/>
      <c r="AF761" s="166"/>
      <c r="AG761" s="166"/>
      <c r="AH761" s="166"/>
      <c r="AI761" s="166"/>
    </row>
    <row r="762" spans="7:35" x14ac:dyDescent="0.25">
      <c r="G762" s="165"/>
      <c r="H762" s="166"/>
      <c r="I762" s="167"/>
      <c r="J762" s="167"/>
      <c r="K762" s="166"/>
      <c r="L762" s="166"/>
      <c r="M762" s="166"/>
      <c r="N762" s="166"/>
      <c r="O762" s="166"/>
      <c r="P762" s="166"/>
      <c r="Q762" s="166"/>
      <c r="R762" s="166"/>
      <c r="S762" s="166"/>
      <c r="T762" s="166"/>
      <c r="U762" s="166"/>
      <c r="V762" s="166"/>
      <c r="W762" s="166"/>
      <c r="X762" s="166"/>
      <c r="Y762" s="166"/>
      <c r="Z762" s="166"/>
      <c r="AA762" s="166"/>
      <c r="AB762" s="166"/>
      <c r="AC762" s="166"/>
      <c r="AD762" s="166"/>
      <c r="AE762" s="166"/>
      <c r="AF762" s="166"/>
      <c r="AG762" s="166"/>
      <c r="AH762" s="166"/>
      <c r="AI762" s="166"/>
    </row>
    <row r="763" spans="7:35" x14ac:dyDescent="0.25">
      <c r="G763" s="165"/>
      <c r="H763" s="166"/>
      <c r="I763" s="167"/>
      <c r="J763" s="167"/>
      <c r="K763" s="166"/>
      <c r="L763" s="166"/>
      <c r="M763" s="166"/>
      <c r="N763" s="166"/>
      <c r="O763" s="166"/>
      <c r="P763" s="166"/>
      <c r="Q763" s="166"/>
      <c r="R763" s="166"/>
      <c r="S763" s="166"/>
      <c r="T763" s="166"/>
      <c r="U763" s="166"/>
      <c r="V763" s="166"/>
      <c r="W763" s="166"/>
      <c r="X763" s="166"/>
      <c r="Y763" s="166"/>
      <c r="Z763" s="166"/>
      <c r="AA763" s="166"/>
      <c r="AB763" s="166"/>
      <c r="AC763" s="166"/>
      <c r="AD763" s="166"/>
      <c r="AE763" s="166"/>
      <c r="AF763" s="166"/>
      <c r="AG763" s="166"/>
      <c r="AH763" s="166"/>
      <c r="AI763" s="166"/>
    </row>
    <row r="764" spans="7:35" x14ac:dyDescent="0.25">
      <c r="G764" s="165"/>
      <c r="H764" s="166"/>
      <c r="I764" s="167"/>
      <c r="J764" s="167"/>
      <c r="K764" s="166"/>
      <c r="L764" s="166"/>
      <c r="M764" s="166"/>
      <c r="N764" s="166"/>
      <c r="O764" s="166"/>
      <c r="P764" s="166"/>
      <c r="Q764" s="166"/>
      <c r="R764" s="166"/>
      <c r="S764" s="166"/>
      <c r="T764" s="166"/>
      <c r="U764" s="166"/>
      <c r="V764" s="166"/>
      <c r="W764" s="166"/>
      <c r="X764" s="166"/>
      <c r="Y764" s="166"/>
      <c r="Z764" s="166"/>
      <c r="AA764" s="166"/>
      <c r="AB764" s="166"/>
      <c r="AC764" s="166"/>
      <c r="AD764" s="166"/>
      <c r="AE764" s="166"/>
      <c r="AF764" s="166"/>
      <c r="AG764" s="166"/>
      <c r="AH764" s="166"/>
      <c r="AI764" s="166"/>
    </row>
    <row r="765" spans="7:35" x14ac:dyDescent="0.25">
      <c r="G765" s="165"/>
      <c r="H765" s="166"/>
      <c r="I765" s="167"/>
      <c r="J765" s="167"/>
      <c r="K765" s="166"/>
      <c r="L765" s="166"/>
      <c r="M765" s="166"/>
      <c r="N765" s="166"/>
      <c r="O765" s="166"/>
      <c r="P765" s="166"/>
      <c r="Q765" s="166"/>
      <c r="R765" s="166"/>
      <c r="S765" s="166"/>
      <c r="T765" s="166"/>
      <c r="U765" s="166"/>
      <c r="V765" s="166"/>
      <c r="W765" s="166"/>
      <c r="X765" s="166"/>
      <c r="Y765" s="166"/>
      <c r="Z765" s="166"/>
      <c r="AA765" s="166"/>
      <c r="AB765" s="166"/>
      <c r="AC765" s="166"/>
      <c r="AD765" s="166"/>
      <c r="AE765" s="166"/>
      <c r="AF765" s="166"/>
      <c r="AG765" s="166"/>
      <c r="AH765" s="166"/>
      <c r="AI765" s="166"/>
    </row>
    <row r="766" spans="7:35" x14ac:dyDescent="0.25">
      <c r="G766" s="165"/>
      <c r="H766" s="166"/>
      <c r="I766" s="167"/>
      <c r="J766" s="167"/>
      <c r="K766" s="166"/>
      <c r="L766" s="166"/>
      <c r="M766" s="166"/>
      <c r="N766" s="166"/>
      <c r="O766" s="166"/>
      <c r="P766" s="166"/>
      <c r="Q766" s="166"/>
      <c r="R766" s="166"/>
      <c r="S766" s="166"/>
      <c r="T766" s="166"/>
      <c r="U766" s="166"/>
      <c r="V766" s="166"/>
      <c r="W766" s="166"/>
      <c r="X766" s="166"/>
      <c r="Y766" s="166"/>
      <c r="Z766" s="166"/>
      <c r="AA766" s="166"/>
      <c r="AB766" s="166"/>
      <c r="AC766" s="166"/>
      <c r="AD766" s="166"/>
      <c r="AE766" s="166"/>
      <c r="AF766" s="166"/>
      <c r="AG766" s="166"/>
      <c r="AH766" s="166"/>
      <c r="AI766" s="166"/>
    </row>
    <row r="767" spans="7:35" x14ac:dyDescent="0.25">
      <c r="G767" s="165"/>
      <c r="H767" s="166"/>
      <c r="I767" s="167"/>
      <c r="J767" s="167"/>
      <c r="K767" s="166"/>
      <c r="L767" s="166"/>
      <c r="M767" s="166"/>
      <c r="N767" s="166"/>
      <c r="O767" s="166"/>
      <c r="P767" s="166"/>
      <c r="Q767" s="166"/>
      <c r="R767" s="166"/>
      <c r="S767" s="166"/>
      <c r="T767" s="166"/>
      <c r="U767" s="166"/>
      <c r="V767" s="166"/>
      <c r="W767" s="166"/>
      <c r="X767" s="166"/>
      <c r="Y767" s="166"/>
      <c r="Z767" s="166"/>
      <c r="AA767" s="166"/>
      <c r="AB767" s="166"/>
      <c r="AC767" s="166"/>
      <c r="AD767" s="166"/>
      <c r="AE767" s="166"/>
      <c r="AF767" s="166"/>
      <c r="AG767" s="166"/>
      <c r="AH767" s="166"/>
      <c r="AI767" s="166"/>
    </row>
    <row r="768" spans="7:35" x14ac:dyDescent="0.25">
      <c r="G768" s="165"/>
      <c r="H768" s="166"/>
      <c r="I768" s="167"/>
      <c r="J768" s="167"/>
      <c r="K768" s="166"/>
      <c r="L768" s="166"/>
      <c r="M768" s="166"/>
      <c r="N768" s="166"/>
      <c r="O768" s="166"/>
      <c r="P768" s="166"/>
      <c r="Q768" s="166"/>
      <c r="R768" s="166"/>
      <c r="S768" s="166"/>
      <c r="T768" s="166"/>
      <c r="U768" s="166"/>
      <c r="V768" s="166"/>
      <c r="W768" s="166"/>
      <c r="X768" s="166"/>
      <c r="Y768" s="166"/>
      <c r="Z768" s="166"/>
      <c r="AA768" s="166"/>
      <c r="AB768" s="166"/>
      <c r="AC768" s="166"/>
      <c r="AD768" s="166"/>
      <c r="AE768" s="166"/>
      <c r="AF768" s="166"/>
      <c r="AG768" s="166"/>
      <c r="AH768" s="166"/>
      <c r="AI768" s="166"/>
    </row>
    <row r="769" spans="7:35" x14ac:dyDescent="0.25">
      <c r="G769" s="165"/>
      <c r="H769" s="166"/>
      <c r="I769" s="167"/>
      <c r="J769" s="167"/>
      <c r="K769" s="166"/>
      <c r="L769" s="166"/>
      <c r="M769" s="166"/>
      <c r="N769" s="166"/>
      <c r="O769" s="166"/>
      <c r="P769" s="166"/>
      <c r="Q769" s="166"/>
      <c r="R769" s="166"/>
      <c r="S769" s="166"/>
      <c r="T769" s="166"/>
      <c r="U769" s="166"/>
      <c r="V769" s="166"/>
      <c r="W769" s="166"/>
      <c r="X769" s="166"/>
      <c r="Y769" s="166"/>
      <c r="Z769" s="166"/>
      <c r="AA769" s="166"/>
      <c r="AB769" s="166"/>
      <c r="AC769" s="166"/>
      <c r="AD769" s="166"/>
      <c r="AE769" s="166"/>
      <c r="AF769" s="166"/>
      <c r="AG769" s="166"/>
      <c r="AH769" s="166"/>
      <c r="AI769" s="166"/>
    </row>
    <row r="770" spans="7:35" x14ac:dyDescent="0.25">
      <c r="G770" s="165"/>
      <c r="H770" s="166"/>
      <c r="I770" s="167"/>
      <c r="J770" s="167"/>
      <c r="K770" s="166"/>
      <c r="L770" s="166"/>
      <c r="M770" s="166"/>
      <c r="N770" s="166"/>
      <c r="O770" s="166"/>
      <c r="P770" s="166"/>
      <c r="Q770" s="166"/>
      <c r="R770" s="166"/>
      <c r="S770" s="166"/>
      <c r="T770" s="166"/>
      <c r="U770" s="166"/>
      <c r="V770" s="166"/>
      <c r="W770" s="166"/>
      <c r="X770" s="166"/>
      <c r="Y770" s="166"/>
      <c r="Z770" s="166"/>
      <c r="AA770" s="166"/>
      <c r="AB770" s="166"/>
      <c r="AC770" s="166"/>
      <c r="AD770" s="166"/>
      <c r="AE770" s="166"/>
      <c r="AF770" s="166"/>
      <c r="AG770" s="166"/>
      <c r="AH770" s="166"/>
      <c r="AI770" s="166"/>
    </row>
    <row r="771" spans="7:35" x14ac:dyDescent="0.25">
      <c r="G771" s="165"/>
      <c r="H771" s="166"/>
      <c r="I771" s="167"/>
      <c r="J771" s="167"/>
      <c r="K771" s="166"/>
      <c r="L771" s="166"/>
      <c r="M771" s="166"/>
      <c r="N771" s="166"/>
      <c r="O771" s="166"/>
      <c r="P771" s="166"/>
      <c r="Q771" s="166"/>
      <c r="R771" s="166"/>
      <c r="S771" s="166"/>
      <c r="T771" s="166"/>
      <c r="U771" s="166"/>
      <c r="V771" s="166"/>
      <c r="W771" s="166"/>
      <c r="X771" s="166"/>
      <c r="Y771" s="166"/>
      <c r="Z771" s="166"/>
      <c r="AA771" s="166"/>
      <c r="AB771" s="166"/>
      <c r="AC771" s="166"/>
      <c r="AD771" s="166"/>
      <c r="AE771" s="166"/>
      <c r="AF771" s="166"/>
      <c r="AG771" s="166"/>
      <c r="AH771" s="166"/>
      <c r="AI771" s="166"/>
    </row>
    <row r="772" spans="7:35" x14ac:dyDescent="0.25">
      <c r="G772" s="165"/>
      <c r="H772" s="166"/>
      <c r="I772" s="167"/>
      <c r="J772" s="167"/>
      <c r="K772" s="166"/>
      <c r="L772" s="166"/>
      <c r="M772" s="166"/>
      <c r="N772" s="166"/>
      <c r="O772" s="166"/>
      <c r="P772" s="166"/>
      <c r="Q772" s="166"/>
      <c r="R772" s="166"/>
      <c r="S772" s="166"/>
      <c r="T772" s="166"/>
      <c r="U772" s="166"/>
      <c r="V772" s="166"/>
      <c r="W772" s="166"/>
      <c r="X772" s="166"/>
      <c r="Y772" s="166"/>
      <c r="Z772" s="166"/>
      <c r="AA772" s="166"/>
      <c r="AB772" s="166"/>
      <c r="AC772" s="166"/>
      <c r="AD772" s="166"/>
      <c r="AE772" s="166"/>
      <c r="AF772" s="166"/>
      <c r="AG772" s="166"/>
      <c r="AH772" s="166"/>
      <c r="AI772" s="166"/>
    </row>
    <row r="773" spans="7:35" x14ac:dyDescent="0.25">
      <c r="G773" s="165"/>
      <c r="H773" s="166"/>
      <c r="I773" s="167"/>
      <c r="J773" s="167"/>
      <c r="K773" s="166"/>
      <c r="L773" s="166"/>
      <c r="M773" s="166"/>
      <c r="N773" s="166"/>
      <c r="O773" s="166"/>
      <c r="P773" s="166"/>
      <c r="Q773" s="166"/>
      <c r="R773" s="166"/>
      <c r="S773" s="166"/>
      <c r="T773" s="166"/>
      <c r="U773" s="166"/>
      <c r="V773" s="166"/>
      <c r="W773" s="166"/>
      <c r="X773" s="166"/>
      <c r="Y773" s="166"/>
      <c r="Z773" s="166"/>
      <c r="AA773" s="166"/>
      <c r="AB773" s="166"/>
      <c r="AC773" s="166"/>
      <c r="AD773" s="166"/>
      <c r="AE773" s="166"/>
      <c r="AF773" s="166"/>
      <c r="AG773" s="166"/>
      <c r="AH773" s="166"/>
      <c r="AI773" s="166"/>
    </row>
    <row r="774" spans="7:35" x14ac:dyDescent="0.25">
      <c r="G774" s="165"/>
      <c r="H774" s="166"/>
      <c r="I774" s="167"/>
      <c r="J774" s="167"/>
      <c r="K774" s="166"/>
      <c r="L774" s="166"/>
      <c r="M774" s="166"/>
      <c r="N774" s="166"/>
      <c r="O774" s="166"/>
      <c r="P774" s="166"/>
      <c r="Q774" s="166"/>
      <c r="R774" s="166"/>
      <c r="S774" s="166"/>
      <c r="T774" s="166"/>
      <c r="U774" s="166"/>
      <c r="V774" s="166"/>
      <c r="W774" s="166"/>
      <c r="X774" s="166"/>
      <c r="Y774" s="166"/>
      <c r="Z774" s="166"/>
      <c r="AA774" s="166"/>
      <c r="AB774" s="166"/>
      <c r="AC774" s="166"/>
      <c r="AD774" s="166"/>
      <c r="AE774" s="166"/>
      <c r="AF774" s="166"/>
      <c r="AG774" s="166"/>
      <c r="AH774" s="166"/>
      <c r="AI774" s="166"/>
    </row>
    <row r="775" spans="7:35" x14ac:dyDescent="0.25">
      <c r="G775" s="165"/>
      <c r="H775" s="166"/>
      <c r="I775" s="167"/>
      <c r="J775" s="167"/>
      <c r="K775" s="166"/>
      <c r="L775" s="166"/>
      <c r="M775" s="166"/>
      <c r="N775" s="166"/>
      <c r="O775" s="166"/>
      <c r="P775" s="166"/>
      <c r="Q775" s="166"/>
      <c r="R775" s="166"/>
      <c r="S775" s="166"/>
      <c r="T775" s="166"/>
      <c r="U775" s="166"/>
      <c r="V775" s="166"/>
      <c r="W775" s="166"/>
      <c r="X775" s="166"/>
      <c r="Y775" s="166"/>
      <c r="Z775" s="166"/>
      <c r="AA775" s="166"/>
      <c r="AB775" s="166"/>
      <c r="AC775" s="166"/>
      <c r="AD775" s="166"/>
      <c r="AE775" s="166"/>
      <c r="AF775" s="166"/>
      <c r="AG775" s="166"/>
      <c r="AH775" s="166"/>
      <c r="AI775" s="166"/>
    </row>
    <row r="776" spans="7:35" x14ac:dyDescent="0.25">
      <c r="G776" s="165"/>
      <c r="H776" s="166"/>
      <c r="I776" s="167"/>
      <c r="J776" s="167"/>
      <c r="K776" s="166"/>
      <c r="L776" s="166"/>
      <c r="M776" s="166"/>
      <c r="N776" s="166"/>
      <c r="O776" s="166"/>
      <c r="P776" s="166"/>
      <c r="Q776" s="166"/>
      <c r="R776" s="166"/>
      <c r="S776" s="166"/>
      <c r="T776" s="166"/>
      <c r="U776" s="166"/>
      <c r="V776" s="166"/>
      <c r="W776" s="166"/>
      <c r="X776" s="166"/>
      <c r="Y776" s="166"/>
      <c r="Z776" s="166"/>
      <c r="AA776" s="166"/>
      <c r="AB776" s="166"/>
      <c r="AC776" s="166"/>
      <c r="AD776" s="166"/>
      <c r="AE776" s="166"/>
      <c r="AF776" s="166"/>
      <c r="AG776" s="166"/>
      <c r="AH776" s="166"/>
      <c r="AI776" s="166"/>
    </row>
    <row r="777" spans="7:35" x14ac:dyDescent="0.25">
      <c r="G777" s="165"/>
      <c r="H777" s="166"/>
      <c r="I777" s="167"/>
      <c r="J777" s="167"/>
      <c r="K777" s="166"/>
      <c r="L777" s="166"/>
      <c r="M777" s="166"/>
      <c r="N777" s="166"/>
      <c r="O777" s="166"/>
      <c r="P777" s="166"/>
      <c r="Q777" s="166"/>
      <c r="R777" s="166"/>
      <c r="S777" s="166"/>
      <c r="T777" s="166"/>
      <c r="U777" s="166"/>
      <c r="V777" s="166"/>
      <c r="W777" s="166"/>
      <c r="X777" s="166"/>
      <c r="Y777" s="166"/>
      <c r="Z777" s="166"/>
      <c r="AA777" s="166"/>
      <c r="AB777" s="166"/>
      <c r="AC777" s="166"/>
      <c r="AD777" s="166"/>
      <c r="AE777" s="166"/>
      <c r="AF777" s="166"/>
      <c r="AG777" s="166"/>
      <c r="AH777" s="166"/>
      <c r="AI777" s="166"/>
    </row>
    <row r="778" spans="7:35" x14ac:dyDescent="0.25">
      <c r="G778" s="165"/>
      <c r="H778" s="166"/>
      <c r="I778" s="167"/>
      <c r="J778" s="167"/>
      <c r="K778" s="166"/>
      <c r="L778" s="166"/>
      <c r="M778" s="166"/>
      <c r="N778" s="166"/>
      <c r="O778" s="166"/>
      <c r="P778" s="166"/>
      <c r="Q778" s="166"/>
      <c r="R778" s="166"/>
      <c r="S778" s="166"/>
      <c r="T778" s="166"/>
      <c r="U778" s="166"/>
      <c r="V778" s="166"/>
      <c r="W778" s="166"/>
      <c r="X778" s="166"/>
      <c r="Y778" s="166"/>
      <c r="Z778" s="166"/>
      <c r="AA778" s="166"/>
      <c r="AB778" s="166"/>
      <c r="AC778" s="166"/>
      <c r="AD778" s="166"/>
      <c r="AE778" s="166"/>
      <c r="AF778" s="166"/>
      <c r="AG778" s="166"/>
      <c r="AH778" s="166"/>
      <c r="AI778" s="166"/>
    </row>
    <row r="779" spans="7:35" x14ac:dyDescent="0.25">
      <c r="G779" s="165"/>
      <c r="H779" s="166"/>
      <c r="I779" s="167"/>
      <c r="J779" s="167"/>
      <c r="K779" s="166"/>
      <c r="L779" s="166"/>
      <c r="M779" s="166"/>
      <c r="N779" s="166"/>
      <c r="O779" s="166"/>
      <c r="P779" s="166"/>
      <c r="Q779" s="166"/>
      <c r="R779" s="166"/>
      <c r="S779" s="166"/>
      <c r="T779" s="166"/>
      <c r="U779" s="166"/>
      <c r="V779" s="166"/>
      <c r="W779" s="166"/>
      <c r="X779" s="166"/>
      <c r="Y779" s="166"/>
      <c r="Z779" s="166"/>
      <c r="AA779" s="166"/>
      <c r="AB779" s="166"/>
      <c r="AC779" s="166"/>
      <c r="AD779" s="166"/>
      <c r="AE779" s="166"/>
      <c r="AF779" s="166"/>
      <c r="AG779" s="166"/>
      <c r="AH779" s="166"/>
      <c r="AI779" s="166"/>
    </row>
    <row r="780" spans="7:35" x14ac:dyDescent="0.25">
      <c r="G780" s="165"/>
      <c r="H780" s="166"/>
      <c r="I780" s="167"/>
      <c r="J780" s="167"/>
      <c r="K780" s="166"/>
      <c r="L780" s="166"/>
      <c r="M780" s="166"/>
      <c r="N780" s="166"/>
      <c r="O780" s="166"/>
      <c r="P780" s="166"/>
      <c r="Q780" s="166"/>
      <c r="R780" s="166"/>
      <c r="S780" s="166"/>
      <c r="T780" s="166"/>
      <c r="U780" s="166"/>
      <c r="V780" s="166"/>
      <c r="W780" s="166"/>
      <c r="X780" s="166"/>
      <c r="Y780" s="166"/>
      <c r="Z780" s="166"/>
      <c r="AA780" s="166"/>
      <c r="AB780" s="166"/>
      <c r="AC780" s="166"/>
      <c r="AD780" s="166"/>
      <c r="AE780" s="166"/>
      <c r="AF780" s="166"/>
      <c r="AG780" s="166"/>
      <c r="AH780" s="166"/>
      <c r="AI780" s="166"/>
    </row>
    <row r="781" spans="7:35" x14ac:dyDescent="0.25">
      <c r="G781" s="165"/>
      <c r="H781" s="166"/>
      <c r="I781" s="167"/>
      <c r="J781" s="167"/>
      <c r="K781" s="166"/>
      <c r="L781" s="166"/>
      <c r="M781" s="166"/>
      <c r="N781" s="166"/>
      <c r="O781" s="166"/>
      <c r="P781" s="166"/>
      <c r="Q781" s="166"/>
      <c r="R781" s="166"/>
      <c r="S781" s="166"/>
      <c r="T781" s="166"/>
      <c r="U781" s="166"/>
      <c r="V781" s="166"/>
      <c r="W781" s="166"/>
      <c r="X781" s="166"/>
      <c r="Y781" s="166"/>
      <c r="Z781" s="166"/>
      <c r="AA781" s="166"/>
      <c r="AB781" s="166"/>
      <c r="AC781" s="166"/>
      <c r="AD781" s="166"/>
      <c r="AE781" s="166"/>
      <c r="AF781" s="166"/>
      <c r="AG781" s="166"/>
      <c r="AH781" s="166"/>
      <c r="AI781" s="166"/>
    </row>
    <row r="782" spans="7:35" x14ac:dyDescent="0.25">
      <c r="G782" s="165"/>
      <c r="H782" s="166"/>
      <c r="I782" s="167"/>
      <c r="J782" s="167"/>
      <c r="K782" s="166"/>
      <c r="L782" s="166"/>
      <c r="M782" s="166"/>
      <c r="N782" s="166"/>
      <c r="O782" s="166"/>
      <c r="P782" s="166"/>
      <c r="Q782" s="166"/>
      <c r="R782" s="166"/>
      <c r="S782" s="166"/>
      <c r="T782" s="166"/>
      <c r="U782" s="166"/>
      <c r="V782" s="166"/>
      <c r="W782" s="166"/>
      <c r="X782" s="166"/>
      <c r="Y782" s="166"/>
      <c r="Z782" s="166"/>
      <c r="AA782" s="166"/>
      <c r="AB782" s="166"/>
      <c r="AC782" s="166"/>
      <c r="AD782" s="166"/>
      <c r="AE782" s="166"/>
      <c r="AF782" s="166"/>
      <c r="AG782" s="166"/>
      <c r="AH782" s="166"/>
      <c r="AI782" s="166"/>
    </row>
    <row r="783" spans="7:35" x14ac:dyDescent="0.25">
      <c r="G783" s="165"/>
      <c r="H783" s="166"/>
      <c r="I783" s="167"/>
      <c r="J783" s="167"/>
      <c r="K783" s="166"/>
      <c r="L783" s="166"/>
      <c r="M783" s="166"/>
      <c r="N783" s="166"/>
      <c r="O783" s="166"/>
      <c r="P783" s="166"/>
      <c r="Q783" s="166"/>
      <c r="R783" s="166"/>
      <c r="S783" s="166"/>
      <c r="T783" s="166"/>
      <c r="U783" s="166"/>
      <c r="V783" s="166"/>
      <c r="W783" s="166"/>
      <c r="X783" s="166"/>
      <c r="Y783" s="166"/>
      <c r="Z783" s="166"/>
      <c r="AA783" s="166"/>
      <c r="AB783" s="166"/>
      <c r="AC783" s="166"/>
      <c r="AD783" s="166"/>
      <c r="AE783" s="166"/>
      <c r="AF783" s="166"/>
      <c r="AG783" s="166"/>
      <c r="AH783" s="166"/>
      <c r="AI783" s="166"/>
    </row>
    <row r="784" spans="7:35" x14ac:dyDescent="0.25">
      <c r="G784" s="165"/>
      <c r="H784" s="166"/>
      <c r="I784" s="167"/>
      <c r="J784" s="167"/>
      <c r="K784" s="166"/>
      <c r="L784" s="166"/>
      <c r="M784" s="166"/>
      <c r="N784" s="166"/>
      <c r="O784" s="166"/>
      <c r="P784" s="166"/>
      <c r="Q784" s="166"/>
      <c r="R784" s="166"/>
      <c r="S784" s="166"/>
      <c r="T784" s="166"/>
      <c r="U784" s="166"/>
      <c r="V784" s="166"/>
      <c r="W784" s="166"/>
      <c r="X784" s="166"/>
      <c r="Y784" s="166"/>
      <c r="Z784" s="166"/>
      <c r="AA784" s="166"/>
      <c r="AB784" s="166"/>
      <c r="AC784" s="166"/>
      <c r="AD784" s="166"/>
      <c r="AE784" s="166"/>
      <c r="AF784" s="166"/>
      <c r="AG784" s="166"/>
      <c r="AH784" s="166"/>
      <c r="AI784" s="166"/>
    </row>
    <row r="785" spans="7:35" x14ac:dyDescent="0.25">
      <c r="G785" s="165"/>
      <c r="H785" s="166"/>
      <c r="I785" s="167"/>
      <c r="J785" s="167"/>
      <c r="K785" s="166"/>
      <c r="L785" s="166"/>
      <c r="M785" s="166"/>
      <c r="N785" s="166"/>
      <c r="O785" s="166"/>
      <c r="P785" s="166"/>
      <c r="Q785" s="166"/>
      <c r="R785" s="166"/>
      <c r="S785" s="166"/>
      <c r="T785" s="166"/>
      <c r="U785" s="166"/>
      <c r="V785" s="166"/>
      <c r="W785" s="166"/>
      <c r="X785" s="166"/>
      <c r="Y785" s="166"/>
      <c r="Z785" s="166"/>
      <c r="AA785" s="166"/>
      <c r="AB785" s="166"/>
      <c r="AC785" s="166"/>
      <c r="AD785" s="166"/>
      <c r="AE785" s="166"/>
      <c r="AF785" s="166"/>
      <c r="AG785" s="166"/>
      <c r="AH785" s="166"/>
      <c r="AI785" s="166"/>
    </row>
    <row r="786" spans="7:35" x14ac:dyDescent="0.25">
      <c r="G786" s="165"/>
      <c r="H786" s="166"/>
      <c r="I786" s="167"/>
      <c r="J786" s="167"/>
      <c r="K786" s="166"/>
      <c r="L786" s="166"/>
      <c r="M786" s="166"/>
      <c r="N786" s="166"/>
      <c r="O786" s="166"/>
      <c r="P786" s="166"/>
      <c r="Q786" s="166"/>
      <c r="R786" s="166"/>
      <c r="S786" s="166"/>
      <c r="T786" s="166"/>
      <c r="U786" s="166"/>
      <c r="V786" s="166"/>
      <c r="W786" s="166"/>
      <c r="X786" s="166"/>
      <c r="Y786" s="166"/>
      <c r="Z786" s="166"/>
      <c r="AA786" s="166"/>
      <c r="AB786" s="166"/>
      <c r="AC786" s="166"/>
      <c r="AD786" s="166"/>
      <c r="AE786" s="166"/>
      <c r="AF786" s="166"/>
      <c r="AG786" s="166"/>
      <c r="AH786" s="166"/>
      <c r="AI786" s="166"/>
    </row>
    <row r="787" spans="7:35" x14ac:dyDescent="0.25">
      <c r="G787" s="165"/>
      <c r="H787" s="166"/>
      <c r="I787" s="167"/>
      <c r="J787" s="167"/>
      <c r="K787" s="166"/>
      <c r="L787" s="166"/>
      <c r="M787" s="166"/>
      <c r="N787" s="166"/>
      <c r="O787" s="166"/>
      <c r="P787" s="166"/>
      <c r="Q787" s="166"/>
      <c r="R787" s="166"/>
      <c r="S787" s="166"/>
      <c r="T787" s="166"/>
      <c r="U787" s="166"/>
      <c r="V787" s="166"/>
      <c r="W787" s="166"/>
      <c r="X787" s="166"/>
      <c r="Y787" s="166"/>
      <c r="Z787" s="166"/>
      <c r="AA787" s="166"/>
      <c r="AB787" s="166"/>
      <c r="AC787" s="166"/>
      <c r="AD787" s="166"/>
      <c r="AE787" s="166"/>
      <c r="AF787" s="166"/>
      <c r="AG787" s="166"/>
      <c r="AH787" s="166"/>
      <c r="AI787" s="166"/>
    </row>
    <row r="788" spans="7:35" x14ac:dyDescent="0.25">
      <c r="G788" s="165"/>
      <c r="H788" s="166"/>
      <c r="I788" s="167"/>
      <c r="J788" s="167"/>
      <c r="K788" s="166"/>
      <c r="L788" s="166"/>
      <c r="M788" s="166"/>
      <c r="N788" s="166"/>
      <c r="O788" s="166"/>
      <c r="P788" s="166"/>
      <c r="Q788" s="166"/>
      <c r="R788" s="166"/>
      <c r="S788" s="166"/>
      <c r="T788" s="166"/>
      <c r="U788" s="166"/>
      <c r="V788" s="166"/>
      <c r="W788" s="166"/>
      <c r="X788" s="166"/>
      <c r="Y788" s="166"/>
      <c r="Z788" s="166"/>
      <c r="AA788" s="166"/>
      <c r="AB788" s="166"/>
      <c r="AC788" s="166"/>
      <c r="AD788" s="166"/>
      <c r="AE788" s="166"/>
      <c r="AF788" s="166"/>
      <c r="AG788" s="166"/>
      <c r="AH788" s="166"/>
      <c r="AI788" s="166"/>
    </row>
    <row r="789" spans="7:35" x14ac:dyDescent="0.25">
      <c r="G789" s="165"/>
      <c r="H789" s="166"/>
      <c r="I789" s="167"/>
      <c r="J789" s="167"/>
      <c r="K789" s="166"/>
      <c r="L789" s="166"/>
      <c r="M789" s="166"/>
      <c r="N789" s="166"/>
      <c r="O789" s="166"/>
      <c r="P789" s="166"/>
      <c r="Q789" s="166"/>
      <c r="R789" s="166"/>
      <c r="S789" s="166"/>
      <c r="T789" s="166"/>
      <c r="U789" s="166"/>
      <c r="V789" s="166"/>
      <c r="W789" s="166"/>
      <c r="X789" s="166"/>
      <c r="Y789" s="166"/>
      <c r="Z789" s="166"/>
      <c r="AA789" s="166"/>
      <c r="AB789" s="166"/>
      <c r="AC789" s="166"/>
      <c r="AD789" s="166"/>
      <c r="AE789" s="166"/>
      <c r="AF789" s="166"/>
      <c r="AG789" s="166"/>
      <c r="AH789" s="166"/>
      <c r="AI789" s="166"/>
    </row>
    <row r="790" spans="7:35" x14ac:dyDescent="0.25">
      <c r="G790" s="165"/>
      <c r="H790" s="166"/>
      <c r="I790" s="167"/>
      <c r="J790" s="167"/>
      <c r="K790" s="166"/>
      <c r="L790" s="166"/>
      <c r="M790" s="166"/>
      <c r="N790" s="166"/>
      <c r="O790" s="166"/>
      <c r="P790" s="166"/>
      <c r="Q790" s="166"/>
      <c r="R790" s="166"/>
      <c r="S790" s="166"/>
      <c r="T790" s="166"/>
      <c r="U790" s="166"/>
      <c r="V790" s="166"/>
      <c r="W790" s="166"/>
      <c r="X790" s="166"/>
      <c r="Y790" s="166"/>
      <c r="Z790" s="166"/>
      <c r="AA790" s="166"/>
      <c r="AB790" s="166"/>
      <c r="AC790" s="166"/>
      <c r="AD790" s="166"/>
      <c r="AE790" s="166"/>
      <c r="AF790" s="166"/>
      <c r="AG790" s="166"/>
      <c r="AH790" s="166"/>
      <c r="AI790" s="166"/>
    </row>
    <row r="791" spans="7:35" x14ac:dyDescent="0.25">
      <c r="G791" s="165"/>
      <c r="H791" s="166"/>
      <c r="I791" s="167"/>
      <c r="J791" s="167"/>
      <c r="K791" s="166"/>
      <c r="L791" s="166"/>
      <c r="M791" s="166"/>
      <c r="N791" s="166"/>
      <c r="O791" s="166"/>
      <c r="P791" s="166"/>
      <c r="Q791" s="166"/>
      <c r="R791" s="166"/>
      <c r="S791" s="166"/>
      <c r="T791" s="166"/>
      <c r="U791" s="166"/>
      <c r="V791" s="166"/>
      <c r="W791" s="166"/>
      <c r="X791" s="166"/>
      <c r="Y791" s="166"/>
      <c r="Z791" s="166"/>
      <c r="AA791" s="166"/>
      <c r="AB791" s="166"/>
      <c r="AC791" s="166"/>
      <c r="AD791" s="166"/>
      <c r="AE791" s="166"/>
      <c r="AF791" s="166"/>
      <c r="AG791" s="166"/>
      <c r="AH791" s="166"/>
      <c r="AI791" s="166"/>
    </row>
    <row r="792" spans="7:35" x14ac:dyDescent="0.25">
      <c r="G792" s="165"/>
      <c r="H792" s="166"/>
      <c r="I792" s="167"/>
      <c r="J792" s="167"/>
      <c r="K792" s="166"/>
      <c r="L792" s="166"/>
      <c r="M792" s="166"/>
      <c r="N792" s="166"/>
      <c r="O792" s="166"/>
      <c r="P792" s="166"/>
      <c r="Q792" s="166"/>
      <c r="R792" s="166"/>
      <c r="S792" s="166"/>
      <c r="T792" s="166"/>
      <c r="U792" s="166"/>
      <c r="V792" s="166"/>
      <c r="W792" s="166"/>
      <c r="X792" s="166"/>
      <c r="Y792" s="166"/>
      <c r="Z792" s="166"/>
      <c r="AA792" s="166"/>
      <c r="AB792" s="166"/>
      <c r="AC792" s="166"/>
      <c r="AD792" s="166"/>
      <c r="AE792" s="166"/>
      <c r="AF792" s="166"/>
      <c r="AG792" s="166"/>
      <c r="AH792" s="166"/>
      <c r="AI792" s="166"/>
    </row>
    <row r="793" spans="7:35" x14ac:dyDescent="0.25">
      <c r="G793" s="165"/>
      <c r="H793" s="166"/>
      <c r="I793" s="167"/>
      <c r="J793" s="167"/>
      <c r="K793" s="166"/>
      <c r="L793" s="166"/>
      <c r="M793" s="166"/>
      <c r="N793" s="166"/>
      <c r="O793" s="166"/>
      <c r="P793" s="166"/>
      <c r="Q793" s="166"/>
      <c r="R793" s="166"/>
      <c r="S793" s="166"/>
      <c r="T793" s="166"/>
      <c r="U793" s="166"/>
      <c r="V793" s="166"/>
      <c r="W793" s="166"/>
      <c r="X793" s="166"/>
      <c r="Y793" s="166"/>
      <c r="Z793" s="166"/>
      <c r="AA793" s="166"/>
      <c r="AB793" s="166"/>
      <c r="AC793" s="166"/>
      <c r="AD793" s="166"/>
      <c r="AE793" s="166"/>
      <c r="AF793" s="166"/>
      <c r="AG793" s="166"/>
      <c r="AH793" s="166"/>
      <c r="AI793" s="166"/>
    </row>
    <row r="794" spans="7:35" x14ac:dyDescent="0.25">
      <c r="G794" s="165"/>
      <c r="H794" s="166"/>
      <c r="I794" s="167"/>
      <c r="J794" s="167"/>
      <c r="K794" s="166"/>
      <c r="L794" s="166"/>
      <c r="M794" s="166"/>
      <c r="N794" s="166"/>
      <c r="O794" s="166"/>
      <c r="P794" s="166"/>
      <c r="Q794" s="166"/>
      <c r="R794" s="166"/>
      <c r="S794" s="166"/>
      <c r="T794" s="166"/>
      <c r="U794" s="166"/>
      <c r="V794" s="166"/>
      <c r="W794" s="166"/>
      <c r="X794" s="166"/>
      <c r="Y794" s="166"/>
      <c r="Z794" s="166"/>
      <c r="AA794" s="166"/>
      <c r="AB794" s="166"/>
      <c r="AC794" s="166"/>
      <c r="AD794" s="166"/>
      <c r="AE794" s="166"/>
      <c r="AF794" s="166"/>
      <c r="AG794" s="166"/>
      <c r="AH794" s="166"/>
      <c r="AI794" s="166"/>
    </row>
    <row r="795" spans="7:35" x14ac:dyDescent="0.25">
      <c r="G795" s="165"/>
      <c r="H795" s="166"/>
      <c r="I795" s="167"/>
      <c r="J795" s="167"/>
      <c r="K795" s="166"/>
      <c r="L795" s="166"/>
      <c r="M795" s="166"/>
      <c r="N795" s="166"/>
      <c r="O795" s="166"/>
      <c r="P795" s="166"/>
      <c r="Q795" s="166"/>
      <c r="R795" s="166"/>
      <c r="S795" s="166"/>
      <c r="T795" s="166"/>
      <c r="U795" s="166"/>
      <c r="V795" s="166"/>
      <c r="W795" s="166"/>
      <c r="X795" s="166"/>
      <c r="Y795" s="166"/>
      <c r="Z795" s="166"/>
      <c r="AA795" s="166"/>
      <c r="AB795" s="166"/>
      <c r="AC795" s="166"/>
      <c r="AD795" s="166"/>
      <c r="AE795" s="166"/>
      <c r="AF795" s="166"/>
      <c r="AG795" s="166"/>
      <c r="AH795" s="166"/>
      <c r="AI795" s="166"/>
    </row>
    <row r="796" spans="7:35" x14ac:dyDescent="0.25">
      <c r="G796" s="165"/>
      <c r="H796" s="166"/>
      <c r="I796" s="167"/>
      <c r="J796" s="167"/>
      <c r="K796" s="166"/>
      <c r="L796" s="166"/>
      <c r="M796" s="166"/>
      <c r="N796" s="166"/>
      <c r="O796" s="166"/>
      <c r="P796" s="166"/>
      <c r="Q796" s="166"/>
      <c r="R796" s="166"/>
      <c r="S796" s="166"/>
      <c r="T796" s="166"/>
      <c r="U796" s="166"/>
      <c r="V796" s="166"/>
      <c r="W796" s="166"/>
      <c r="X796" s="166"/>
      <c r="Y796" s="166"/>
      <c r="Z796" s="166"/>
      <c r="AA796" s="166"/>
      <c r="AB796" s="166"/>
      <c r="AC796" s="166"/>
      <c r="AD796" s="166"/>
      <c r="AE796" s="166"/>
      <c r="AF796" s="166"/>
      <c r="AG796" s="166"/>
      <c r="AH796" s="166"/>
      <c r="AI796" s="166"/>
    </row>
    <row r="797" spans="7:35" x14ac:dyDescent="0.25">
      <c r="G797" s="165"/>
      <c r="H797" s="166"/>
      <c r="I797" s="167"/>
      <c r="J797" s="167"/>
      <c r="K797" s="166"/>
      <c r="L797" s="166"/>
      <c r="M797" s="166"/>
      <c r="N797" s="166"/>
      <c r="O797" s="166"/>
      <c r="P797" s="166"/>
      <c r="Q797" s="166"/>
      <c r="R797" s="166"/>
      <c r="S797" s="166"/>
      <c r="T797" s="166"/>
      <c r="U797" s="166"/>
      <c r="V797" s="166"/>
      <c r="W797" s="166"/>
      <c r="X797" s="166"/>
      <c r="Y797" s="166"/>
      <c r="Z797" s="166"/>
      <c r="AA797" s="166"/>
      <c r="AB797" s="166"/>
      <c r="AC797" s="166"/>
      <c r="AD797" s="166"/>
      <c r="AE797" s="166"/>
      <c r="AF797" s="166"/>
      <c r="AG797" s="166"/>
      <c r="AH797" s="166"/>
      <c r="AI797" s="166"/>
    </row>
    <row r="798" spans="7:35" x14ac:dyDescent="0.25">
      <c r="G798" s="165"/>
      <c r="H798" s="166"/>
      <c r="I798" s="167"/>
      <c r="J798" s="167"/>
      <c r="K798" s="166"/>
      <c r="L798" s="166"/>
      <c r="M798" s="166"/>
      <c r="N798" s="166"/>
      <c r="O798" s="166"/>
      <c r="P798" s="166"/>
      <c r="Q798" s="166"/>
      <c r="R798" s="166"/>
      <c r="S798" s="166"/>
      <c r="T798" s="166"/>
      <c r="U798" s="166"/>
      <c r="V798" s="166"/>
      <c r="W798" s="166"/>
      <c r="X798" s="166"/>
      <c r="Y798" s="166"/>
      <c r="Z798" s="166"/>
      <c r="AA798" s="166"/>
      <c r="AB798" s="166"/>
      <c r="AC798" s="166"/>
      <c r="AD798" s="166"/>
      <c r="AE798" s="166"/>
      <c r="AF798" s="166"/>
      <c r="AG798" s="166"/>
      <c r="AH798" s="166"/>
      <c r="AI798" s="166"/>
    </row>
    <row r="799" spans="7:35" x14ac:dyDescent="0.25">
      <c r="G799" s="165"/>
      <c r="H799" s="166"/>
      <c r="I799" s="167"/>
      <c r="J799" s="167"/>
      <c r="K799" s="166"/>
      <c r="L799" s="166"/>
      <c r="M799" s="166"/>
      <c r="N799" s="166"/>
      <c r="O799" s="166"/>
      <c r="P799" s="166"/>
      <c r="Q799" s="166"/>
      <c r="R799" s="166"/>
      <c r="S799" s="166"/>
      <c r="T799" s="166"/>
      <c r="U799" s="166"/>
      <c r="V799" s="166"/>
      <c r="W799" s="166"/>
      <c r="X799" s="166"/>
      <c r="Y799" s="166"/>
      <c r="Z799" s="166"/>
      <c r="AA799" s="166"/>
      <c r="AB799" s="166"/>
      <c r="AC799" s="166"/>
      <c r="AD799" s="166"/>
      <c r="AE799" s="166"/>
      <c r="AF799" s="166"/>
      <c r="AG799" s="166"/>
      <c r="AH799" s="166"/>
      <c r="AI799" s="166"/>
    </row>
    <row r="800" spans="7:35" x14ac:dyDescent="0.25">
      <c r="G800" s="165"/>
      <c r="H800" s="166"/>
      <c r="I800" s="167"/>
      <c r="J800" s="167"/>
      <c r="K800" s="166"/>
      <c r="L800" s="166"/>
      <c r="M800" s="166"/>
      <c r="N800" s="166"/>
      <c r="O800" s="166"/>
      <c r="P800" s="166"/>
      <c r="Q800" s="166"/>
      <c r="R800" s="166"/>
      <c r="S800" s="166"/>
      <c r="T800" s="166"/>
      <c r="U800" s="166"/>
      <c r="V800" s="166"/>
      <c r="W800" s="166"/>
      <c r="X800" s="166"/>
      <c r="Y800" s="166"/>
      <c r="Z800" s="166"/>
      <c r="AA800" s="166"/>
      <c r="AB800" s="166"/>
      <c r="AC800" s="166"/>
      <c r="AD800" s="166"/>
      <c r="AE800" s="166"/>
      <c r="AF800" s="166"/>
      <c r="AG800" s="166"/>
      <c r="AH800" s="166"/>
      <c r="AI800" s="166"/>
    </row>
    <row r="801" spans="7:35" x14ac:dyDescent="0.25">
      <c r="G801" s="165"/>
      <c r="H801" s="166"/>
      <c r="I801" s="167"/>
      <c r="J801" s="167"/>
      <c r="K801" s="166"/>
      <c r="L801" s="166"/>
      <c r="M801" s="166"/>
      <c r="N801" s="166"/>
      <c r="O801" s="166"/>
      <c r="P801" s="166"/>
      <c r="Q801" s="166"/>
      <c r="R801" s="166"/>
      <c r="S801" s="166"/>
      <c r="T801" s="166"/>
      <c r="U801" s="166"/>
      <c r="V801" s="166"/>
      <c r="W801" s="166"/>
      <c r="X801" s="166"/>
      <c r="Y801" s="166"/>
      <c r="Z801" s="166"/>
      <c r="AA801" s="166"/>
      <c r="AB801" s="166"/>
      <c r="AC801" s="166"/>
      <c r="AD801" s="166"/>
      <c r="AE801" s="166"/>
      <c r="AF801" s="166"/>
      <c r="AG801" s="166"/>
      <c r="AH801" s="166"/>
      <c r="AI801" s="166"/>
    </row>
    <row r="802" spans="7:35" x14ac:dyDescent="0.25">
      <c r="G802" s="165"/>
      <c r="H802" s="166"/>
      <c r="I802" s="167"/>
      <c r="J802" s="167"/>
      <c r="K802" s="166"/>
      <c r="L802" s="166"/>
      <c r="M802" s="166"/>
      <c r="N802" s="166"/>
      <c r="O802" s="166"/>
      <c r="P802" s="166"/>
      <c r="Q802" s="166"/>
      <c r="R802" s="166"/>
      <c r="S802" s="166"/>
      <c r="T802" s="166"/>
      <c r="U802" s="166"/>
      <c r="V802" s="166"/>
      <c r="W802" s="166"/>
      <c r="X802" s="166"/>
      <c r="Y802" s="166"/>
      <c r="Z802" s="166"/>
      <c r="AA802" s="166"/>
      <c r="AB802" s="166"/>
      <c r="AC802" s="166"/>
      <c r="AD802" s="166"/>
      <c r="AE802" s="166"/>
      <c r="AF802" s="166"/>
      <c r="AG802" s="166"/>
      <c r="AH802" s="166"/>
      <c r="AI802" s="166"/>
    </row>
    <row r="803" spans="7:35" x14ac:dyDescent="0.25">
      <c r="G803" s="165"/>
      <c r="H803" s="166"/>
      <c r="I803" s="167"/>
      <c r="J803" s="167"/>
      <c r="K803" s="166"/>
      <c r="L803" s="166"/>
      <c r="M803" s="166"/>
      <c r="N803" s="166"/>
      <c r="O803" s="166"/>
      <c r="P803" s="166"/>
      <c r="Q803" s="166"/>
      <c r="R803" s="166"/>
      <c r="S803" s="166"/>
      <c r="T803" s="166"/>
      <c r="U803" s="166"/>
      <c r="V803" s="166"/>
      <c r="W803" s="166"/>
      <c r="X803" s="166"/>
      <c r="Y803" s="166"/>
      <c r="Z803" s="166"/>
      <c r="AA803" s="166"/>
      <c r="AB803" s="166"/>
      <c r="AC803" s="166"/>
      <c r="AD803" s="166"/>
      <c r="AE803" s="166"/>
      <c r="AF803" s="166"/>
      <c r="AG803" s="166"/>
      <c r="AH803" s="166"/>
      <c r="AI803" s="166"/>
    </row>
    <row r="804" spans="7:35" x14ac:dyDescent="0.25">
      <c r="G804" s="165"/>
      <c r="H804" s="166"/>
      <c r="I804" s="167"/>
      <c r="J804" s="167"/>
      <c r="K804" s="166"/>
      <c r="L804" s="166"/>
      <c r="M804" s="166"/>
      <c r="N804" s="166"/>
      <c r="O804" s="166"/>
      <c r="P804" s="166"/>
      <c r="Q804" s="166"/>
      <c r="R804" s="166"/>
      <c r="S804" s="166"/>
      <c r="T804" s="166"/>
      <c r="U804" s="166"/>
      <c r="V804" s="166"/>
      <c r="W804" s="166"/>
      <c r="X804" s="166"/>
      <c r="Y804" s="166"/>
      <c r="Z804" s="166"/>
      <c r="AA804" s="166"/>
      <c r="AB804" s="166"/>
      <c r="AC804" s="166"/>
      <c r="AD804" s="166"/>
      <c r="AE804" s="166"/>
      <c r="AF804" s="166"/>
      <c r="AG804" s="166"/>
      <c r="AH804" s="166"/>
      <c r="AI804" s="166"/>
    </row>
    <row r="805" spans="7:35" x14ac:dyDescent="0.25">
      <c r="G805" s="165"/>
      <c r="H805" s="166"/>
      <c r="I805" s="167"/>
      <c r="J805" s="167"/>
      <c r="K805" s="166"/>
      <c r="L805" s="166"/>
      <c r="M805" s="166"/>
      <c r="N805" s="166"/>
      <c r="O805" s="166"/>
      <c r="P805" s="166"/>
      <c r="Q805" s="166"/>
      <c r="R805" s="166"/>
      <c r="S805" s="166"/>
      <c r="T805" s="166"/>
      <c r="U805" s="166"/>
      <c r="V805" s="166"/>
      <c r="W805" s="166"/>
      <c r="X805" s="166"/>
      <c r="Y805" s="166"/>
      <c r="Z805" s="166"/>
      <c r="AA805" s="166"/>
      <c r="AB805" s="166"/>
      <c r="AC805" s="166"/>
      <c r="AD805" s="166"/>
      <c r="AE805" s="166"/>
      <c r="AF805" s="166"/>
      <c r="AG805" s="166"/>
      <c r="AH805" s="166"/>
      <c r="AI805" s="166"/>
    </row>
    <row r="806" spans="7:35" x14ac:dyDescent="0.25">
      <c r="G806" s="165"/>
      <c r="H806" s="166"/>
      <c r="I806" s="167"/>
      <c r="J806" s="167"/>
      <c r="K806" s="166"/>
      <c r="L806" s="166"/>
      <c r="M806" s="166"/>
      <c r="N806" s="166"/>
      <c r="O806" s="166"/>
      <c r="P806" s="166"/>
      <c r="Q806" s="166"/>
      <c r="R806" s="166"/>
      <c r="S806" s="166"/>
      <c r="T806" s="166"/>
      <c r="U806" s="166"/>
      <c r="V806" s="166"/>
      <c r="W806" s="166"/>
      <c r="X806" s="166"/>
      <c r="Y806" s="166"/>
      <c r="Z806" s="166"/>
      <c r="AA806" s="166"/>
      <c r="AB806" s="166"/>
      <c r="AC806" s="166"/>
      <c r="AD806" s="166"/>
      <c r="AE806" s="166"/>
      <c r="AF806" s="166"/>
      <c r="AG806" s="166"/>
      <c r="AH806" s="166"/>
      <c r="AI806" s="166"/>
    </row>
    <row r="807" spans="7:35" x14ac:dyDescent="0.25">
      <c r="G807" s="165"/>
      <c r="H807" s="166"/>
      <c r="I807" s="167"/>
      <c r="J807" s="167"/>
      <c r="K807" s="166"/>
      <c r="L807" s="166"/>
      <c r="M807" s="166"/>
      <c r="N807" s="166"/>
      <c r="O807" s="166"/>
      <c r="P807" s="166"/>
      <c r="Q807" s="166"/>
      <c r="R807" s="166"/>
      <c r="S807" s="166"/>
      <c r="T807" s="166"/>
      <c r="U807" s="166"/>
      <c r="V807" s="166"/>
      <c r="W807" s="166"/>
      <c r="X807" s="166"/>
      <c r="Y807" s="166"/>
      <c r="Z807" s="166"/>
      <c r="AA807" s="166"/>
      <c r="AB807" s="166"/>
      <c r="AC807" s="166"/>
      <c r="AD807" s="166"/>
      <c r="AE807" s="166"/>
      <c r="AF807" s="166"/>
      <c r="AG807" s="166"/>
      <c r="AH807" s="166"/>
      <c r="AI807" s="166"/>
    </row>
    <row r="808" spans="7:35" x14ac:dyDescent="0.25">
      <c r="G808" s="165"/>
      <c r="H808" s="166"/>
      <c r="I808" s="167"/>
      <c r="J808" s="167"/>
      <c r="K808" s="166"/>
      <c r="L808" s="166"/>
      <c r="M808" s="166"/>
      <c r="N808" s="166"/>
      <c r="O808" s="166"/>
      <c r="P808" s="166"/>
      <c r="Q808" s="166"/>
      <c r="R808" s="166"/>
      <c r="S808" s="166"/>
      <c r="T808" s="166"/>
      <c r="U808" s="166"/>
      <c r="V808" s="166"/>
      <c r="W808" s="166"/>
      <c r="X808" s="166"/>
      <c r="Y808" s="166"/>
      <c r="Z808" s="166"/>
      <c r="AA808" s="166"/>
      <c r="AB808" s="166"/>
      <c r="AC808" s="166"/>
      <c r="AD808" s="166"/>
      <c r="AE808" s="166"/>
      <c r="AF808" s="166"/>
      <c r="AG808" s="166"/>
      <c r="AH808" s="166"/>
      <c r="AI808" s="166"/>
    </row>
    <row r="809" spans="7:35" x14ac:dyDescent="0.25">
      <c r="G809" s="165"/>
      <c r="H809" s="166"/>
      <c r="I809" s="167"/>
      <c r="J809" s="167"/>
      <c r="K809" s="166"/>
      <c r="L809" s="166"/>
      <c r="M809" s="166"/>
      <c r="N809" s="166"/>
      <c r="O809" s="166"/>
      <c r="P809" s="166"/>
      <c r="Q809" s="166"/>
      <c r="R809" s="166"/>
      <c r="S809" s="166"/>
      <c r="T809" s="166"/>
      <c r="U809" s="166"/>
      <c r="V809" s="166"/>
      <c r="W809" s="166"/>
      <c r="X809" s="166"/>
      <c r="Y809" s="166"/>
      <c r="Z809" s="166"/>
      <c r="AA809" s="166"/>
      <c r="AB809" s="166"/>
      <c r="AC809" s="166"/>
      <c r="AD809" s="166"/>
      <c r="AE809" s="166"/>
      <c r="AF809" s="166"/>
      <c r="AG809" s="166"/>
      <c r="AH809" s="166"/>
      <c r="AI809" s="166"/>
    </row>
    <row r="810" spans="7:35" x14ac:dyDescent="0.25">
      <c r="G810" s="165"/>
      <c r="H810" s="166"/>
      <c r="I810" s="167"/>
      <c r="J810" s="167"/>
      <c r="K810" s="166"/>
      <c r="L810" s="166"/>
      <c r="M810" s="166"/>
      <c r="N810" s="166"/>
      <c r="O810" s="166"/>
      <c r="P810" s="166"/>
      <c r="Q810" s="166"/>
      <c r="R810" s="166"/>
      <c r="S810" s="166"/>
      <c r="T810" s="166"/>
      <c r="U810" s="166"/>
      <c r="V810" s="166"/>
      <c r="W810" s="166"/>
      <c r="X810" s="166"/>
      <c r="Y810" s="166"/>
      <c r="Z810" s="166"/>
      <c r="AA810" s="166"/>
      <c r="AB810" s="166"/>
      <c r="AC810" s="166"/>
      <c r="AD810" s="166"/>
      <c r="AE810" s="166"/>
      <c r="AF810" s="166"/>
      <c r="AG810" s="166"/>
      <c r="AH810" s="166"/>
      <c r="AI810" s="166"/>
    </row>
    <row r="811" spans="7:35" x14ac:dyDescent="0.25">
      <c r="G811" s="165"/>
      <c r="H811" s="166"/>
      <c r="I811" s="167"/>
      <c r="J811" s="167"/>
      <c r="K811" s="166"/>
      <c r="L811" s="166"/>
      <c r="M811" s="166"/>
      <c r="N811" s="166"/>
      <c r="O811" s="166"/>
      <c r="P811" s="166"/>
      <c r="Q811" s="166"/>
      <c r="R811" s="166"/>
      <c r="S811" s="166"/>
      <c r="T811" s="166"/>
      <c r="U811" s="166"/>
      <c r="V811" s="166"/>
      <c r="W811" s="166"/>
      <c r="X811" s="166"/>
      <c r="Y811" s="166"/>
      <c r="Z811" s="166"/>
      <c r="AA811" s="166"/>
      <c r="AB811" s="166"/>
      <c r="AC811" s="166"/>
      <c r="AD811" s="166"/>
      <c r="AE811" s="166"/>
      <c r="AF811" s="166"/>
      <c r="AG811" s="166"/>
      <c r="AH811" s="166"/>
      <c r="AI811" s="166"/>
    </row>
    <row r="812" spans="7:35" x14ac:dyDescent="0.25">
      <c r="G812" s="165"/>
      <c r="H812" s="166"/>
      <c r="I812" s="167"/>
      <c r="J812" s="167"/>
      <c r="K812" s="166"/>
      <c r="L812" s="166"/>
      <c r="M812" s="166"/>
      <c r="N812" s="166"/>
      <c r="O812" s="166"/>
      <c r="P812" s="166"/>
      <c r="Q812" s="166"/>
      <c r="R812" s="166"/>
      <c r="S812" s="166"/>
      <c r="T812" s="166"/>
      <c r="U812" s="166"/>
      <c r="V812" s="166"/>
      <c r="W812" s="166"/>
      <c r="X812" s="166"/>
      <c r="Y812" s="166"/>
      <c r="Z812" s="166"/>
      <c r="AA812" s="166"/>
      <c r="AB812" s="166"/>
      <c r="AC812" s="166"/>
      <c r="AD812" s="166"/>
      <c r="AE812" s="166"/>
      <c r="AF812" s="166"/>
      <c r="AG812" s="166"/>
      <c r="AH812" s="166"/>
      <c r="AI812" s="166"/>
    </row>
    <row r="813" spans="7:35" x14ac:dyDescent="0.25">
      <c r="G813" s="165"/>
      <c r="H813" s="166"/>
      <c r="I813" s="167"/>
      <c r="J813" s="167"/>
      <c r="K813" s="166"/>
      <c r="L813" s="166"/>
      <c r="M813" s="166"/>
      <c r="N813" s="166"/>
      <c r="O813" s="166"/>
      <c r="P813" s="166"/>
      <c r="Q813" s="166"/>
      <c r="R813" s="166"/>
      <c r="S813" s="166"/>
      <c r="T813" s="166"/>
      <c r="U813" s="166"/>
      <c r="V813" s="166"/>
      <c r="W813" s="166"/>
      <c r="X813" s="166"/>
      <c r="Y813" s="166"/>
      <c r="Z813" s="166"/>
      <c r="AA813" s="166"/>
      <c r="AB813" s="166"/>
      <c r="AC813" s="166"/>
      <c r="AD813" s="166"/>
      <c r="AE813" s="166"/>
      <c r="AF813" s="166"/>
      <c r="AG813" s="166"/>
      <c r="AH813" s="166"/>
      <c r="AI813" s="166"/>
    </row>
    <row r="814" spans="7:35" x14ac:dyDescent="0.25">
      <c r="G814" s="165"/>
      <c r="H814" s="166"/>
      <c r="I814" s="167"/>
      <c r="J814" s="167"/>
      <c r="K814" s="166"/>
      <c r="L814" s="166"/>
      <c r="M814" s="166"/>
      <c r="N814" s="166"/>
      <c r="O814" s="166"/>
      <c r="P814" s="166"/>
      <c r="Q814" s="166"/>
      <c r="R814" s="166"/>
      <c r="S814" s="166"/>
      <c r="T814" s="166"/>
      <c r="U814" s="166"/>
      <c r="V814" s="166"/>
      <c r="W814" s="166"/>
      <c r="X814" s="166"/>
      <c r="Y814" s="166"/>
      <c r="Z814" s="166"/>
      <c r="AA814" s="166"/>
      <c r="AB814" s="166"/>
      <c r="AC814" s="166"/>
      <c r="AD814" s="166"/>
      <c r="AE814" s="166"/>
      <c r="AF814" s="166"/>
      <c r="AG814" s="166"/>
      <c r="AH814" s="166"/>
      <c r="AI814" s="166"/>
    </row>
    <row r="815" spans="7:35" x14ac:dyDescent="0.25">
      <c r="G815" s="165"/>
      <c r="H815" s="166"/>
      <c r="I815" s="167"/>
      <c r="J815" s="167"/>
      <c r="K815" s="166"/>
      <c r="L815" s="166"/>
      <c r="M815" s="166"/>
      <c r="N815" s="166"/>
      <c r="O815" s="166"/>
      <c r="P815" s="166"/>
      <c r="Q815" s="166"/>
      <c r="R815" s="166"/>
      <c r="S815" s="166"/>
      <c r="T815" s="166"/>
      <c r="U815" s="166"/>
      <c r="V815" s="166"/>
      <c r="W815" s="166"/>
      <c r="X815" s="166"/>
      <c r="Y815" s="166"/>
      <c r="Z815" s="166"/>
      <c r="AA815" s="166"/>
      <c r="AB815" s="166"/>
      <c r="AC815" s="166"/>
      <c r="AD815" s="166"/>
      <c r="AE815" s="166"/>
      <c r="AF815" s="166"/>
      <c r="AG815" s="166"/>
      <c r="AH815" s="166"/>
      <c r="AI815" s="166"/>
    </row>
    <row r="816" spans="7:35" x14ac:dyDescent="0.25">
      <c r="G816" s="165"/>
      <c r="H816" s="166"/>
      <c r="I816" s="167"/>
      <c r="J816" s="167"/>
      <c r="K816" s="166"/>
      <c r="L816" s="166"/>
      <c r="M816" s="166"/>
      <c r="N816" s="166"/>
      <c r="O816" s="166"/>
      <c r="P816" s="166"/>
      <c r="Q816" s="166"/>
      <c r="R816" s="166"/>
      <c r="S816" s="166"/>
      <c r="T816" s="166"/>
      <c r="U816" s="166"/>
      <c r="V816" s="166"/>
      <c r="W816" s="166"/>
      <c r="X816" s="166"/>
      <c r="Y816" s="166"/>
      <c r="Z816" s="166"/>
      <c r="AA816" s="166"/>
      <c r="AB816" s="166"/>
      <c r="AC816" s="166"/>
      <c r="AD816" s="166"/>
      <c r="AE816" s="166"/>
      <c r="AF816" s="166"/>
      <c r="AG816" s="166"/>
      <c r="AH816" s="166"/>
      <c r="AI816" s="166"/>
    </row>
    <row r="817" spans="7:35" x14ac:dyDescent="0.25">
      <c r="G817" s="165"/>
      <c r="H817" s="166"/>
      <c r="I817" s="167"/>
      <c r="J817" s="167"/>
      <c r="K817" s="166"/>
      <c r="L817" s="166"/>
      <c r="M817" s="166"/>
      <c r="N817" s="166"/>
      <c r="O817" s="166"/>
      <c r="P817" s="166"/>
      <c r="Q817" s="166"/>
      <c r="R817" s="166"/>
      <c r="S817" s="166"/>
      <c r="T817" s="166"/>
      <c r="U817" s="166"/>
      <c r="V817" s="166"/>
      <c r="W817" s="166"/>
      <c r="X817" s="166"/>
      <c r="Y817" s="166"/>
      <c r="Z817" s="166"/>
      <c r="AA817" s="166"/>
      <c r="AB817" s="166"/>
      <c r="AC817" s="166"/>
      <c r="AD817" s="166"/>
      <c r="AE817" s="166"/>
      <c r="AF817" s="166"/>
      <c r="AG817" s="166"/>
      <c r="AH817" s="166"/>
      <c r="AI817" s="166"/>
    </row>
    <row r="818" spans="7:35" x14ac:dyDescent="0.25">
      <c r="G818" s="165"/>
      <c r="H818" s="166"/>
      <c r="I818" s="167"/>
      <c r="J818" s="167"/>
      <c r="K818" s="166"/>
      <c r="L818" s="166"/>
      <c r="M818" s="166"/>
      <c r="N818" s="166"/>
      <c r="O818" s="166"/>
      <c r="P818" s="166"/>
      <c r="Q818" s="166"/>
      <c r="R818" s="166"/>
      <c r="S818" s="166"/>
      <c r="T818" s="166"/>
      <c r="U818" s="166"/>
      <c r="V818" s="166"/>
      <c r="W818" s="166"/>
      <c r="X818" s="166"/>
      <c r="Y818" s="166"/>
      <c r="Z818" s="166"/>
      <c r="AA818" s="166"/>
      <c r="AB818" s="166"/>
      <c r="AC818" s="166"/>
      <c r="AD818" s="166"/>
      <c r="AE818" s="166"/>
      <c r="AF818" s="166"/>
      <c r="AG818" s="166"/>
      <c r="AH818" s="166"/>
      <c r="AI818" s="166"/>
    </row>
    <row r="819" spans="7:35" x14ac:dyDescent="0.25">
      <c r="G819" s="165"/>
      <c r="H819" s="166"/>
      <c r="I819" s="167"/>
      <c r="J819" s="167"/>
      <c r="K819" s="166"/>
      <c r="L819" s="166"/>
      <c r="M819" s="166"/>
      <c r="N819" s="166"/>
      <c r="O819" s="166"/>
      <c r="P819" s="166"/>
      <c r="Q819" s="166"/>
      <c r="R819" s="166"/>
      <c r="S819" s="166"/>
      <c r="T819" s="166"/>
      <c r="U819" s="166"/>
      <c r="V819" s="166"/>
      <c r="W819" s="166"/>
      <c r="X819" s="166"/>
      <c r="Y819" s="166"/>
      <c r="Z819" s="166"/>
      <c r="AA819" s="166"/>
      <c r="AB819" s="166"/>
      <c r="AC819" s="166"/>
      <c r="AD819" s="166"/>
      <c r="AE819" s="166"/>
      <c r="AF819" s="166"/>
      <c r="AG819" s="166"/>
      <c r="AH819" s="166"/>
      <c r="AI819" s="166"/>
    </row>
    <row r="820" spans="7:35" x14ac:dyDescent="0.25">
      <c r="G820" s="165"/>
      <c r="H820" s="166"/>
      <c r="I820" s="167"/>
      <c r="J820" s="167"/>
      <c r="K820" s="166"/>
      <c r="L820" s="166"/>
      <c r="M820" s="166"/>
      <c r="N820" s="166"/>
      <c r="O820" s="166"/>
      <c r="P820" s="166"/>
      <c r="Q820" s="166"/>
      <c r="R820" s="166"/>
      <c r="S820" s="166"/>
      <c r="T820" s="166"/>
      <c r="U820" s="166"/>
      <c r="V820" s="166"/>
      <c r="W820" s="166"/>
      <c r="X820" s="166"/>
      <c r="Y820" s="166"/>
      <c r="Z820" s="166"/>
      <c r="AA820" s="166"/>
      <c r="AB820" s="166"/>
      <c r="AC820" s="166"/>
      <c r="AD820" s="166"/>
      <c r="AE820" s="166"/>
      <c r="AF820" s="166"/>
      <c r="AG820" s="166"/>
      <c r="AH820" s="166"/>
      <c r="AI820" s="166"/>
    </row>
    <row r="821" spans="7:35" x14ac:dyDescent="0.25">
      <c r="G821" s="165"/>
      <c r="H821" s="166"/>
      <c r="I821" s="167"/>
      <c r="J821" s="167"/>
      <c r="K821" s="166"/>
      <c r="L821" s="166"/>
      <c r="M821" s="166"/>
      <c r="N821" s="166"/>
      <c r="O821" s="166"/>
      <c r="P821" s="166"/>
      <c r="Q821" s="166"/>
      <c r="R821" s="166"/>
      <c r="S821" s="166"/>
      <c r="T821" s="166"/>
      <c r="U821" s="166"/>
      <c r="V821" s="166"/>
      <c r="W821" s="166"/>
      <c r="X821" s="166"/>
      <c r="Y821" s="166"/>
      <c r="Z821" s="166"/>
      <c r="AA821" s="166"/>
      <c r="AB821" s="166"/>
      <c r="AC821" s="166"/>
      <c r="AD821" s="166"/>
      <c r="AE821" s="166"/>
      <c r="AF821" s="166"/>
      <c r="AG821" s="166"/>
      <c r="AH821" s="166"/>
      <c r="AI821" s="166"/>
    </row>
    <row r="822" spans="7:35" x14ac:dyDescent="0.25">
      <c r="G822" s="165"/>
      <c r="H822" s="166"/>
      <c r="I822" s="167"/>
      <c r="J822" s="167"/>
      <c r="K822" s="166"/>
      <c r="L822" s="166"/>
      <c r="M822" s="166"/>
      <c r="N822" s="166"/>
      <c r="O822" s="166"/>
      <c r="P822" s="166"/>
      <c r="Q822" s="166"/>
      <c r="R822" s="166"/>
      <c r="S822" s="166"/>
      <c r="T822" s="166"/>
      <c r="U822" s="166"/>
      <c r="V822" s="166"/>
      <c r="W822" s="166"/>
      <c r="X822" s="166"/>
      <c r="Y822" s="166"/>
      <c r="Z822" s="166"/>
      <c r="AA822" s="166"/>
      <c r="AB822" s="166"/>
      <c r="AC822" s="166"/>
      <c r="AD822" s="166"/>
      <c r="AE822" s="166"/>
      <c r="AF822" s="166"/>
      <c r="AG822" s="166"/>
      <c r="AH822" s="166"/>
      <c r="AI822" s="166"/>
    </row>
    <row r="823" spans="7:35" x14ac:dyDescent="0.25">
      <c r="G823" s="165"/>
      <c r="H823" s="166"/>
      <c r="I823" s="167"/>
      <c r="J823" s="167"/>
      <c r="K823" s="166"/>
      <c r="L823" s="166"/>
      <c r="M823" s="166"/>
      <c r="N823" s="166"/>
      <c r="O823" s="166"/>
      <c r="P823" s="166"/>
      <c r="Q823" s="166"/>
      <c r="R823" s="166"/>
      <c r="S823" s="166"/>
      <c r="T823" s="166"/>
      <c r="U823" s="166"/>
      <c r="V823" s="166"/>
      <c r="W823" s="166"/>
      <c r="X823" s="166"/>
      <c r="Y823" s="166"/>
      <c r="Z823" s="166"/>
      <c r="AA823" s="166"/>
      <c r="AB823" s="166"/>
      <c r="AC823" s="166"/>
      <c r="AD823" s="166"/>
      <c r="AE823" s="166"/>
      <c r="AF823" s="166"/>
      <c r="AG823" s="166"/>
      <c r="AH823" s="166"/>
      <c r="AI823" s="166"/>
    </row>
    <row r="824" spans="7:35" x14ac:dyDescent="0.25">
      <c r="G824" s="165"/>
      <c r="H824" s="166"/>
      <c r="I824" s="167"/>
      <c r="J824" s="167"/>
      <c r="K824" s="166"/>
      <c r="L824" s="166"/>
      <c r="M824" s="166"/>
      <c r="N824" s="166"/>
      <c r="O824" s="166"/>
      <c r="P824" s="166"/>
      <c r="Q824" s="166"/>
      <c r="R824" s="166"/>
      <c r="S824" s="166"/>
      <c r="T824" s="166"/>
      <c r="U824" s="166"/>
      <c r="V824" s="166"/>
      <c r="W824" s="166"/>
      <c r="X824" s="166"/>
      <c r="Y824" s="166"/>
      <c r="Z824" s="166"/>
      <c r="AA824" s="166"/>
      <c r="AB824" s="166"/>
      <c r="AC824" s="166"/>
      <c r="AD824" s="166"/>
      <c r="AE824" s="166"/>
      <c r="AF824" s="166"/>
      <c r="AG824" s="166"/>
      <c r="AH824" s="166"/>
      <c r="AI824" s="166"/>
    </row>
    <row r="825" spans="7:35" x14ac:dyDescent="0.25">
      <c r="G825" s="165"/>
      <c r="H825" s="166"/>
      <c r="I825" s="167"/>
      <c r="J825" s="167"/>
      <c r="K825" s="166"/>
      <c r="L825" s="166"/>
      <c r="M825" s="166"/>
      <c r="N825" s="166"/>
      <c r="O825" s="166"/>
      <c r="P825" s="166"/>
      <c r="Q825" s="166"/>
      <c r="R825" s="166"/>
      <c r="S825" s="166"/>
      <c r="T825" s="166"/>
      <c r="U825" s="166"/>
      <c r="V825" s="166"/>
      <c r="W825" s="166"/>
      <c r="X825" s="166"/>
      <c r="Y825" s="166"/>
      <c r="Z825" s="166"/>
      <c r="AA825" s="166"/>
      <c r="AB825" s="166"/>
      <c r="AC825" s="166"/>
      <c r="AD825" s="166"/>
      <c r="AE825" s="166"/>
      <c r="AF825" s="166"/>
      <c r="AG825" s="166"/>
      <c r="AH825" s="166"/>
      <c r="AI825" s="166"/>
    </row>
    <row r="826" spans="7:35" x14ac:dyDescent="0.25">
      <c r="G826" s="165"/>
      <c r="H826" s="166"/>
      <c r="I826" s="167"/>
      <c r="J826" s="167"/>
      <c r="K826" s="166"/>
      <c r="L826" s="166"/>
      <c r="M826" s="166"/>
      <c r="N826" s="166"/>
      <c r="O826" s="166"/>
      <c r="P826" s="166"/>
      <c r="Q826" s="166"/>
      <c r="R826" s="166"/>
      <c r="S826" s="166"/>
      <c r="T826" s="166"/>
      <c r="U826" s="166"/>
      <c r="V826" s="166"/>
      <c r="W826" s="166"/>
      <c r="X826" s="166"/>
      <c r="Y826" s="166"/>
      <c r="Z826" s="166"/>
      <c r="AA826" s="166"/>
      <c r="AB826" s="166"/>
      <c r="AC826" s="166"/>
      <c r="AD826" s="166"/>
      <c r="AE826" s="166"/>
      <c r="AF826" s="166"/>
      <c r="AG826" s="166"/>
      <c r="AH826" s="166"/>
      <c r="AI826" s="166"/>
    </row>
    <row r="827" spans="7:35" x14ac:dyDescent="0.25">
      <c r="G827" s="165"/>
      <c r="H827" s="166"/>
      <c r="I827" s="167"/>
      <c r="J827" s="167"/>
      <c r="K827" s="166"/>
      <c r="L827" s="166"/>
      <c r="M827" s="166"/>
      <c r="N827" s="166"/>
      <c r="O827" s="166"/>
      <c r="P827" s="166"/>
      <c r="Q827" s="166"/>
      <c r="R827" s="166"/>
      <c r="S827" s="166"/>
      <c r="T827" s="166"/>
      <c r="U827" s="166"/>
      <c r="V827" s="166"/>
      <c r="W827" s="166"/>
      <c r="X827" s="166"/>
      <c r="Y827" s="166"/>
      <c r="Z827" s="166"/>
      <c r="AA827" s="166"/>
      <c r="AB827" s="166"/>
      <c r="AC827" s="166"/>
      <c r="AD827" s="166"/>
      <c r="AE827" s="166"/>
      <c r="AF827" s="166"/>
      <c r="AG827" s="166"/>
      <c r="AH827" s="166"/>
      <c r="AI827" s="166"/>
    </row>
    <row r="828" spans="7:35" x14ac:dyDescent="0.25">
      <c r="G828" s="165"/>
      <c r="H828" s="166"/>
      <c r="I828" s="167"/>
      <c r="J828" s="167"/>
      <c r="K828" s="166"/>
      <c r="L828" s="166"/>
      <c r="M828" s="166"/>
      <c r="N828" s="166"/>
      <c r="O828" s="166"/>
      <c r="P828" s="166"/>
      <c r="Q828" s="166"/>
      <c r="R828" s="166"/>
      <c r="S828" s="166"/>
      <c r="T828" s="166"/>
      <c r="U828" s="166"/>
      <c r="V828" s="166"/>
      <c r="W828" s="166"/>
      <c r="X828" s="166"/>
      <c r="Y828" s="166"/>
      <c r="Z828" s="166"/>
      <c r="AA828" s="166"/>
      <c r="AB828" s="166"/>
      <c r="AC828" s="166"/>
      <c r="AD828" s="166"/>
      <c r="AE828" s="166"/>
      <c r="AF828" s="166"/>
      <c r="AG828" s="166"/>
      <c r="AH828" s="166"/>
      <c r="AI828" s="166"/>
    </row>
    <row r="829" spans="7:35" x14ac:dyDescent="0.25">
      <c r="G829" s="165"/>
      <c r="H829" s="166"/>
      <c r="I829" s="167"/>
      <c r="J829" s="167"/>
      <c r="K829" s="166"/>
      <c r="L829" s="166"/>
      <c r="M829" s="166"/>
      <c r="N829" s="166"/>
      <c r="O829" s="166"/>
      <c r="P829" s="166"/>
      <c r="Q829" s="166"/>
      <c r="R829" s="166"/>
      <c r="S829" s="166"/>
      <c r="T829" s="166"/>
      <c r="U829" s="166"/>
      <c r="V829" s="166"/>
      <c r="W829" s="166"/>
      <c r="X829" s="166"/>
      <c r="Y829" s="166"/>
      <c r="Z829" s="166"/>
      <c r="AA829" s="166"/>
      <c r="AB829" s="166"/>
      <c r="AC829" s="166"/>
      <c r="AD829" s="166"/>
      <c r="AE829" s="166"/>
      <c r="AF829" s="166"/>
      <c r="AG829" s="166"/>
      <c r="AH829" s="166"/>
      <c r="AI829" s="166"/>
    </row>
    <row r="830" spans="7:35" x14ac:dyDescent="0.25">
      <c r="G830" s="165"/>
      <c r="H830" s="166"/>
      <c r="I830" s="167"/>
      <c r="J830" s="167"/>
      <c r="K830" s="166"/>
      <c r="L830" s="166"/>
      <c r="M830" s="166"/>
      <c r="N830" s="166"/>
      <c r="O830" s="166"/>
      <c r="P830" s="166"/>
      <c r="Q830" s="166"/>
      <c r="R830" s="166"/>
      <c r="S830" s="166"/>
      <c r="T830" s="166"/>
      <c r="U830" s="166"/>
      <c r="V830" s="166"/>
      <c r="W830" s="166"/>
      <c r="X830" s="166"/>
      <c r="Y830" s="166"/>
      <c r="Z830" s="166"/>
      <c r="AA830" s="166"/>
      <c r="AB830" s="166"/>
      <c r="AC830" s="166"/>
      <c r="AD830" s="166"/>
      <c r="AE830" s="166"/>
      <c r="AF830" s="166"/>
      <c r="AG830" s="166"/>
      <c r="AH830" s="166"/>
      <c r="AI830" s="166"/>
    </row>
    <row r="831" spans="7:35" x14ac:dyDescent="0.25">
      <c r="G831" s="165"/>
      <c r="H831" s="166"/>
      <c r="I831" s="167"/>
      <c r="J831" s="167"/>
      <c r="K831" s="166"/>
      <c r="L831" s="166"/>
      <c r="M831" s="166"/>
      <c r="N831" s="166"/>
      <c r="O831" s="166"/>
      <c r="P831" s="166"/>
      <c r="Q831" s="166"/>
      <c r="R831" s="166"/>
      <c r="S831" s="166"/>
      <c r="T831" s="166"/>
      <c r="U831" s="166"/>
      <c r="V831" s="166"/>
      <c r="W831" s="166"/>
      <c r="X831" s="166"/>
      <c r="Y831" s="166"/>
      <c r="Z831" s="166"/>
      <c r="AA831" s="166"/>
      <c r="AB831" s="166"/>
      <c r="AC831" s="166"/>
      <c r="AD831" s="166"/>
      <c r="AE831" s="166"/>
      <c r="AF831" s="166"/>
      <c r="AG831" s="166"/>
      <c r="AH831" s="166"/>
      <c r="AI831" s="166"/>
    </row>
    <row r="832" spans="7:35" x14ac:dyDescent="0.25">
      <c r="G832" s="165"/>
      <c r="H832" s="166"/>
      <c r="I832" s="167"/>
      <c r="J832" s="167"/>
      <c r="K832" s="166"/>
      <c r="L832" s="166"/>
      <c r="M832" s="166"/>
      <c r="N832" s="166"/>
      <c r="O832" s="166"/>
      <c r="P832" s="166"/>
      <c r="Q832" s="166"/>
      <c r="R832" s="166"/>
      <c r="S832" s="166"/>
      <c r="T832" s="166"/>
      <c r="U832" s="166"/>
      <c r="V832" s="166"/>
      <c r="W832" s="166"/>
      <c r="X832" s="166"/>
      <c r="Y832" s="166"/>
      <c r="Z832" s="166"/>
      <c r="AA832" s="166"/>
      <c r="AB832" s="166"/>
      <c r="AC832" s="166"/>
      <c r="AD832" s="166"/>
      <c r="AE832" s="166"/>
      <c r="AF832" s="166"/>
      <c r="AG832" s="166"/>
      <c r="AH832" s="166"/>
      <c r="AI832" s="166"/>
    </row>
    <row r="833" spans="7:35" x14ac:dyDescent="0.25">
      <c r="G833" s="165"/>
      <c r="H833" s="166"/>
      <c r="I833" s="167"/>
      <c r="J833" s="167"/>
      <c r="K833" s="166"/>
      <c r="L833" s="166"/>
      <c r="M833" s="166"/>
      <c r="N833" s="166"/>
      <c r="O833" s="166"/>
      <c r="P833" s="166"/>
      <c r="Q833" s="166"/>
      <c r="R833" s="166"/>
      <c r="S833" s="166"/>
      <c r="T833" s="166"/>
      <c r="U833" s="166"/>
      <c r="V833" s="166"/>
      <c r="W833" s="166"/>
      <c r="X833" s="166"/>
      <c r="Y833" s="166"/>
      <c r="Z833" s="166"/>
      <c r="AA833" s="166"/>
      <c r="AB833" s="166"/>
      <c r="AC833" s="166"/>
      <c r="AD833" s="166"/>
      <c r="AE833" s="166"/>
      <c r="AF833" s="166"/>
      <c r="AG833" s="166"/>
      <c r="AH833" s="166"/>
      <c r="AI833" s="166"/>
    </row>
    <row r="834" spans="7:35" x14ac:dyDescent="0.25">
      <c r="G834" s="165"/>
      <c r="H834" s="166"/>
      <c r="I834" s="167"/>
      <c r="J834" s="167"/>
      <c r="K834" s="166"/>
      <c r="L834" s="166"/>
      <c r="M834" s="166"/>
      <c r="N834" s="166"/>
      <c r="O834" s="166"/>
      <c r="P834" s="166"/>
      <c r="Q834" s="166"/>
      <c r="R834" s="166"/>
      <c r="S834" s="166"/>
      <c r="T834" s="166"/>
      <c r="U834" s="166"/>
      <c r="V834" s="166"/>
      <c r="W834" s="166"/>
      <c r="X834" s="166"/>
      <c r="Y834" s="166"/>
      <c r="Z834" s="166"/>
      <c r="AA834" s="166"/>
      <c r="AB834" s="166"/>
      <c r="AC834" s="166"/>
      <c r="AD834" s="166"/>
      <c r="AE834" s="166"/>
      <c r="AF834" s="166"/>
      <c r="AG834" s="166"/>
      <c r="AH834" s="166"/>
      <c r="AI834" s="166"/>
    </row>
    <row r="835" spans="7:35" x14ac:dyDescent="0.25">
      <c r="G835" s="165"/>
      <c r="H835" s="166"/>
      <c r="I835" s="167"/>
      <c r="J835" s="167"/>
      <c r="K835" s="166"/>
      <c r="L835" s="166"/>
      <c r="M835" s="166"/>
      <c r="N835" s="166"/>
      <c r="O835" s="166"/>
      <c r="P835" s="166"/>
      <c r="Q835" s="166"/>
      <c r="R835" s="166"/>
      <c r="S835" s="166"/>
      <c r="T835" s="166"/>
      <c r="U835" s="166"/>
      <c r="V835" s="166"/>
      <c r="W835" s="166"/>
      <c r="X835" s="166"/>
      <c r="Y835" s="166"/>
      <c r="Z835" s="166"/>
      <c r="AA835" s="166"/>
      <c r="AB835" s="166"/>
      <c r="AC835" s="166"/>
      <c r="AD835" s="166"/>
      <c r="AE835" s="166"/>
      <c r="AF835" s="166"/>
      <c r="AG835" s="166"/>
      <c r="AH835" s="166"/>
      <c r="AI835" s="166"/>
    </row>
    <row r="836" spans="7:35" x14ac:dyDescent="0.25">
      <c r="G836" s="165"/>
      <c r="H836" s="166"/>
      <c r="I836" s="167"/>
      <c r="J836" s="167"/>
      <c r="K836" s="166"/>
      <c r="L836" s="166"/>
      <c r="M836" s="166"/>
      <c r="N836" s="166"/>
      <c r="O836" s="166"/>
      <c r="P836" s="166"/>
      <c r="Q836" s="166"/>
      <c r="R836" s="166"/>
      <c r="S836" s="166"/>
      <c r="T836" s="166"/>
      <c r="U836" s="166"/>
      <c r="V836" s="166"/>
      <c r="W836" s="166"/>
      <c r="X836" s="166"/>
      <c r="Y836" s="166"/>
      <c r="Z836" s="166"/>
      <c r="AA836" s="166"/>
      <c r="AB836" s="166"/>
      <c r="AC836" s="166"/>
      <c r="AD836" s="166"/>
      <c r="AE836" s="166"/>
      <c r="AF836" s="166"/>
      <c r="AG836" s="166"/>
      <c r="AH836" s="166"/>
      <c r="AI836" s="166"/>
    </row>
    <row r="837" spans="7:35" x14ac:dyDescent="0.25">
      <c r="G837" s="165"/>
      <c r="H837" s="166"/>
      <c r="I837" s="167"/>
      <c r="J837" s="167"/>
      <c r="K837" s="166"/>
      <c r="L837" s="166"/>
      <c r="M837" s="166"/>
      <c r="N837" s="166"/>
      <c r="O837" s="166"/>
      <c r="P837" s="166"/>
      <c r="Q837" s="166"/>
      <c r="R837" s="166"/>
      <c r="S837" s="166"/>
      <c r="T837" s="166"/>
      <c r="U837" s="166"/>
      <c r="V837" s="166"/>
      <c r="W837" s="166"/>
      <c r="X837" s="166"/>
      <c r="Y837" s="166"/>
      <c r="Z837" s="166"/>
      <c r="AA837" s="166"/>
      <c r="AB837" s="166"/>
      <c r="AC837" s="166"/>
      <c r="AD837" s="166"/>
      <c r="AE837" s="166"/>
      <c r="AF837" s="166"/>
      <c r="AG837" s="166"/>
      <c r="AH837" s="166"/>
      <c r="AI837" s="166"/>
    </row>
    <row r="838" spans="7:35" x14ac:dyDescent="0.25">
      <c r="G838" s="165"/>
      <c r="H838" s="166"/>
      <c r="I838" s="167"/>
      <c r="J838" s="167"/>
      <c r="K838" s="166"/>
      <c r="L838" s="166"/>
      <c r="M838" s="166"/>
      <c r="N838" s="166"/>
      <c r="O838" s="166"/>
      <c r="P838" s="166"/>
      <c r="Q838" s="166"/>
      <c r="R838" s="166"/>
      <c r="S838" s="166"/>
      <c r="T838" s="166"/>
      <c r="U838" s="166"/>
      <c r="V838" s="166"/>
      <c r="W838" s="166"/>
      <c r="X838" s="166"/>
      <c r="Y838" s="166"/>
      <c r="Z838" s="166"/>
      <c r="AA838" s="166"/>
      <c r="AB838" s="166"/>
      <c r="AC838" s="166"/>
      <c r="AD838" s="166"/>
      <c r="AE838" s="166"/>
      <c r="AF838" s="166"/>
      <c r="AG838" s="166"/>
      <c r="AH838" s="166"/>
      <c r="AI838" s="166"/>
    </row>
    <row r="839" spans="7:35" x14ac:dyDescent="0.25">
      <c r="G839" s="165"/>
      <c r="H839" s="166"/>
      <c r="I839" s="167"/>
      <c r="J839" s="167"/>
      <c r="K839" s="166"/>
      <c r="L839" s="166"/>
      <c r="M839" s="166"/>
      <c r="N839" s="166"/>
      <c r="O839" s="166"/>
      <c r="P839" s="166"/>
      <c r="Q839" s="166"/>
      <c r="R839" s="166"/>
      <c r="S839" s="166"/>
      <c r="T839" s="166"/>
      <c r="U839" s="166"/>
      <c r="V839" s="166"/>
      <c r="W839" s="166"/>
      <c r="X839" s="166"/>
      <c r="Y839" s="166"/>
      <c r="Z839" s="166"/>
      <c r="AA839" s="166"/>
      <c r="AB839" s="166"/>
      <c r="AC839" s="166"/>
      <c r="AD839" s="166"/>
      <c r="AE839" s="166"/>
      <c r="AF839" s="166"/>
      <c r="AG839" s="166"/>
      <c r="AH839" s="166"/>
      <c r="AI839" s="166"/>
    </row>
    <row r="840" spans="7:35" x14ac:dyDescent="0.25">
      <c r="G840" s="165"/>
      <c r="H840" s="166"/>
      <c r="I840" s="167"/>
      <c r="J840" s="167"/>
      <c r="K840" s="166"/>
      <c r="L840" s="166"/>
      <c r="M840" s="166"/>
      <c r="N840" s="166"/>
      <c r="O840" s="166"/>
      <c r="P840" s="166"/>
      <c r="Q840" s="166"/>
      <c r="R840" s="166"/>
      <c r="S840" s="166"/>
      <c r="T840" s="166"/>
      <c r="U840" s="166"/>
      <c r="V840" s="166"/>
      <c r="W840" s="166"/>
      <c r="X840" s="166"/>
      <c r="Y840" s="166"/>
      <c r="Z840" s="166"/>
      <c r="AA840" s="166"/>
      <c r="AB840" s="166"/>
      <c r="AC840" s="166"/>
      <c r="AD840" s="166"/>
      <c r="AE840" s="166"/>
      <c r="AF840" s="166"/>
      <c r="AG840" s="166"/>
      <c r="AH840" s="166"/>
      <c r="AI840" s="166"/>
    </row>
    <row r="841" spans="7:35" x14ac:dyDescent="0.25">
      <c r="G841" s="165"/>
      <c r="H841" s="166"/>
      <c r="I841" s="167"/>
      <c r="J841" s="167"/>
      <c r="K841" s="166"/>
      <c r="L841" s="166"/>
      <c r="M841" s="166"/>
      <c r="N841" s="166"/>
      <c r="O841" s="166"/>
      <c r="P841" s="166"/>
      <c r="Q841" s="166"/>
      <c r="R841" s="166"/>
      <c r="S841" s="166"/>
      <c r="T841" s="166"/>
      <c r="U841" s="166"/>
      <c r="V841" s="166"/>
      <c r="W841" s="166"/>
      <c r="X841" s="166"/>
      <c r="Y841" s="166"/>
      <c r="Z841" s="166"/>
      <c r="AA841" s="166"/>
      <c r="AB841" s="166"/>
      <c r="AC841" s="166"/>
      <c r="AD841" s="166"/>
      <c r="AE841" s="166"/>
      <c r="AF841" s="166"/>
      <c r="AG841" s="166"/>
      <c r="AH841" s="166"/>
      <c r="AI841" s="166"/>
    </row>
    <row r="842" spans="7:35" x14ac:dyDescent="0.25">
      <c r="G842" s="165"/>
      <c r="H842" s="166"/>
      <c r="I842" s="167"/>
      <c r="J842" s="167"/>
      <c r="K842" s="166"/>
      <c r="L842" s="166"/>
      <c r="M842" s="166"/>
      <c r="N842" s="166"/>
      <c r="O842" s="166"/>
      <c r="P842" s="166"/>
      <c r="Q842" s="166"/>
      <c r="R842" s="166"/>
      <c r="S842" s="166"/>
      <c r="T842" s="166"/>
      <c r="U842" s="166"/>
      <c r="V842" s="166"/>
      <c r="W842" s="166"/>
      <c r="X842" s="166"/>
      <c r="Y842" s="166"/>
      <c r="Z842" s="166"/>
      <c r="AA842" s="166"/>
      <c r="AB842" s="166"/>
      <c r="AC842" s="166"/>
      <c r="AD842" s="166"/>
      <c r="AE842" s="166"/>
      <c r="AF842" s="166"/>
      <c r="AG842" s="166"/>
      <c r="AH842" s="166"/>
      <c r="AI842" s="166"/>
    </row>
    <row r="843" spans="7:35" x14ac:dyDescent="0.25">
      <c r="G843" s="165"/>
      <c r="H843" s="166"/>
      <c r="I843" s="167"/>
      <c r="J843" s="167"/>
      <c r="K843" s="166"/>
      <c r="L843" s="166"/>
      <c r="M843" s="166"/>
      <c r="N843" s="166"/>
      <c r="O843" s="166"/>
      <c r="P843" s="166"/>
      <c r="Q843" s="166"/>
      <c r="R843" s="166"/>
      <c r="S843" s="166"/>
      <c r="T843" s="166"/>
      <c r="U843" s="166"/>
      <c r="V843" s="166"/>
      <c r="W843" s="166"/>
      <c r="X843" s="166"/>
      <c r="Y843" s="166"/>
      <c r="Z843" s="166"/>
      <c r="AA843" s="166"/>
      <c r="AB843" s="166"/>
      <c r="AC843" s="166"/>
      <c r="AD843" s="166"/>
      <c r="AE843" s="166"/>
      <c r="AF843" s="166"/>
      <c r="AG843" s="166"/>
      <c r="AH843" s="166"/>
      <c r="AI843" s="166"/>
    </row>
    <row r="844" spans="7:35" x14ac:dyDescent="0.25">
      <c r="G844" s="165"/>
      <c r="H844" s="166"/>
      <c r="I844" s="167"/>
      <c r="J844" s="167"/>
      <c r="K844" s="166"/>
      <c r="L844" s="166"/>
      <c r="M844" s="166"/>
      <c r="N844" s="166"/>
      <c r="O844" s="166"/>
      <c r="P844" s="166"/>
      <c r="Q844" s="166"/>
      <c r="R844" s="166"/>
      <c r="S844" s="166"/>
      <c r="T844" s="166"/>
      <c r="U844" s="166"/>
      <c r="V844" s="166"/>
      <c r="W844" s="166"/>
      <c r="X844" s="166"/>
      <c r="Y844" s="166"/>
      <c r="Z844" s="166"/>
      <c r="AA844" s="166"/>
      <c r="AB844" s="166"/>
      <c r="AC844" s="166"/>
      <c r="AD844" s="166"/>
      <c r="AE844" s="166"/>
      <c r="AF844" s="166"/>
      <c r="AG844" s="166"/>
      <c r="AH844" s="166"/>
      <c r="AI844" s="166"/>
    </row>
    <row r="845" spans="7:35" x14ac:dyDescent="0.25">
      <c r="G845" s="165"/>
      <c r="H845" s="166"/>
      <c r="I845" s="167"/>
      <c r="J845" s="167"/>
      <c r="K845" s="166"/>
      <c r="L845" s="166"/>
      <c r="M845" s="166"/>
      <c r="N845" s="166"/>
      <c r="O845" s="166"/>
      <c r="P845" s="166"/>
      <c r="Q845" s="166"/>
      <c r="R845" s="166"/>
      <c r="S845" s="166"/>
      <c r="T845" s="166"/>
      <c r="U845" s="166"/>
      <c r="V845" s="166"/>
      <c r="W845" s="166"/>
      <c r="X845" s="166"/>
      <c r="Y845" s="166"/>
      <c r="Z845" s="166"/>
      <c r="AA845" s="166"/>
      <c r="AB845" s="166"/>
      <c r="AC845" s="166"/>
      <c r="AD845" s="166"/>
      <c r="AE845" s="166"/>
      <c r="AF845" s="166"/>
      <c r="AG845" s="166"/>
      <c r="AH845" s="166"/>
      <c r="AI845" s="166"/>
    </row>
    <row r="846" spans="7:35" x14ac:dyDescent="0.25">
      <c r="G846" s="165"/>
      <c r="H846" s="166"/>
      <c r="I846" s="167"/>
      <c r="J846" s="167"/>
      <c r="K846" s="166"/>
      <c r="L846" s="166"/>
      <c r="M846" s="166"/>
      <c r="N846" s="166"/>
      <c r="O846" s="166"/>
      <c r="P846" s="166"/>
      <c r="Q846" s="166"/>
      <c r="R846" s="166"/>
      <c r="S846" s="166"/>
      <c r="T846" s="166"/>
      <c r="U846" s="166"/>
      <c r="V846" s="166"/>
      <c r="W846" s="166"/>
      <c r="X846" s="166"/>
      <c r="Y846" s="166"/>
      <c r="Z846" s="166"/>
      <c r="AA846" s="166"/>
      <c r="AB846" s="166"/>
      <c r="AC846" s="166"/>
      <c r="AD846" s="166"/>
      <c r="AE846" s="166"/>
      <c r="AF846" s="166"/>
      <c r="AG846" s="166"/>
      <c r="AH846" s="166"/>
      <c r="AI846" s="166"/>
    </row>
    <row r="847" spans="7:35" x14ac:dyDescent="0.25">
      <c r="G847" s="165"/>
      <c r="H847" s="166"/>
      <c r="I847" s="167"/>
      <c r="J847" s="167"/>
      <c r="K847" s="166"/>
      <c r="L847" s="166"/>
      <c r="M847" s="166"/>
      <c r="N847" s="166"/>
      <c r="O847" s="166"/>
      <c r="P847" s="166"/>
      <c r="Q847" s="166"/>
      <c r="R847" s="166"/>
      <c r="S847" s="166"/>
      <c r="T847" s="166"/>
      <c r="U847" s="166"/>
      <c r="V847" s="166"/>
      <c r="W847" s="166"/>
      <c r="X847" s="166"/>
      <c r="Y847" s="166"/>
      <c r="Z847" s="166"/>
      <c r="AA847" s="166"/>
      <c r="AB847" s="166"/>
      <c r="AC847" s="166"/>
      <c r="AD847" s="166"/>
      <c r="AE847" s="166"/>
      <c r="AF847" s="166"/>
      <c r="AG847" s="166"/>
      <c r="AH847" s="166"/>
      <c r="AI847" s="166"/>
    </row>
    <row r="848" spans="7:35" x14ac:dyDescent="0.25">
      <c r="G848" s="165"/>
      <c r="H848" s="166"/>
      <c r="I848" s="167"/>
      <c r="J848" s="167"/>
      <c r="K848" s="166"/>
      <c r="L848" s="166"/>
      <c r="M848" s="166"/>
      <c r="N848" s="166"/>
      <c r="O848" s="166"/>
      <c r="P848" s="166"/>
      <c r="Q848" s="166"/>
      <c r="R848" s="166"/>
      <c r="S848" s="166"/>
      <c r="T848" s="166"/>
      <c r="U848" s="166"/>
      <c r="V848" s="166"/>
      <c r="W848" s="166"/>
      <c r="X848" s="166"/>
      <c r="Y848" s="166"/>
      <c r="Z848" s="166"/>
      <c r="AA848" s="166"/>
      <c r="AB848" s="166"/>
      <c r="AC848" s="166"/>
      <c r="AD848" s="166"/>
      <c r="AE848" s="166"/>
      <c r="AF848" s="166"/>
      <c r="AG848" s="166"/>
      <c r="AH848" s="166"/>
      <c r="AI848" s="166"/>
    </row>
    <row r="849" spans="7:35" x14ac:dyDescent="0.25">
      <c r="G849" s="165"/>
      <c r="H849" s="166"/>
      <c r="I849" s="167"/>
      <c r="J849" s="167"/>
      <c r="K849" s="166"/>
      <c r="L849" s="166"/>
      <c r="M849" s="166"/>
      <c r="N849" s="166"/>
      <c r="O849" s="166"/>
      <c r="P849" s="166"/>
      <c r="Q849" s="166"/>
      <c r="R849" s="166"/>
      <c r="S849" s="166"/>
      <c r="T849" s="166"/>
      <c r="U849" s="166"/>
      <c r="V849" s="166"/>
      <c r="W849" s="166"/>
      <c r="X849" s="166"/>
      <c r="Y849" s="166"/>
      <c r="Z849" s="166"/>
      <c r="AA849" s="166"/>
      <c r="AB849" s="166"/>
      <c r="AC849" s="166"/>
      <c r="AD849" s="166"/>
      <c r="AE849" s="166"/>
      <c r="AF849" s="166"/>
      <c r="AG849" s="166"/>
      <c r="AH849" s="166"/>
      <c r="AI849" s="166"/>
    </row>
    <row r="850" spans="7:35" x14ac:dyDescent="0.25">
      <c r="G850" s="165"/>
      <c r="H850" s="166"/>
      <c r="I850" s="167"/>
      <c r="J850" s="167"/>
      <c r="K850" s="166"/>
      <c r="L850" s="166"/>
      <c r="M850" s="166"/>
      <c r="N850" s="166"/>
      <c r="O850" s="166"/>
      <c r="P850" s="166"/>
      <c r="Q850" s="166"/>
      <c r="R850" s="166"/>
      <c r="S850" s="166"/>
      <c r="T850" s="166"/>
      <c r="U850" s="166"/>
      <c r="V850" s="166"/>
      <c r="W850" s="166"/>
      <c r="X850" s="166"/>
      <c r="Y850" s="166"/>
      <c r="Z850" s="166"/>
      <c r="AA850" s="166"/>
      <c r="AB850" s="166"/>
      <c r="AC850" s="166"/>
      <c r="AD850" s="166"/>
      <c r="AE850" s="166"/>
      <c r="AF850" s="166"/>
      <c r="AG850" s="166"/>
      <c r="AH850" s="166"/>
      <c r="AI850" s="166"/>
    </row>
    <row r="851" spans="7:35" x14ac:dyDescent="0.25">
      <c r="G851" s="165"/>
      <c r="H851" s="166"/>
      <c r="I851" s="167"/>
      <c r="J851" s="167"/>
      <c r="K851" s="166"/>
      <c r="L851" s="166"/>
      <c r="M851" s="166"/>
      <c r="N851" s="166"/>
      <c r="O851" s="166"/>
      <c r="P851" s="166"/>
      <c r="Q851" s="166"/>
      <c r="R851" s="166"/>
      <c r="S851" s="166"/>
      <c r="T851" s="166"/>
      <c r="U851" s="166"/>
      <c r="V851" s="166"/>
      <c r="W851" s="166"/>
      <c r="X851" s="166"/>
      <c r="Y851" s="166"/>
      <c r="Z851" s="166"/>
      <c r="AA851" s="166"/>
      <c r="AB851" s="166"/>
      <c r="AC851" s="166"/>
      <c r="AD851" s="166"/>
      <c r="AE851" s="166"/>
      <c r="AF851" s="166"/>
      <c r="AG851" s="166"/>
      <c r="AH851" s="166"/>
      <c r="AI851" s="166"/>
    </row>
    <row r="852" spans="7:35" x14ac:dyDescent="0.25">
      <c r="G852" s="165"/>
      <c r="H852" s="166"/>
      <c r="I852" s="167"/>
      <c r="J852" s="167"/>
      <c r="K852" s="166"/>
      <c r="L852" s="166"/>
      <c r="M852" s="166"/>
      <c r="N852" s="166"/>
      <c r="O852" s="166"/>
      <c r="P852" s="166"/>
      <c r="Q852" s="166"/>
      <c r="R852" s="166"/>
      <c r="S852" s="166"/>
      <c r="T852" s="166"/>
      <c r="U852" s="166"/>
      <c r="V852" s="166"/>
      <c r="W852" s="166"/>
      <c r="X852" s="166"/>
      <c r="Y852" s="166"/>
      <c r="Z852" s="166"/>
      <c r="AA852" s="166"/>
      <c r="AB852" s="166"/>
      <c r="AC852" s="166"/>
      <c r="AD852" s="166"/>
      <c r="AE852" s="166"/>
      <c r="AF852" s="166"/>
      <c r="AG852" s="166"/>
      <c r="AH852" s="166"/>
      <c r="AI852" s="166"/>
    </row>
    <row r="853" spans="7:35" x14ac:dyDescent="0.25">
      <c r="G853" s="165"/>
      <c r="H853" s="166"/>
      <c r="I853" s="167"/>
      <c r="J853" s="167"/>
      <c r="K853" s="166"/>
      <c r="L853" s="166"/>
      <c r="M853" s="166"/>
      <c r="N853" s="166"/>
      <c r="O853" s="166"/>
      <c r="P853" s="166"/>
      <c r="Q853" s="166"/>
      <c r="R853" s="166"/>
      <c r="S853" s="166"/>
      <c r="T853" s="166"/>
      <c r="U853" s="166"/>
      <c r="V853" s="166"/>
      <c r="W853" s="166"/>
      <c r="X853" s="166"/>
      <c r="Y853" s="166"/>
      <c r="Z853" s="166"/>
      <c r="AA853" s="166"/>
      <c r="AB853" s="166"/>
      <c r="AC853" s="166"/>
      <c r="AD853" s="166"/>
      <c r="AE853" s="166"/>
      <c r="AF853" s="166"/>
      <c r="AG853" s="166"/>
      <c r="AH853" s="166"/>
      <c r="AI853" s="166"/>
    </row>
    <row r="854" spans="7:35" x14ac:dyDescent="0.25">
      <c r="G854" s="165"/>
      <c r="H854" s="166"/>
      <c r="I854" s="167"/>
      <c r="J854" s="167"/>
      <c r="K854" s="166"/>
      <c r="L854" s="166"/>
      <c r="M854" s="166"/>
      <c r="N854" s="166"/>
      <c r="O854" s="166"/>
      <c r="P854" s="166"/>
      <c r="Q854" s="166"/>
      <c r="R854" s="166"/>
      <c r="S854" s="166"/>
      <c r="T854" s="166"/>
      <c r="U854" s="166"/>
      <c r="V854" s="166"/>
      <c r="W854" s="166"/>
      <c r="X854" s="166"/>
      <c r="Y854" s="166"/>
      <c r="Z854" s="166"/>
      <c r="AA854" s="166"/>
      <c r="AB854" s="166"/>
      <c r="AC854" s="166"/>
      <c r="AD854" s="166"/>
      <c r="AE854" s="166"/>
      <c r="AF854" s="166"/>
      <c r="AG854" s="166"/>
      <c r="AH854" s="166"/>
      <c r="AI854" s="166"/>
    </row>
    <row r="855" spans="7:35" x14ac:dyDescent="0.25">
      <c r="G855" s="165"/>
      <c r="H855" s="166"/>
      <c r="I855" s="167"/>
      <c r="J855" s="167"/>
      <c r="K855" s="166"/>
      <c r="L855" s="166"/>
      <c r="M855" s="166"/>
      <c r="N855" s="166"/>
      <c r="O855" s="166"/>
      <c r="P855" s="166"/>
      <c r="Q855" s="166"/>
      <c r="R855" s="166"/>
      <c r="S855" s="166"/>
      <c r="T855" s="166"/>
      <c r="U855" s="166"/>
      <c r="V855" s="166"/>
      <c r="W855" s="166"/>
      <c r="X855" s="166"/>
      <c r="Y855" s="166"/>
      <c r="Z855" s="166"/>
      <c r="AA855" s="166"/>
      <c r="AB855" s="166"/>
      <c r="AC855" s="166"/>
      <c r="AD855" s="166"/>
      <c r="AE855" s="166"/>
      <c r="AF855" s="166"/>
      <c r="AG855" s="166"/>
      <c r="AH855" s="166"/>
      <c r="AI855" s="166"/>
    </row>
    <row r="856" spans="7:35" x14ac:dyDescent="0.25">
      <c r="G856" s="165"/>
      <c r="H856" s="166"/>
      <c r="I856" s="167"/>
      <c r="J856" s="167"/>
      <c r="K856" s="166"/>
      <c r="L856" s="166"/>
      <c r="M856" s="166"/>
      <c r="N856" s="166"/>
      <c r="O856" s="166"/>
      <c r="P856" s="166"/>
      <c r="Q856" s="166"/>
      <c r="R856" s="166"/>
      <c r="S856" s="166"/>
      <c r="T856" s="166"/>
      <c r="U856" s="166"/>
      <c r="V856" s="166"/>
      <c r="W856" s="166"/>
      <c r="X856" s="166"/>
      <c r="Y856" s="166"/>
      <c r="Z856" s="166"/>
      <c r="AA856" s="166"/>
      <c r="AB856" s="166"/>
      <c r="AC856" s="166"/>
      <c r="AD856" s="166"/>
      <c r="AE856" s="166"/>
      <c r="AF856" s="166"/>
      <c r="AG856" s="166"/>
      <c r="AH856" s="166"/>
      <c r="AI856" s="166"/>
    </row>
    <row r="857" spans="7:35" x14ac:dyDescent="0.25">
      <c r="G857" s="165"/>
      <c r="H857" s="166"/>
      <c r="I857" s="167"/>
      <c r="J857" s="167"/>
      <c r="K857" s="166"/>
      <c r="L857" s="166"/>
      <c r="M857" s="166"/>
      <c r="N857" s="166"/>
      <c r="O857" s="166"/>
      <c r="P857" s="166"/>
      <c r="Q857" s="166"/>
      <c r="R857" s="166"/>
      <c r="S857" s="166"/>
      <c r="T857" s="166"/>
      <c r="U857" s="166"/>
      <c r="V857" s="166"/>
      <c r="W857" s="166"/>
      <c r="X857" s="166"/>
      <c r="Y857" s="166"/>
      <c r="Z857" s="166"/>
      <c r="AA857" s="166"/>
      <c r="AB857" s="166"/>
      <c r="AC857" s="166"/>
      <c r="AD857" s="166"/>
      <c r="AE857" s="166"/>
      <c r="AF857" s="166"/>
      <c r="AG857" s="166"/>
      <c r="AH857" s="166"/>
      <c r="AI857" s="166"/>
    </row>
    <row r="858" spans="7:35" x14ac:dyDescent="0.25">
      <c r="G858" s="165"/>
      <c r="H858" s="166"/>
      <c r="I858" s="167"/>
      <c r="J858" s="167"/>
      <c r="K858" s="166"/>
      <c r="L858" s="166"/>
      <c r="M858" s="166"/>
      <c r="N858" s="166"/>
      <c r="O858" s="166"/>
      <c r="P858" s="166"/>
      <c r="Q858" s="166"/>
      <c r="R858" s="166"/>
      <c r="S858" s="166"/>
      <c r="T858" s="166"/>
      <c r="U858" s="166"/>
      <c r="V858" s="166"/>
      <c r="W858" s="166"/>
      <c r="X858" s="166"/>
      <c r="Y858" s="166"/>
      <c r="Z858" s="166"/>
      <c r="AA858" s="166"/>
      <c r="AB858" s="166"/>
      <c r="AC858" s="166"/>
      <c r="AD858" s="166"/>
      <c r="AE858" s="166"/>
      <c r="AF858" s="166"/>
      <c r="AG858" s="166"/>
      <c r="AH858" s="166"/>
      <c r="AI858" s="166"/>
    </row>
    <row r="859" spans="7:35" x14ac:dyDescent="0.25">
      <c r="G859" s="165"/>
      <c r="H859" s="166"/>
      <c r="I859" s="167"/>
      <c r="J859" s="167"/>
      <c r="K859" s="166"/>
      <c r="L859" s="166"/>
      <c r="M859" s="166"/>
      <c r="N859" s="166"/>
      <c r="O859" s="166"/>
      <c r="P859" s="166"/>
      <c r="Q859" s="166"/>
      <c r="R859" s="166"/>
      <c r="S859" s="166"/>
      <c r="T859" s="166"/>
      <c r="U859" s="166"/>
      <c r="V859" s="166"/>
      <c r="W859" s="166"/>
      <c r="X859" s="166"/>
      <c r="Y859" s="166"/>
      <c r="Z859" s="166"/>
      <c r="AA859" s="166"/>
      <c r="AB859" s="166"/>
      <c r="AC859" s="166"/>
      <c r="AD859" s="166"/>
      <c r="AE859" s="166"/>
      <c r="AF859" s="166"/>
      <c r="AG859" s="166"/>
      <c r="AH859" s="166"/>
      <c r="AI859" s="166"/>
    </row>
    <row r="860" spans="7:35" x14ac:dyDescent="0.25">
      <c r="G860" s="165"/>
      <c r="H860" s="166"/>
      <c r="I860" s="167"/>
      <c r="J860" s="167"/>
      <c r="K860" s="166"/>
      <c r="L860" s="166"/>
      <c r="M860" s="166"/>
      <c r="N860" s="166"/>
      <c r="O860" s="166"/>
      <c r="P860" s="166"/>
      <c r="Q860" s="166"/>
      <c r="R860" s="166"/>
      <c r="S860" s="166"/>
      <c r="T860" s="166"/>
      <c r="U860" s="166"/>
      <c r="V860" s="166"/>
      <c r="W860" s="166"/>
      <c r="X860" s="166"/>
      <c r="Y860" s="166"/>
      <c r="Z860" s="166"/>
      <c r="AA860" s="166"/>
      <c r="AB860" s="166"/>
      <c r="AC860" s="166"/>
      <c r="AD860" s="166"/>
      <c r="AE860" s="166"/>
      <c r="AF860" s="166"/>
      <c r="AG860" s="166"/>
      <c r="AH860" s="166"/>
      <c r="AI860" s="166"/>
    </row>
    <row r="861" spans="7:35" x14ac:dyDescent="0.25">
      <c r="G861" s="165"/>
      <c r="H861" s="166"/>
      <c r="I861" s="167"/>
      <c r="J861" s="167"/>
      <c r="K861" s="166"/>
      <c r="L861" s="166"/>
      <c r="M861" s="166"/>
      <c r="N861" s="166"/>
      <c r="O861" s="166"/>
      <c r="P861" s="166"/>
      <c r="Q861" s="166"/>
      <c r="R861" s="166"/>
      <c r="S861" s="166"/>
      <c r="T861" s="166"/>
      <c r="U861" s="166"/>
      <c r="V861" s="166"/>
      <c r="W861" s="166"/>
      <c r="X861" s="166"/>
      <c r="Y861" s="166"/>
      <c r="Z861" s="166"/>
      <c r="AA861" s="166"/>
      <c r="AB861" s="166"/>
      <c r="AC861" s="166"/>
      <c r="AD861" s="166"/>
      <c r="AE861" s="166"/>
      <c r="AF861" s="166"/>
      <c r="AG861" s="166"/>
      <c r="AH861" s="166"/>
      <c r="AI861" s="166"/>
    </row>
    <row r="862" spans="7:35" x14ac:dyDescent="0.25">
      <c r="G862" s="165"/>
      <c r="H862" s="166"/>
      <c r="I862" s="167"/>
      <c r="J862" s="167"/>
      <c r="K862" s="166"/>
      <c r="L862" s="166"/>
      <c r="M862" s="166"/>
      <c r="N862" s="166"/>
      <c r="O862" s="166"/>
      <c r="P862" s="166"/>
      <c r="Q862" s="166"/>
      <c r="R862" s="166"/>
      <c r="S862" s="166"/>
      <c r="T862" s="166"/>
      <c r="U862" s="166"/>
      <c r="V862" s="166"/>
      <c r="W862" s="166"/>
      <c r="X862" s="166"/>
      <c r="Y862" s="166"/>
      <c r="Z862" s="166"/>
      <c r="AA862" s="166"/>
      <c r="AB862" s="166"/>
      <c r="AC862" s="166"/>
      <c r="AD862" s="166"/>
      <c r="AE862" s="166"/>
      <c r="AF862" s="166"/>
      <c r="AG862" s="166"/>
      <c r="AH862" s="166"/>
      <c r="AI862" s="166"/>
    </row>
    <row r="863" spans="7:35" x14ac:dyDescent="0.25">
      <c r="G863" s="165"/>
      <c r="H863" s="166"/>
      <c r="I863" s="167"/>
      <c r="J863" s="167"/>
      <c r="K863" s="166"/>
      <c r="L863" s="166"/>
      <c r="M863" s="166"/>
      <c r="N863" s="166"/>
      <c r="O863" s="166"/>
      <c r="P863" s="166"/>
      <c r="Q863" s="166"/>
      <c r="R863" s="166"/>
      <c r="S863" s="166"/>
      <c r="T863" s="166"/>
      <c r="U863" s="166"/>
      <c r="V863" s="166"/>
      <c r="W863" s="166"/>
      <c r="X863" s="166"/>
      <c r="Y863" s="166"/>
      <c r="Z863" s="166"/>
      <c r="AA863" s="166"/>
      <c r="AB863" s="166"/>
      <c r="AC863" s="166"/>
      <c r="AD863" s="166"/>
      <c r="AE863" s="166"/>
      <c r="AF863" s="166"/>
      <c r="AG863" s="166"/>
      <c r="AH863" s="166"/>
      <c r="AI863" s="166"/>
    </row>
    <row r="864" spans="7:35" x14ac:dyDescent="0.25">
      <c r="G864" s="165"/>
      <c r="H864" s="166"/>
      <c r="I864" s="167"/>
      <c r="J864" s="167"/>
      <c r="K864" s="166"/>
      <c r="L864" s="166"/>
      <c r="M864" s="166"/>
      <c r="N864" s="166"/>
      <c r="O864" s="166"/>
      <c r="P864" s="166"/>
      <c r="Q864" s="166"/>
      <c r="R864" s="166"/>
      <c r="S864" s="166"/>
      <c r="T864" s="166"/>
      <c r="U864" s="166"/>
      <c r="V864" s="166"/>
      <c r="W864" s="166"/>
      <c r="X864" s="166"/>
      <c r="Y864" s="166"/>
      <c r="Z864" s="166"/>
      <c r="AA864" s="166"/>
      <c r="AB864" s="166"/>
      <c r="AC864" s="166"/>
      <c r="AD864" s="166"/>
      <c r="AE864" s="166"/>
      <c r="AF864" s="166"/>
      <c r="AG864" s="166"/>
      <c r="AH864" s="166"/>
      <c r="AI864" s="166"/>
    </row>
    <row r="865" spans="7:35" x14ac:dyDescent="0.25">
      <c r="G865" s="165"/>
      <c r="H865" s="166"/>
      <c r="I865" s="167"/>
      <c r="J865" s="167"/>
      <c r="K865" s="166"/>
      <c r="L865" s="166"/>
      <c r="M865" s="166"/>
      <c r="N865" s="166"/>
      <c r="O865" s="166"/>
      <c r="P865" s="166"/>
      <c r="Q865" s="166"/>
      <c r="R865" s="166"/>
      <c r="S865" s="166"/>
      <c r="T865" s="166"/>
      <c r="U865" s="166"/>
      <c r="V865" s="166"/>
      <c r="W865" s="166"/>
      <c r="X865" s="166"/>
      <c r="Y865" s="166"/>
      <c r="Z865" s="166"/>
      <c r="AA865" s="166"/>
      <c r="AB865" s="166"/>
      <c r="AC865" s="166"/>
      <c r="AD865" s="166"/>
      <c r="AE865" s="166"/>
      <c r="AF865" s="166"/>
      <c r="AG865" s="166"/>
      <c r="AH865" s="166"/>
      <c r="AI865" s="166"/>
    </row>
    <row r="866" spans="7:35" x14ac:dyDescent="0.25">
      <c r="G866" s="165"/>
      <c r="H866" s="166"/>
      <c r="I866" s="167"/>
      <c r="J866" s="167"/>
      <c r="K866" s="166"/>
      <c r="L866" s="166"/>
      <c r="M866" s="166"/>
      <c r="N866" s="166"/>
      <c r="O866" s="166"/>
      <c r="P866" s="166"/>
      <c r="Q866" s="166"/>
      <c r="R866" s="166"/>
      <c r="S866" s="166"/>
      <c r="T866" s="166"/>
      <c r="U866" s="166"/>
      <c r="V866" s="166"/>
      <c r="W866" s="166"/>
      <c r="X866" s="166"/>
      <c r="Y866" s="166"/>
      <c r="Z866" s="166"/>
      <c r="AA866" s="166"/>
      <c r="AB866" s="166"/>
      <c r="AC866" s="166"/>
      <c r="AD866" s="166"/>
      <c r="AE866" s="166"/>
      <c r="AF866" s="166"/>
      <c r="AG866" s="166"/>
      <c r="AH866" s="166"/>
      <c r="AI866" s="166"/>
    </row>
    <row r="867" spans="7:35" x14ac:dyDescent="0.25">
      <c r="G867" s="165"/>
      <c r="H867" s="166"/>
      <c r="I867" s="167"/>
      <c r="J867" s="167"/>
      <c r="K867" s="166"/>
      <c r="L867" s="166"/>
      <c r="M867" s="166"/>
      <c r="N867" s="166"/>
      <c r="O867" s="166"/>
      <c r="P867" s="166"/>
      <c r="Q867" s="166"/>
      <c r="R867" s="166"/>
      <c r="S867" s="166"/>
      <c r="T867" s="166"/>
      <c r="U867" s="166"/>
      <c r="V867" s="166"/>
      <c r="W867" s="166"/>
      <c r="X867" s="166"/>
      <c r="Y867" s="166"/>
      <c r="Z867" s="166"/>
      <c r="AA867" s="166"/>
      <c r="AB867" s="166"/>
      <c r="AC867" s="166"/>
      <c r="AD867" s="166"/>
      <c r="AE867" s="166"/>
      <c r="AF867" s="166"/>
      <c r="AG867" s="166"/>
      <c r="AH867" s="166"/>
      <c r="AI867" s="166"/>
    </row>
    <row r="868" spans="7:35" x14ac:dyDescent="0.25">
      <c r="G868" s="165"/>
      <c r="H868" s="166"/>
      <c r="I868" s="167"/>
      <c r="J868" s="167"/>
      <c r="K868" s="166"/>
      <c r="L868" s="166"/>
      <c r="M868" s="166"/>
      <c r="N868" s="166"/>
      <c r="O868" s="166"/>
      <c r="P868" s="166"/>
      <c r="Q868" s="166"/>
      <c r="R868" s="166"/>
      <c r="S868" s="166"/>
      <c r="T868" s="166"/>
      <c r="U868" s="166"/>
      <c r="V868" s="166"/>
      <c r="W868" s="166"/>
      <c r="X868" s="166"/>
      <c r="Y868" s="166"/>
      <c r="Z868" s="166"/>
      <c r="AA868" s="166"/>
      <c r="AB868" s="166"/>
      <c r="AC868" s="166"/>
      <c r="AD868" s="166"/>
      <c r="AE868" s="166"/>
      <c r="AF868" s="166"/>
      <c r="AG868" s="166"/>
      <c r="AH868" s="166"/>
      <c r="AI868" s="166"/>
    </row>
    <row r="869" spans="7:35" x14ac:dyDescent="0.25">
      <c r="G869" s="165"/>
      <c r="H869" s="166"/>
      <c r="I869" s="167"/>
      <c r="J869" s="167"/>
      <c r="K869" s="166"/>
      <c r="L869" s="166"/>
      <c r="M869" s="166"/>
      <c r="N869" s="166"/>
      <c r="O869" s="166"/>
      <c r="P869" s="166"/>
      <c r="Q869" s="166"/>
      <c r="R869" s="166"/>
      <c r="S869" s="166"/>
      <c r="T869" s="166"/>
      <c r="U869" s="166"/>
      <c r="V869" s="166"/>
      <c r="W869" s="166"/>
      <c r="X869" s="166"/>
      <c r="Y869" s="166"/>
      <c r="Z869" s="166"/>
      <c r="AA869" s="166"/>
      <c r="AB869" s="166"/>
      <c r="AC869" s="166"/>
      <c r="AD869" s="166"/>
      <c r="AE869" s="166"/>
      <c r="AF869" s="166"/>
      <c r="AG869" s="166"/>
      <c r="AH869" s="166"/>
      <c r="AI869" s="166"/>
    </row>
    <row r="870" spans="7:35" x14ac:dyDescent="0.25">
      <c r="G870" s="165"/>
      <c r="H870" s="166"/>
      <c r="I870" s="167"/>
      <c r="J870" s="167"/>
      <c r="K870" s="166"/>
      <c r="L870" s="166"/>
      <c r="M870" s="166"/>
      <c r="N870" s="166"/>
      <c r="O870" s="166"/>
      <c r="P870" s="166"/>
      <c r="Q870" s="166"/>
      <c r="R870" s="166"/>
      <c r="S870" s="166"/>
      <c r="T870" s="166"/>
      <c r="U870" s="166"/>
      <c r="V870" s="166"/>
      <c r="W870" s="166"/>
      <c r="X870" s="166"/>
      <c r="Y870" s="166"/>
      <c r="Z870" s="166"/>
      <c r="AA870" s="166"/>
      <c r="AB870" s="166"/>
      <c r="AC870" s="166"/>
      <c r="AD870" s="166"/>
      <c r="AE870" s="166"/>
      <c r="AF870" s="166"/>
      <c r="AG870" s="166"/>
      <c r="AH870" s="166"/>
      <c r="AI870" s="166"/>
    </row>
    <row r="871" spans="7:35" x14ac:dyDescent="0.25">
      <c r="G871" s="165"/>
      <c r="H871" s="166"/>
      <c r="I871" s="167"/>
      <c r="J871" s="167"/>
      <c r="K871" s="166"/>
      <c r="L871" s="166"/>
      <c r="M871" s="166"/>
      <c r="N871" s="166"/>
      <c r="O871" s="166"/>
      <c r="P871" s="166"/>
      <c r="Q871" s="166"/>
      <c r="R871" s="166"/>
      <c r="S871" s="166"/>
      <c r="T871" s="166"/>
      <c r="U871" s="166"/>
      <c r="V871" s="166"/>
      <c r="W871" s="166"/>
      <c r="X871" s="166"/>
      <c r="Y871" s="166"/>
      <c r="Z871" s="166"/>
      <c r="AA871" s="166"/>
      <c r="AB871" s="166"/>
      <c r="AC871" s="166"/>
      <c r="AD871" s="166"/>
      <c r="AE871" s="166"/>
      <c r="AF871" s="166"/>
      <c r="AG871" s="166"/>
      <c r="AH871" s="166"/>
      <c r="AI871" s="166"/>
    </row>
    <row r="872" spans="7:35" x14ac:dyDescent="0.25">
      <c r="G872" s="165"/>
      <c r="H872" s="166"/>
      <c r="I872" s="167"/>
      <c r="J872" s="167"/>
      <c r="K872" s="166"/>
      <c r="L872" s="166"/>
      <c r="M872" s="166"/>
      <c r="N872" s="166"/>
      <c r="O872" s="166"/>
      <c r="P872" s="166"/>
      <c r="Q872" s="166"/>
      <c r="R872" s="166"/>
      <c r="S872" s="166"/>
      <c r="T872" s="166"/>
      <c r="U872" s="166"/>
      <c r="V872" s="166"/>
      <c r="W872" s="166"/>
      <c r="X872" s="166"/>
      <c r="Y872" s="166"/>
      <c r="Z872" s="166"/>
      <c r="AA872" s="166"/>
      <c r="AB872" s="166"/>
      <c r="AC872" s="166"/>
      <c r="AD872" s="166"/>
      <c r="AE872" s="166"/>
      <c r="AF872" s="166"/>
      <c r="AG872" s="166"/>
      <c r="AH872" s="166"/>
      <c r="AI872" s="166"/>
    </row>
    <row r="873" spans="7:35" x14ac:dyDescent="0.25">
      <c r="G873" s="165"/>
      <c r="H873" s="166"/>
      <c r="I873" s="167"/>
      <c r="J873" s="167"/>
      <c r="K873" s="166"/>
      <c r="L873" s="166"/>
      <c r="M873" s="166"/>
      <c r="N873" s="166"/>
      <c r="O873" s="166"/>
      <c r="P873" s="166"/>
      <c r="Q873" s="166"/>
      <c r="R873" s="166"/>
      <c r="S873" s="166"/>
      <c r="T873" s="166"/>
      <c r="U873" s="166"/>
      <c r="V873" s="166"/>
      <c r="W873" s="166"/>
      <c r="X873" s="166"/>
      <c r="Y873" s="166"/>
      <c r="Z873" s="166"/>
      <c r="AA873" s="166"/>
      <c r="AB873" s="166"/>
      <c r="AC873" s="166"/>
      <c r="AD873" s="166"/>
      <c r="AE873" s="166"/>
      <c r="AF873" s="166"/>
      <c r="AG873" s="166"/>
      <c r="AH873" s="166"/>
      <c r="AI873" s="166"/>
    </row>
    <row r="874" spans="7:35" x14ac:dyDescent="0.25">
      <c r="G874" s="165"/>
      <c r="H874" s="166"/>
      <c r="I874" s="167"/>
      <c r="J874" s="167"/>
      <c r="K874" s="166"/>
      <c r="L874" s="166"/>
      <c r="M874" s="166"/>
      <c r="N874" s="166"/>
      <c r="O874" s="166"/>
      <c r="P874" s="166"/>
      <c r="Q874" s="166"/>
      <c r="R874" s="166"/>
      <c r="S874" s="166"/>
      <c r="T874" s="166"/>
      <c r="U874" s="166"/>
      <c r="V874" s="166"/>
      <c r="W874" s="166"/>
      <c r="X874" s="166"/>
      <c r="Y874" s="166"/>
      <c r="Z874" s="166"/>
      <c r="AA874" s="166"/>
      <c r="AB874" s="166"/>
      <c r="AC874" s="166"/>
      <c r="AD874" s="166"/>
      <c r="AE874" s="166"/>
      <c r="AF874" s="166"/>
      <c r="AG874" s="166"/>
      <c r="AH874" s="166"/>
      <c r="AI874" s="166"/>
    </row>
    <row r="875" spans="7:35" x14ac:dyDescent="0.25">
      <c r="G875" s="165"/>
      <c r="H875" s="166"/>
      <c r="I875" s="167"/>
      <c r="J875" s="167"/>
      <c r="K875" s="166"/>
      <c r="L875" s="166"/>
      <c r="M875" s="166"/>
      <c r="N875" s="166"/>
      <c r="O875" s="166"/>
      <c r="P875" s="166"/>
      <c r="Q875" s="166"/>
      <c r="R875" s="166"/>
      <c r="S875" s="166"/>
      <c r="T875" s="166"/>
      <c r="U875" s="166"/>
      <c r="V875" s="166"/>
      <c r="W875" s="166"/>
      <c r="X875" s="166"/>
      <c r="Y875" s="166"/>
      <c r="Z875" s="166"/>
      <c r="AA875" s="166"/>
      <c r="AB875" s="166"/>
      <c r="AC875" s="166"/>
      <c r="AD875" s="166"/>
      <c r="AE875" s="166"/>
      <c r="AF875" s="166"/>
      <c r="AG875" s="166"/>
      <c r="AH875" s="166"/>
      <c r="AI875" s="166"/>
    </row>
    <row r="876" spans="7:35" x14ac:dyDescent="0.25">
      <c r="G876" s="165"/>
      <c r="H876" s="166"/>
      <c r="I876" s="167"/>
      <c r="J876" s="167"/>
      <c r="K876" s="166"/>
      <c r="L876" s="166"/>
      <c r="M876" s="166"/>
      <c r="N876" s="166"/>
      <c r="O876" s="166"/>
      <c r="P876" s="166"/>
      <c r="Q876" s="166"/>
      <c r="R876" s="166"/>
      <c r="S876" s="166"/>
      <c r="T876" s="166"/>
      <c r="U876" s="166"/>
      <c r="V876" s="166"/>
      <c r="W876" s="166"/>
      <c r="X876" s="166"/>
      <c r="Y876" s="166"/>
      <c r="Z876" s="166"/>
      <c r="AA876" s="166"/>
      <c r="AB876" s="166"/>
      <c r="AC876" s="166"/>
      <c r="AD876" s="166"/>
      <c r="AE876" s="166"/>
      <c r="AF876" s="166"/>
      <c r="AG876" s="166"/>
      <c r="AH876" s="166"/>
      <c r="AI876" s="166"/>
    </row>
    <row r="877" spans="7:35" x14ac:dyDescent="0.25">
      <c r="G877" s="165"/>
      <c r="H877" s="166"/>
      <c r="I877" s="167"/>
      <c r="J877" s="167"/>
      <c r="K877" s="166"/>
      <c r="L877" s="166"/>
      <c r="M877" s="166"/>
      <c r="N877" s="166"/>
      <c r="O877" s="166"/>
      <c r="P877" s="166"/>
      <c r="Q877" s="166"/>
      <c r="R877" s="166"/>
      <c r="S877" s="166"/>
      <c r="T877" s="166"/>
      <c r="U877" s="166"/>
      <c r="V877" s="166"/>
      <c r="W877" s="166"/>
      <c r="X877" s="166"/>
      <c r="Y877" s="166"/>
      <c r="Z877" s="166"/>
      <c r="AA877" s="166"/>
      <c r="AB877" s="166"/>
      <c r="AC877" s="166"/>
      <c r="AD877" s="166"/>
      <c r="AE877" s="166"/>
      <c r="AF877" s="166"/>
      <c r="AG877" s="166"/>
      <c r="AH877" s="166"/>
      <c r="AI877" s="166"/>
    </row>
    <row r="878" spans="7:35" x14ac:dyDescent="0.25">
      <c r="G878" s="165"/>
      <c r="H878" s="166"/>
      <c r="I878" s="167"/>
      <c r="J878" s="167"/>
      <c r="K878" s="166"/>
      <c r="L878" s="166"/>
      <c r="M878" s="166"/>
      <c r="N878" s="166"/>
      <c r="O878" s="166"/>
      <c r="P878" s="166"/>
      <c r="Q878" s="166"/>
      <c r="R878" s="166"/>
      <c r="S878" s="166"/>
      <c r="T878" s="166"/>
      <c r="U878" s="166"/>
      <c r="V878" s="166"/>
      <c r="W878" s="166"/>
      <c r="X878" s="166"/>
      <c r="Y878" s="166"/>
      <c r="Z878" s="166"/>
      <c r="AA878" s="166"/>
      <c r="AB878" s="166"/>
      <c r="AC878" s="166"/>
      <c r="AD878" s="166"/>
      <c r="AE878" s="166"/>
      <c r="AF878" s="166"/>
      <c r="AG878" s="166"/>
      <c r="AH878" s="166"/>
      <c r="AI878" s="166"/>
    </row>
    <row r="879" spans="7:35" x14ac:dyDescent="0.25">
      <c r="G879" s="165"/>
      <c r="H879" s="166"/>
      <c r="I879" s="167"/>
      <c r="J879" s="167"/>
      <c r="K879" s="166"/>
      <c r="L879" s="166"/>
      <c r="M879" s="166"/>
      <c r="N879" s="166"/>
      <c r="O879" s="166"/>
      <c r="P879" s="166"/>
      <c r="Q879" s="166"/>
      <c r="R879" s="166"/>
      <c r="S879" s="166"/>
      <c r="T879" s="166"/>
      <c r="U879" s="166"/>
      <c r="V879" s="166"/>
      <c r="W879" s="166"/>
      <c r="X879" s="166"/>
      <c r="Y879" s="166"/>
      <c r="Z879" s="166"/>
      <c r="AA879" s="166"/>
      <c r="AB879" s="166"/>
      <c r="AC879" s="166"/>
      <c r="AD879" s="166"/>
      <c r="AE879" s="166"/>
      <c r="AF879" s="166"/>
      <c r="AG879" s="166"/>
      <c r="AH879" s="166"/>
      <c r="AI879" s="166"/>
    </row>
    <row r="880" spans="7:35" x14ac:dyDescent="0.25">
      <c r="G880" s="165"/>
      <c r="H880" s="166"/>
      <c r="I880" s="167"/>
      <c r="J880" s="167"/>
      <c r="K880" s="166"/>
      <c r="L880" s="166"/>
      <c r="M880" s="166"/>
      <c r="N880" s="166"/>
      <c r="O880" s="166"/>
      <c r="P880" s="166"/>
      <c r="Q880" s="166"/>
      <c r="R880" s="166"/>
      <c r="S880" s="166"/>
      <c r="T880" s="166"/>
      <c r="U880" s="166"/>
      <c r="V880" s="166"/>
      <c r="W880" s="166"/>
      <c r="X880" s="166"/>
      <c r="Y880" s="166"/>
      <c r="Z880" s="166"/>
      <c r="AA880" s="166"/>
      <c r="AB880" s="166"/>
      <c r="AC880" s="166"/>
      <c r="AD880" s="166"/>
      <c r="AE880" s="166"/>
      <c r="AF880" s="166"/>
      <c r="AG880" s="166"/>
      <c r="AH880" s="166"/>
      <c r="AI880" s="166"/>
    </row>
    <row r="881" spans="7:35" x14ac:dyDescent="0.25">
      <c r="G881" s="165"/>
      <c r="H881" s="166"/>
      <c r="I881" s="167"/>
      <c r="J881" s="167"/>
      <c r="K881" s="166"/>
      <c r="L881" s="166"/>
      <c r="M881" s="166"/>
      <c r="N881" s="166"/>
      <c r="O881" s="166"/>
      <c r="P881" s="166"/>
      <c r="Q881" s="166"/>
      <c r="R881" s="166"/>
      <c r="S881" s="166"/>
      <c r="T881" s="166"/>
      <c r="U881" s="166"/>
      <c r="V881" s="166"/>
      <c r="W881" s="166"/>
      <c r="X881" s="166"/>
      <c r="Y881" s="166"/>
      <c r="Z881" s="166"/>
      <c r="AA881" s="166"/>
      <c r="AB881" s="166"/>
      <c r="AC881" s="166"/>
      <c r="AD881" s="166"/>
      <c r="AE881" s="166"/>
      <c r="AF881" s="166"/>
      <c r="AG881" s="166"/>
      <c r="AH881" s="166"/>
      <c r="AI881" s="166"/>
    </row>
    <row r="882" spans="7:35" x14ac:dyDescent="0.25">
      <c r="G882" s="165"/>
      <c r="H882" s="166"/>
      <c r="I882" s="167"/>
      <c r="J882" s="167"/>
      <c r="K882" s="166"/>
      <c r="L882" s="166"/>
      <c r="M882" s="166"/>
      <c r="N882" s="166"/>
      <c r="O882" s="166"/>
      <c r="P882" s="166"/>
      <c r="Q882" s="166"/>
      <c r="R882" s="166"/>
      <c r="S882" s="166"/>
      <c r="T882" s="166"/>
      <c r="U882" s="166"/>
      <c r="V882" s="166"/>
      <c r="W882" s="166"/>
      <c r="X882" s="166"/>
      <c r="Y882" s="166"/>
      <c r="Z882" s="166"/>
      <c r="AA882" s="166"/>
      <c r="AB882" s="166"/>
      <c r="AC882" s="166"/>
      <c r="AD882" s="166"/>
      <c r="AE882" s="166"/>
      <c r="AF882" s="166"/>
      <c r="AG882" s="166"/>
      <c r="AH882" s="166"/>
      <c r="AI882" s="166"/>
    </row>
    <row r="883" spans="7:35" x14ac:dyDescent="0.25">
      <c r="G883" s="165"/>
      <c r="H883" s="166"/>
      <c r="I883" s="167"/>
      <c r="J883" s="167"/>
      <c r="K883" s="166"/>
      <c r="L883" s="166"/>
      <c r="M883" s="166"/>
      <c r="N883" s="166"/>
      <c r="O883" s="166"/>
      <c r="P883" s="166"/>
      <c r="Q883" s="166"/>
      <c r="R883" s="166"/>
      <c r="S883" s="166"/>
      <c r="T883" s="166"/>
      <c r="U883" s="166"/>
      <c r="V883" s="166"/>
      <c r="W883" s="166"/>
      <c r="X883" s="166"/>
      <c r="Y883" s="166"/>
      <c r="Z883" s="166"/>
      <c r="AA883" s="166"/>
      <c r="AB883" s="166"/>
      <c r="AC883" s="166"/>
      <c r="AD883" s="166"/>
      <c r="AE883" s="166"/>
      <c r="AF883" s="166"/>
      <c r="AG883" s="166"/>
      <c r="AH883" s="166"/>
      <c r="AI883" s="166"/>
    </row>
    <row r="884" spans="7:35" x14ac:dyDescent="0.25">
      <c r="G884" s="165"/>
      <c r="H884" s="166"/>
      <c r="I884" s="167"/>
      <c r="J884" s="167"/>
      <c r="K884" s="166"/>
      <c r="L884" s="166"/>
      <c r="M884" s="166"/>
      <c r="N884" s="166"/>
      <c r="O884" s="166"/>
      <c r="P884" s="166"/>
      <c r="Q884" s="166"/>
      <c r="R884" s="166"/>
      <c r="S884" s="166"/>
      <c r="T884" s="166"/>
      <c r="U884" s="166"/>
      <c r="V884" s="166"/>
      <c r="W884" s="166"/>
      <c r="X884" s="166"/>
      <c r="Y884" s="166"/>
      <c r="Z884" s="166"/>
      <c r="AA884" s="166"/>
      <c r="AB884" s="166"/>
      <c r="AC884" s="166"/>
      <c r="AD884" s="166"/>
      <c r="AE884" s="166"/>
      <c r="AF884" s="166"/>
      <c r="AG884" s="166"/>
      <c r="AH884" s="166"/>
      <c r="AI884" s="166"/>
    </row>
    <row r="885" spans="7:35" x14ac:dyDescent="0.25">
      <c r="G885" s="165"/>
      <c r="H885" s="166"/>
      <c r="I885" s="167"/>
      <c r="J885" s="167"/>
      <c r="K885" s="166"/>
      <c r="L885" s="166"/>
      <c r="M885" s="166"/>
      <c r="N885" s="166"/>
      <c r="O885" s="166"/>
      <c r="P885" s="166"/>
      <c r="Q885" s="166"/>
      <c r="R885" s="166"/>
      <c r="S885" s="166"/>
      <c r="T885" s="166"/>
      <c r="U885" s="166"/>
      <c r="V885" s="166"/>
      <c r="W885" s="166"/>
      <c r="X885" s="166"/>
      <c r="Y885" s="166"/>
      <c r="Z885" s="166"/>
      <c r="AA885" s="166"/>
      <c r="AB885" s="166"/>
      <c r="AC885" s="166"/>
      <c r="AD885" s="166"/>
      <c r="AE885" s="166"/>
      <c r="AF885" s="166"/>
      <c r="AG885" s="166"/>
      <c r="AH885" s="166"/>
      <c r="AI885" s="166"/>
    </row>
    <row r="886" spans="7:35" x14ac:dyDescent="0.25">
      <c r="G886" s="165"/>
      <c r="H886" s="166"/>
      <c r="I886" s="167"/>
      <c r="J886" s="167"/>
      <c r="K886" s="166"/>
      <c r="L886" s="166"/>
      <c r="M886" s="166"/>
      <c r="N886" s="166"/>
      <c r="O886" s="166"/>
      <c r="P886" s="166"/>
      <c r="Q886" s="166"/>
      <c r="R886" s="166"/>
      <c r="S886" s="166"/>
      <c r="T886" s="166"/>
      <c r="U886" s="166"/>
      <c r="V886" s="166"/>
      <c r="W886" s="166"/>
      <c r="X886" s="166"/>
      <c r="Y886" s="166"/>
      <c r="Z886" s="166"/>
      <c r="AA886" s="166"/>
      <c r="AB886" s="166"/>
      <c r="AC886" s="166"/>
      <c r="AD886" s="166"/>
      <c r="AE886" s="166"/>
      <c r="AF886" s="166"/>
      <c r="AG886" s="166"/>
      <c r="AH886" s="166"/>
      <c r="AI886" s="166"/>
    </row>
    <row r="887" spans="7:35" x14ac:dyDescent="0.25">
      <c r="G887" s="165"/>
      <c r="H887" s="166"/>
      <c r="I887" s="167"/>
      <c r="J887" s="167"/>
      <c r="K887" s="166"/>
      <c r="L887" s="166"/>
      <c r="M887" s="166"/>
      <c r="N887" s="166"/>
      <c r="O887" s="166"/>
      <c r="P887" s="166"/>
      <c r="Q887" s="166"/>
      <c r="R887" s="166"/>
      <c r="S887" s="166"/>
      <c r="T887" s="166"/>
      <c r="U887" s="166"/>
      <c r="V887" s="166"/>
      <c r="W887" s="166"/>
      <c r="X887" s="166"/>
      <c r="Y887" s="166"/>
      <c r="Z887" s="166"/>
      <c r="AA887" s="166"/>
      <c r="AB887" s="166"/>
      <c r="AC887" s="166"/>
      <c r="AD887" s="166"/>
      <c r="AE887" s="166"/>
      <c r="AF887" s="166"/>
      <c r="AG887" s="166"/>
      <c r="AH887" s="166"/>
      <c r="AI887" s="166"/>
    </row>
    <row r="888" spans="7:35" x14ac:dyDescent="0.25">
      <c r="G888" s="165"/>
      <c r="H888" s="166"/>
      <c r="I888" s="167"/>
      <c r="J888" s="167"/>
      <c r="K888" s="166"/>
      <c r="L888" s="166"/>
      <c r="M888" s="166"/>
      <c r="N888" s="166"/>
      <c r="O888" s="166"/>
      <c r="P888" s="166"/>
      <c r="Q888" s="166"/>
      <c r="R888" s="166"/>
      <c r="S888" s="166"/>
      <c r="T888" s="166"/>
      <c r="U888" s="166"/>
      <c r="V888" s="166"/>
      <c r="W888" s="166"/>
      <c r="X888" s="166"/>
      <c r="Y888" s="166"/>
      <c r="Z888" s="166"/>
      <c r="AA888" s="166"/>
      <c r="AB888" s="166"/>
      <c r="AC888" s="166"/>
      <c r="AD888" s="166"/>
      <c r="AE888" s="166"/>
      <c r="AF888" s="166"/>
      <c r="AG888" s="166"/>
      <c r="AH888" s="166"/>
      <c r="AI888" s="166"/>
    </row>
    <row r="889" spans="7:35" x14ac:dyDescent="0.25">
      <c r="G889" s="165"/>
      <c r="H889" s="166"/>
      <c r="I889" s="167"/>
      <c r="J889" s="167"/>
      <c r="K889" s="166"/>
      <c r="L889" s="166"/>
      <c r="M889" s="166"/>
      <c r="N889" s="166"/>
      <c r="O889" s="166"/>
      <c r="P889" s="166"/>
      <c r="Q889" s="166"/>
      <c r="R889" s="166"/>
      <c r="S889" s="166"/>
      <c r="T889" s="166"/>
      <c r="U889" s="166"/>
      <c r="V889" s="166"/>
      <c r="W889" s="166"/>
      <c r="X889" s="166"/>
      <c r="Y889" s="166"/>
      <c r="Z889" s="166"/>
      <c r="AA889" s="166"/>
      <c r="AB889" s="166"/>
      <c r="AC889" s="166"/>
      <c r="AD889" s="166"/>
      <c r="AE889" s="166"/>
      <c r="AF889" s="166"/>
      <c r="AG889" s="166"/>
      <c r="AH889" s="166"/>
      <c r="AI889" s="166"/>
    </row>
    <row r="890" spans="7:35" x14ac:dyDescent="0.25">
      <c r="G890" s="165"/>
      <c r="H890" s="166"/>
      <c r="I890" s="167"/>
      <c r="J890" s="167"/>
      <c r="K890" s="166"/>
      <c r="L890" s="166"/>
      <c r="M890" s="166"/>
      <c r="N890" s="166"/>
      <c r="O890" s="166"/>
      <c r="P890" s="166"/>
      <c r="Q890" s="166"/>
      <c r="R890" s="166"/>
      <c r="S890" s="166"/>
      <c r="T890" s="166"/>
      <c r="U890" s="166"/>
      <c r="V890" s="166"/>
      <c r="W890" s="166"/>
      <c r="X890" s="166"/>
      <c r="Y890" s="166"/>
      <c r="Z890" s="166"/>
      <c r="AA890" s="166"/>
      <c r="AB890" s="166"/>
      <c r="AC890" s="166"/>
      <c r="AD890" s="166"/>
      <c r="AE890" s="166"/>
      <c r="AF890" s="166"/>
      <c r="AG890" s="166"/>
      <c r="AH890" s="166"/>
      <c r="AI890" s="166"/>
    </row>
    <row r="891" spans="7:35" x14ac:dyDescent="0.25">
      <c r="G891" s="165"/>
      <c r="H891" s="166"/>
      <c r="I891" s="167"/>
      <c r="J891" s="167"/>
      <c r="K891" s="166"/>
      <c r="L891" s="166"/>
      <c r="M891" s="166"/>
      <c r="N891" s="166"/>
      <c r="O891" s="166"/>
      <c r="P891" s="166"/>
      <c r="Q891" s="166"/>
      <c r="R891" s="166"/>
      <c r="S891" s="166"/>
      <c r="T891" s="166"/>
      <c r="U891" s="166"/>
      <c r="V891" s="166"/>
      <c r="W891" s="166"/>
      <c r="X891" s="166"/>
      <c r="Y891" s="166"/>
      <c r="Z891" s="166"/>
      <c r="AA891" s="166"/>
      <c r="AB891" s="166"/>
      <c r="AC891" s="166"/>
      <c r="AD891" s="166"/>
      <c r="AE891" s="166"/>
      <c r="AF891" s="166"/>
      <c r="AG891" s="166"/>
      <c r="AH891" s="166"/>
      <c r="AI891" s="166"/>
    </row>
    <row r="892" spans="7:35" x14ac:dyDescent="0.25">
      <c r="G892" s="165"/>
      <c r="H892" s="166"/>
      <c r="I892" s="167"/>
      <c r="J892" s="167"/>
      <c r="K892" s="166"/>
      <c r="L892" s="166"/>
      <c r="M892" s="166"/>
      <c r="N892" s="166"/>
      <c r="O892" s="166"/>
      <c r="P892" s="166"/>
      <c r="Q892" s="166"/>
      <c r="R892" s="166"/>
      <c r="S892" s="166"/>
      <c r="T892" s="166"/>
      <c r="U892" s="166"/>
      <c r="V892" s="166"/>
      <c r="W892" s="166"/>
      <c r="X892" s="166"/>
      <c r="Y892" s="166"/>
      <c r="Z892" s="166"/>
      <c r="AA892" s="166"/>
      <c r="AB892" s="166"/>
      <c r="AC892" s="166"/>
      <c r="AD892" s="166"/>
      <c r="AE892" s="166"/>
      <c r="AF892" s="166"/>
      <c r="AG892" s="166"/>
      <c r="AH892" s="166"/>
      <c r="AI892" s="166"/>
    </row>
    <row r="893" spans="7:35" x14ac:dyDescent="0.25">
      <c r="G893" s="165"/>
      <c r="H893" s="166"/>
      <c r="I893" s="167"/>
      <c r="J893" s="167"/>
      <c r="K893" s="166"/>
      <c r="L893" s="166"/>
      <c r="M893" s="166"/>
      <c r="N893" s="166"/>
      <c r="O893" s="166"/>
      <c r="P893" s="166"/>
      <c r="Q893" s="166"/>
      <c r="R893" s="166"/>
      <c r="S893" s="166"/>
      <c r="T893" s="166"/>
      <c r="U893" s="166"/>
      <c r="V893" s="166"/>
      <c r="W893" s="166"/>
      <c r="X893" s="166"/>
      <c r="Y893" s="166"/>
      <c r="Z893" s="166"/>
      <c r="AA893" s="166"/>
      <c r="AB893" s="166"/>
      <c r="AC893" s="166"/>
      <c r="AD893" s="166"/>
      <c r="AE893" s="166"/>
      <c r="AF893" s="166"/>
      <c r="AG893" s="166"/>
      <c r="AH893" s="166"/>
      <c r="AI893" s="166"/>
    </row>
    <row r="894" spans="7:35" x14ac:dyDescent="0.25">
      <c r="G894" s="165"/>
      <c r="H894" s="166"/>
      <c r="I894" s="167"/>
      <c r="J894" s="167"/>
      <c r="K894" s="166"/>
      <c r="L894" s="166"/>
      <c r="M894" s="166"/>
      <c r="N894" s="166"/>
      <c r="O894" s="166"/>
      <c r="P894" s="166"/>
      <c r="Q894" s="166"/>
      <c r="R894" s="166"/>
      <c r="S894" s="166"/>
      <c r="T894" s="166"/>
      <c r="U894" s="166"/>
      <c r="V894" s="166"/>
      <c r="W894" s="166"/>
      <c r="X894" s="166"/>
      <c r="Y894" s="166"/>
      <c r="Z894" s="166"/>
      <c r="AA894" s="166"/>
      <c r="AB894" s="166"/>
      <c r="AC894" s="166"/>
      <c r="AD894" s="166"/>
      <c r="AE894" s="166"/>
      <c r="AF894" s="166"/>
      <c r="AG894" s="166"/>
      <c r="AH894" s="166"/>
      <c r="AI894" s="166"/>
    </row>
    <row r="895" spans="7:35" x14ac:dyDescent="0.25">
      <c r="G895" s="165"/>
      <c r="H895" s="166"/>
      <c r="I895" s="167"/>
      <c r="J895" s="167"/>
      <c r="K895" s="166"/>
      <c r="L895" s="166"/>
      <c r="M895" s="166"/>
      <c r="N895" s="166"/>
      <c r="O895" s="166"/>
      <c r="P895" s="166"/>
      <c r="Q895" s="166"/>
      <c r="R895" s="166"/>
      <c r="S895" s="166"/>
      <c r="T895" s="166"/>
      <c r="U895" s="166"/>
      <c r="V895" s="166"/>
      <c r="W895" s="166"/>
      <c r="X895" s="166"/>
      <c r="Y895" s="166"/>
      <c r="Z895" s="166"/>
      <c r="AA895" s="166"/>
      <c r="AB895" s="166"/>
      <c r="AC895" s="166"/>
      <c r="AD895" s="166"/>
      <c r="AE895" s="166"/>
      <c r="AF895" s="166"/>
      <c r="AG895" s="166"/>
      <c r="AH895" s="166"/>
      <c r="AI895" s="166"/>
    </row>
    <row r="896" spans="7:35" x14ac:dyDescent="0.25">
      <c r="G896" s="165"/>
      <c r="H896" s="166"/>
      <c r="I896" s="167"/>
      <c r="J896" s="167"/>
      <c r="K896" s="166"/>
      <c r="L896" s="166"/>
      <c r="M896" s="166"/>
      <c r="N896" s="166"/>
      <c r="O896" s="166"/>
      <c r="P896" s="166"/>
      <c r="Q896" s="166"/>
      <c r="R896" s="166"/>
      <c r="S896" s="166"/>
      <c r="T896" s="166"/>
      <c r="U896" s="166"/>
      <c r="V896" s="166"/>
      <c r="W896" s="166"/>
      <c r="X896" s="166"/>
      <c r="Y896" s="166"/>
      <c r="Z896" s="166"/>
      <c r="AA896" s="166"/>
      <c r="AB896" s="166"/>
      <c r="AC896" s="166"/>
      <c r="AD896" s="166"/>
      <c r="AE896" s="166"/>
      <c r="AF896" s="166"/>
      <c r="AG896" s="166"/>
      <c r="AH896" s="166"/>
      <c r="AI896" s="166"/>
    </row>
    <row r="897" spans="7:35" x14ac:dyDescent="0.25">
      <c r="G897" s="165"/>
      <c r="H897" s="166"/>
      <c r="I897" s="167"/>
      <c r="J897" s="167"/>
      <c r="K897" s="166"/>
      <c r="L897" s="166"/>
      <c r="M897" s="166"/>
      <c r="N897" s="166"/>
      <c r="O897" s="166"/>
      <c r="P897" s="166"/>
      <c r="Q897" s="166"/>
      <c r="R897" s="166"/>
      <c r="S897" s="166"/>
      <c r="T897" s="166"/>
      <c r="U897" s="166"/>
      <c r="V897" s="166"/>
      <c r="W897" s="166"/>
      <c r="X897" s="166"/>
      <c r="Y897" s="166"/>
      <c r="Z897" s="166"/>
      <c r="AA897" s="166"/>
      <c r="AB897" s="166"/>
      <c r="AC897" s="166"/>
      <c r="AD897" s="166"/>
      <c r="AE897" s="166"/>
      <c r="AF897" s="166"/>
      <c r="AG897" s="166"/>
      <c r="AH897" s="166"/>
      <c r="AI897" s="166"/>
    </row>
    <row r="898" spans="7:35" x14ac:dyDescent="0.25">
      <c r="G898" s="165"/>
      <c r="H898" s="166"/>
      <c r="I898" s="167"/>
      <c r="J898" s="167"/>
      <c r="K898" s="166"/>
      <c r="L898" s="166"/>
      <c r="M898" s="166"/>
      <c r="N898" s="166"/>
      <c r="O898" s="166"/>
      <c r="P898" s="166"/>
      <c r="Q898" s="166"/>
      <c r="R898" s="166"/>
      <c r="S898" s="166"/>
      <c r="T898" s="166"/>
      <c r="U898" s="166"/>
      <c r="V898" s="166"/>
      <c r="W898" s="166"/>
      <c r="X898" s="166"/>
      <c r="Y898" s="166"/>
      <c r="Z898" s="166"/>
      <c r="AA898" s="166"/>
      <c r="AB898" s="166"/>
      <c r="AC898" s="166"/>
      <c r="AD898" s="166"/>
      <c r="AE898" s="166"/>
      <c r="AF898" s="166"/>
      <c r="AG898" s="166"/>
      <c r="AH898" s="166"/>
      <c r="AI898" s="166"/>
    </row>
    <row r="899" spans="7:35" x14ac:dyDescent="0.25">
      <c r="G899" s="165"/>
      <c r="H899" s="166"/>
      <c r="I899" s="167"/>
      <c r="J899" s="167"/>
      <c r="K899" s="166"/>
      <c r="L899" s="166"/>
      <c r="M899" s="166"/>
      <c r="N899" s="166"/>
      <c r="O899" s="166"/>
      <c r="P899" s="166"/>
      <c r="Q899" s="166"/>
      <c r="R899" s="166"/>
      <c r="S899" s="166"/>
      <c r="T899" s="166"/>
      <c r="U899" s="166"/>
      <c r="V899" s="166"/>
      <c r="W899" s="166"/>
      <c r="X899" s="166"/>
      <c r="Y899" s="166"/>
      <c r="Z899" s="166"/>
      <c r="AA899" s="166"/>
      <c r="AB899" s="166"/>
      <c r="AC899" s="166"/>
      <c r="AD899" s="166"/>
      <c r="AE899" s="166"/>
      <c r="AF899" s="166"/>
      <c r="AG899" s="166"/>
      <c r="AH899" s="166"/>
      <c r="AI899" s="166"/>
    </row>
    <row r="900" spans="7:35" x14ac:dyDescent="0.25">
      <c r="G900" s="165"/>
      <c r="H900" s="166"/>
      <c r="I900" s="167"/>
      <c r="J900" s="167"/>
      <c r="K900" s="166"/>
      <c r="L900" s="166"/>
      <c r="M900" s="166"/>
      <c r="N900" s="166"/>
      <c r="O900" s="166"/>
      <c r="P900" s="166"/>
      <c r="Q900" s="166"/>
      <c r="R900" s="166"/>
      <c r="S900" s="166"/>
      <c r="T900" s="166"/>
      <c r="U900" s="166"/>
      <c r="V900" s="166"/>
      <c r="W900" s="166"/>
      <c r="X900" s="166"/>
      <c r="Y900" s="166"/>
      <c r="Z900" s="166"/>
      <c r="AA900" s="166"/>
      <c r="AB900" s="166"/>
      <c r="AC900" s="166"/>
      <c r="AD900" s="166"/>
      <c r="AE900" s="166"/>
      <c r="AF900" s="166"/>
      <c r="AG900" s="166"/>
      <c r="AH900" s="166"/>
      <c r="AI900" s="166"/>
    </row>
    <row r="901" spans="7:35" x14ac:dyDescent="0.25">
      <c r="G901" s="165"/>
      <c r="H901" s="166"/>
      <c r="I901" s="167"/>
      <c r="J901" s="167"/>
      <c r="K901" s="166"/>
      <c r="L901" s="166"/>
      <c r="M901" s="166"/>
      <c r="N901" s="166"/>
      <c r="O901" s="166"/>
      <c r="P901" s="166"/>
      <c r="Q901" s="166"/>
      <c r="R901" s="166"/>
      <c r="S901" s="166"/>
      <c r="T901" s="166"/>
      <c r="U901" s="166"/>
      <c r="V901" s="166"/>
      <c r="W901" s="166"/>
      <c r="X901" s="166"/>
      <c r="Y901" s="166"/>
      <c r="Z901" s="166"/>
      <c r="AA901" s="166"/>
      <c r="AB901" s="166"/>
      <c r="AC901" s="166"/>
      <c r="AD901" s="166"/>
      <c r="AE901" s="166"/>
      <c r="AF901" s="166"/>
      <c r="AG901" s="166"/>
      <c r="AH901" s="166"/>
      <c r="AI901" s="166"/>
    </row>
    <row r="902" spans="7:35" x14ac:dyDescent="0.25">
      <c r="G902" s="165"/>
      <c r="H902" s="166"/>
      <c r="I902" s="167"/>
      <c r="J902" s="167"/>
      <c r="K902" s="166"/>
      <c r="L902" s="166"/>
      <c r="M902" s="166"/>
      <c r="N902" s="166"/>
      <c r="O902" s="166"/>
      <c r="P902" s="166"/>
      <c r="Q902" s="166"/>
      <c r="R902" s="166"/>
      <c r="S902" s="166"/>
      <c r="T902" s="166"/>
      <c r="U902" s="166"/>
      <c r="V902" s="166"/>
      <c r="W902" s="166"/>
      <c r="X902" s="166"/>
      <c r="Y902" s="166"/>
      <c r="Z902" s="166"/>
      <c r="AA902" s="166"/>
      <c r="AB902" s="166"/>
      <c r="AC902" s="166"/>
      <c r="AD902" s="166"/>
      <c r="AE902" s="166"/>
      <c r="AF902" s="166"/>
      <c r="AG902" s="166"/>
      <c r="AH902" s="166"/>
      <c r="AI902" s="166"/>
    </row>
    <row r="903" spans="7:35" x14ac:dyDescent="0.25">
      <c r="G903" s="165"/>
      <c r="H903" s="166"/>
      <c r="I903" s="167"/>
      <c r="J903" s="167"/>
      <c r="K903" s="166"/>
      <c r="L903" s="166"/>
      <c r="M903" s="166"/>
      <c r="N903" s="166"/>
      <c r="O903" s="166"/>
      <c r="P903" s="166"/>
      <c r="Q903" s="166"/>
      <c r="R903" s="166"/>
      <c r="S903" s="166"/>
      <c r="T903" s="166"/>
      <c r="U903" s="166"/>
      <c r="V903" s="166"/>
      <c r="W903" s="166"/>
      <c r="X903" s="166"/>
      <c r="Y903" s="166"/>
      <c r="Z903" s="166"/>
      <c r="AA903" s="166"/>
      <c r="AB903" s="166"/>
      <c r="AC903" s="166"/>
      <c r="AD903" s="166"/>
      <c r="AE903" s="166"/>
      <c r="AF903" s="166"/>
      <c r="AG903" s="166"/>
      <c r="AH903" s="166"/>
      <c r="AI903" s="166"/>
    </row>
    <row r="904" spans="7:35" x14ac:dyDescent="0.25">
      <c r="G904" s="165"/>
      <c r="H904" s="166"/>
      <c r="I904" s="167"/>
      <c r="J904" s="167"/>
      <c r="K904" s="166"/>
      <c r="L904" s="166"/>
      <c r="M904" s="166"/>
      <c r="N904" s="166"/>
      <c r="O904" s="166"/>
      <c r="P904" s="166"/>
      <c r="Q904" s="166"/>
      <c r="R904" s="166"/>
      <c r="S904" s="166"/>
      <c r="T904" s="166"/>
      <c r="U904" s="166"/>
      <c r="V904" s="166"/>
      <c r="W904" s="166"/>
      <c r="X904" s="166"/>
      <c r="Y904" s="166"/>
      <c r="Z904" s="166"/>
      <c r="AA904" s="166"/>
      <c r="AB904" s="166"/>
      <c r="AC904" s="166"/>
      <c r="AD904" s="166"/>
      <c r="AE904" s="166"/>
      <c r="AF904" s="166"/>
      <c r="AG904" s="166"/>
      <c r="AH904" s="166"/>
      <c r="AI904" s="166"/>
    </row>
    <row r="905" spans="7:35" x14ac:dyDescent="0.25">
      <c r="G905" s="165"/>
      <c r="H905" s="166"/>
      <c r="I905" s="167"/>
      <c r="J905" s="167"/>
      <c r="K905" s="166"/>
      <c r="L905" s="166"/>
      <c r="M905" s="166"/>
      <c r="N905" s="166"/>
      <c r="O905" s="166"/>
      <c r="P905" s="166"/>
      <c r="Q905" s="166"/>
      <c r="R905" s="166"/>
      <c r="S905" s="166"/>
      <c r="T905" s="166"/>
      <c r="U905" s="166"/>
      <c r="V905" s="166"/>
      <c r="W905" s="166"/>
      <c r="X905" s="166"/>
      <c r="Y905" s="166"/>
      <c r="Z905" s="166"/>
      <c r="AA905" s="166"/>
      <c r="AB905" s="166"/>
      <c r="AC905" s="166"/>
      <c r="AD905" s="166"/>
      <c r="AE905" s="166"/>
      <c r="AF905" s="166"/>
      <c r="AG905" s="166"/>
      <c r="AH905" s="166"/>
      <c r="AI905" s="166"/>
    </row>
    <row r="906" spans="7:35" x14ac:dyDescent="0.25">
      <c r="G906" s="165"/>
      <c r="H906" s="166"/>
      <c r="I906" s="167"/>
      <c r="J906" s="167"/>
      <c r="K906" s="166"/>
      <c r="L906" s="166"/>
      <c r="M906" s="166"/>
      <c r="N906" s="166"/>
      <c r="O906" s="166"/>
      <c r="P906" s="166"/>
      <c r="Q906" s="166"/>
      <c r="R906" s="166"/>
      <c r="S906" s="166"/>
      <c r="T906" s="166"/>
      <c r="U906" s="166"/>
      <c r="V906" s="166"/>
      <c r="W906" s="166"/>
      <c r="X906" s="166"/>
      <c r="Y906" s="166"/>
      <c r="Z906" s="166"/>
      <c r="AA906" s="166"/>
      <c r="AB906" s="166"/>
      <c r="AC906" s="166"/>
      <c r="AD906" s="166"/>
      <c r="AE906" s="166"/>
      <c r="AF906" s="166"/>
      <c r="AG906" s="166"/>
      <c r="AH906" s="166"/>
      <c r="AI906" s="166"/>
    </row>
    <row r="907" spans="7:35" x14ac:dyDescent="0.25">
      <c r="G907" s="165"/>
      <c r="H907" s="166"/>
      <c r="I907" s="167"/>
      <c r="J907" s="167"/>
      <c r="K907" s="166"/>
      <c r="L907" s="166"/>
      <c r="M907" s="166"/>
      <c r="N907" s="166"/>
      <c r="O907" s="166"/>
      <c r="P907" s="166"/>
      <c r="Q907" s="166"/>
      <c r="R907" s="166"/>
      <c r="S907" s="166"/>
      <c r="T907" s="166"/>
      <c r="U907" s="166"/>
      <c r="V907" s="166"/>
      <c r="W907" s="166"/>
      <c r="X907" s="166"/>
      <c r="Y907" s="166"/>
      <c r="Z907" s="166"/>
      <c r="AA907" s="166"/>
      <c r="AB907" s="166"/>
      <c r="AC907" s="166"/>
      <c r="AD907" s="166"/>
      <c r="AE907" s="166"/>
      <c r="AF907" s="166"/>
      <c r="AG907" s="166"/>
      <c r="AH907" s="166"/>
      <c r="AI907" s="166"/>
    </row>
    <row r="908" spans="7:35" x14ac:dyDescent="0.25">
      <c r="G908" s="165"/>
      <c r="H908" s="166"/>
      <c r="I908" s="167"/>
      <c r="J908" s="167"/>
      <c r="K908" s="166"/>
      <c r="L908" s="166"/>
      <c r="M908" s="166"/>
      <c r="N908" s="166"/>
      <c r="O908" s="166"/>
      <c r="P908" s="166"/>
      <c r="Q908" s="166"/>
      <c r="R908" s="166"/>
      <c r="S908" s="166"/>
      <c r="T908" s="166"/>
      <c r="U908" s="166"/>
      <c r="V908" s="166"/>
      <c r="W908" s="166"/>
      <c r="X908" s="166"/>
      <c r="Y908" s="166"/>
      <c r="Z908" s="166"/>
      <c r="AA908" s="166"/>
      <c r="AB908" s="166"/>
      <c r="AC908" s="166"/>
      <c r="AD908" s="166"/>
      <c r="AE908" s="166"/>
      <c r="AF908" s="166"/>
      <c r="AG908" s="166"/>
      <c r="AH908" s="166"/>
      <c r="AI908" s="166"/>
    </row>
    <row r="909" spans="7:35" x14ac:dyDescent="0.25">
      <c r="G909" s="165"/>
      <c r="H909" s="166"/>
      <c r="I909" s="167"/>
      <c r="J909" s="167"/>
      <c r="K909" s="166"/>
      <c r="L909" s="166"/>
      <c r="M909" s="166"/>
      <c r="N909" s="166"/>
      <c r="O909" s="166"/>
      <c r="P909" s="166"/>
      <c r="Q909" s="166"/>
      <c r="R909" s="166"/>
      <c r="S909" s="166"/>
      <c r="T909" s="166"/>
      <c r="U909" s="166"/>
      <c r="V909" s="166"/>
      <c r="W909" s="166"/>
      <c r="X909" s="166"/>
      <c r="Y909" s="166"/>
      <c r="Z909" s="166"/>
      <c r="AA909" s="166"/>
      <c r="AB909" s="166"/>
      <c r="AC909" s="166"/>
      <c r="AD909" s="166"/>
      <c r="AE909" s="166"/>
      <c r="AF909" s="166"/>
      <c r="AG909" s="166"/>
      <c r="AH909" s="166"/>
      <c r="AI909" s="166"/>
    </row>
    <row r="910" spans="7:35" x14ac:dyDescent="0.25">
      <c r="G910" s="165"/>
      <c r="H910" s="166"/>
      <c r="I910" s="167"/>
      <c r="J910" s="167"/>
      <c r="K910" s="166"/>
      <c r="L910" s="166"/>
      <c r="M910" s="166"/>
      <c r="N910" s="166"/>
      <c r="O910" s="166"/>
      <c r="P910" s="166"/>
      <c r="Q910" s="166"/>
      <c r="R910" s="166"/>
      <c r="S910" s="166"/>
      <c r="T910" s="166"/>
      <c r="U910" s="166"/>
      <c r="V910" s="166"/>
      <c r="W910" s="166"/>
      <c r="X910" s="166"/>
      <c r="Y910" s="166"/>
      <c r="Z910" s="166"/>
      <c r="AA910" s="166"/>
      <c r="AB910" s="166"/>
      <c r="AC910" s="166"/>
      <c r="AD910" s="166"/>
      <c r="AE910" s="166"/>
      <c r="AF910" s="166"/>
      <c r="AG910" s="166"/>
      <c r="AH910" s="166"/>
      <c r="AI910" s="166"/>
    </row>
    <row r="911" spans="7:35" x14ac:dyDescent="0.25">
      <c r="G911" s="165"/>
      <c r="H911" s="166"/>
      <c r="I911" s="167"/>
      <c r="J911" s="167"/>
      <c r="K911" s="166"/>
      <c r="L911" s="166"/>
      <c r="M911" s="166"/>
      <c r="N911" s="166"/>
      <c r="O911" s="166"/>
      <c r="P911" s="166"/>
      <c r="Q911" s="166"/>
      <c r="R911" s="166"/>
      <c r="S911" s="166"/>
      <c r="T911" s="166"/>
      <c r="U911" s="166"/>
      <c r="V911" s="166"/>
      <c r="W911" s="166"/>
      <c r="X911" s="166"/>
      <c r="Y911" s="166"/>
      <c r="Z911" s="166"/>
      <c r="AA911" s="166"/>
      <c r="AB911" s="166"/>
      <c r="AC911" s="166"/>
      <c r="AD911" s="166"/>
      <c r="AE911" s="166"/>
      <c r="AF911" s="166"/>
      <c r="AG911" s="166"/>
      <c r="AH911" s="166"/>
      <c r="AI911" s="166"/>
    </row>
    <row r="912" spans="7:35" x14ac:dyDescent="0.25">
      <c r="G912" s="165"/>
      <c r="H912" s="166"/>
      <c r="I912" s="167"/>
      <c r="J912" s="167"/>
      <c r="K912" s="166"/>
      <c r="L912" s="166"/>
      <c r="M912" s="166"/>
      <c r="N912" s="166"/>
      <c r="O912" s="166"/>
      <c r="P912" s="166"/>
      <c r="Q912" s="166"/>
      <c r="R912" s="166"/>
      <c r="S912" s="166"/>
      <c r="T912" s="166"/>
      <c r="U912" s="166"/>
      <c r="V912" s="166"/>
      <c r="W912" s="166"/>
      <c r="X912" s="166"/>
      <c r="Y912" s="166"/>
      <c r="Z912" s="166"/>
      <c r="AA912" s="166"/>
      <c r="AB912" s="166"/>
      <c r="AC912" s="166"/>
      <c r="AD912" s="166"/>
      <c r="AE912" s="166"/>
      <c r="AF912" s="166"/>
      <c r="AG912" s="166"/>
      <c r="AH912" s="166"/>
      <c r="AI912" s="166"/>
    </row>
    <row r="913" spans="7:35" x14ac:dyDescent="0.25">
      <c r="G913" s="165"/>
      <c r="H913" s="166"/>
      <c r="I913" s="167"/>
      <c r="J913" s="167"/>
      <c r="K913" s="166"/>
      <c r="L913" s="166"/>
      <c r="M913" s="166"/>
      <c r="N913" s="166"/>
      <c r="O913" s="166"/>
      <c r="P913" s="166"/>
      <c r="Q913" s="166"/>
      <c r="R913" s="166"/>
      <c r="S913" s="166"/>
      <c r="T913" s="166"/>
      <c r="U913" s="166"/>
      <c r="V913" s="166"/>
      <c r="W913" s="166"/>
      <c r="X913" s="166"/>
      <c r="Y913" s="166"/>
      <c r="Z913" s="166"/>
      <c r="AA913" s="166"/>
      <c r="AB913" s="166"/>
      <c r="AC913" s="166"/>
      <c r="AD913" s="166"/>
      <c r="AE913" s="166"/>
      <c r="AF913" s="166"/>
      <c r="AG913" s="166"/>
      <c r="AH913" s="166"/>
      <c r="AI913" s="166"/>
    </row>
    <row r="914" spans="7:35" x14ac:dyDescent="0.25">
      <c r="G914" s="165"/>
      <c r="H914" s="166"/>
      <c r="I914" s="167"/>
      <c r="J914" s="167"/>
      <c r="K914" s="166"/>
      <c r="L914" s="166"/>
      <c r="M914" s="166"/>
      <c r="N914" s="166"/>
      <c r="O914" s="166"/>
      <c r="P914" s="166"/>
      <c r="Q914" s="166"/>
      <c r="R914" s="166"/>
      <c r="S914" s="166"/>
      <c r="T914" s="166"/>
      <c r="U914" s="166"/>
      <c r="V914" s="166"/>
      <c r="W914" s="166"/>
      <c r="X914" s="166"/>
      <c r="Y914" s="166"/>
      <c r="Z914" s="166"/>
      <c r="AA914" s="166"/>
      <c r="AB914" s="166"/>
      <c r="AC914" s="166"/>
      <c r="AD914" s="166"/>
      <c r="AE914" s="166"/>
      <c r="AF914" s="166"/>
      <c r="AG914" s="166"/>
      <c r="AH914" s="166"/>
      <c r="AI914" s="166"/>
    </row>
    <row r="915" spans="7:35" x14ac:dyDescent="0.25">
      <c r="G915" s="165"/>
      <c r="H915" s="166"/>
      <c r="I915" s="167"/>
      <c r="J915" s="167"/>
      <c r="K915" s="166"/>
      <c r="L915" s="166"/>
      <c r="M915" s="166"/>
      <c r="N915" s="166"/>
      <c r="O915" s="166"/>
      <c r="P915" s="166"/>
      <c r="Q915" s="166"/>
      <c r="R915" s="166"/>
      <c r="S915" s="166"/>
      <c r="T915" s="166"/>
      <c r="U915" s="166"/>
      <c r="V915" s="166"/>
      <c r="W915" s="166"/>
      <c r="X915" s="166"/>
      <c r="Y915" s="166"/>
      <c r="Z915" s="166"/>
      <c r="AA915" s="166"/>
      <c r="AB915" s="166"/>
      <c r="AC915" s="166"/>
      <c r="AD915" s="166"/>
      <c r="AE915" s="166"/>
      <c r="AF915" s="166"/>
      <c r="AG915" s="166"/>
      <c r="AH915" s="166"/>
      <c r="AI915" s="166"/>
    </row>
    <row r="916" spans="7:35" x14ac:dyDescent="0.25">
      <c r="G916" s="165"/>
      <c r="H916" s="166"/>
      <c r="I916" s="167"/>
      <c r="J916" s="167"/>
      <c r="K916" s="166"/>
      <c r="L916" s="166"/>
      <c r="M916" s="166"/>
      <c r="N916" s="166"/>
      <c r="O916" s="166"/>
      <c r="P916" s="166"/>
      <c r="Q916" s="166"/>
      <c r="R916" s="166"/>
      <c r="S916" s="166"/>
      <c r="T916" s="166"/>
      <c r="U916" s="166"/>
      <c r="V916" s="166"/>
      <c r="W916" s="166"/>
      <c r="X916" s="166"/>
      <c r="Y916" s="166"/>
      <c r="Z916" s="166"/>
      <c r="AA916" s="166"/>
      <c r="AB916" s="166"/>
      <c r="AC916" s="166"/>
      <c r="AD916" s="166"/>
      <c r="AE916" s="166"/>
      <c r="AF916" s="166"/>
      <c r="AG916" s="166"/>
      <c r="AH916" s="166"/>
      <c r="AI916" s="166"/>
    </row>
    <row r="917" spans="7:35" x14ac:dyDescent="0.25">
      <c r="G917" s="165"/>
      <c r="H917" s="166"/>
      <c r="I917" s="167"/>
      <c r="J917" s="167"/>
      <c r="K917" s="166"/>
      <c r="L917" s="166"/>
      <c r="M917" s="166"/>
      <c r="N917" s="166"/>
      <c r="O917" s="166"/>
      <c r="P917" s="166"/>
      <c r="Q917" s="166"/>
      <c r="R917" s="166"/>
      <c r="S917" s="166"/>
      <c r="T917" s="166"/>
      <c r="U917" s="166"/>
      <c r="V917" s="166"/>
      <c r="W917" s="166"/>
      <c r="X917" s="166"/>
      <c r="Y917" s="166"/>
      <c r="Z917" s="166"/>
      <c r="AA917" s="166"/>
      <c r="AB917" s="166"/>
      <c r="AC917" s="166"/>
      <c r="AD917" s="166"/>
      <c r="AE917" s="166"/>
      <c r="AF917" s="166"/>
      <c r="AG917" s="166"/>
      <c r="AH917" s="166"/>
      <c r="AI917" s="166"/>
    </row>
    <row r="918" spans="7:35" x14ac:dyDescent="0.25">
      <c r="G918" s="165"/>
      <c r="H918" s="166"/>
      <c r="I918" s="167"/>
      <c r="J918" s="167"/>
      <c r="K918" s="166"/>
      <c r="L918" s="166"/>
      <c r="M918" s="166"/>
      <c r="N918" s="166"/>
      <c r="O918" s="166"/>
      <c r="P918" s="166"/>
      <c r="Q918" s="166"/>
      <c r="R918" s="166"/>
      <c r="S918" s="166"/>
      <c r="T918" s="166"/>
      <c r="U918" s="166"/>
      <c r="V918" s="166"/>
      <c r="W918" s="166"/>
      <c r="X918" s="166"/>
      <c r="Y918" s="166"/>
      <c r="Z918" s="166"/>
      <c r="AA918" s="166"/>
      <c r="AB918" s="166"/>
      <c r="AC918" s="166"/>
      <c r="AD918" s="166"/>
      <c r="AE918" s="166"/>
      <c r="AF918" s="166"/>
      <c r="AG918" s="166"/>
      <c r="AH918" s="166"/>
      <c r="AI918" s="166"/>
    </row>
    <row r="919" spans="7:35" x14ac:dyDescent="0.25">
      <c r="G919" s="165"/>
      <c r="H919" s="166"/>
      <c r="I919" s="167"/>
      <c r="J919" s="167"/>
      <c r="K919" s="166"/>
      <c r="L919" s="166"/>
      <c r="M919" s="166"/>
      <c r="N919" s="166"/>
      <c r="O919" s="166"/>
      <c r="P919" s="166"/>
      <c r="Q919" s="166"/>
      <c r="R919" s="166"/>
      <c r="S919" s="166"/>
      <c r="T919" s="166"/>
      <c r="U919" s="166"/>
      <c r="V919" s="166"/>
      <c r="W919" s="166"/>
      <c r="X919" s="166"/>
      <c r="Y919" s="166"/>
      <c r="Z919" s="166"/>
      <c r="AA919" s="166"/>
      <c r="AB919" s="166"/>
      <c r="AC919" s="166"/>
      <c r="AD919" s="166"/>
      <c r="AE919" s="166"/>
      <c r="AF919" s="166"/>
      <c r="AG919" s="166"/>
      <c r="AH919" s="166"/>
      <c r="AI919" s="166"/>
    </row>
    <row r="920" spans="7:35" x14ac:dyDescent="0.25">
      <c r="G920" s="165"/>
      <c r="H920" s="166"/>
      <c r="I920" s="167"/>
      <c r="J920" s="167"/>
      <c r="K920" s="166"/>
      <c r="L920" s="166"/>
      <c r="M920" s="166"/>
      <c r="N920" s="166"/>
      <c r="O920" s="166"/>
      <c r="P920" s="166"/>
      <c r="Q920" s="166"/>
      <c r="R920" s="166"/>
      <c r="S920" s="166"/>
      <c r="T920" s="166"/>
      <c r="U920" s="166"/>
      <c r="V920" s="166"/>
      <c r="W920" s="166"/>
      <c r="X920" s="166"/>
      <c r="Y920" s="166"/>
      <c r="Z920" s="166"/>
      <c r="AA920" s="166"/>
      <c r="AB920" s="166"/>
      <c r="AC920" s="166"/>
      <c r="AD920" s="166"/>
      <c r="AE920" s="166"/>
      <c r="AF920" s="166"/>
      <c r="AG920" s="166"/>
      <c r="AH920" s="166"/>
      <c r="AI920" s="166"/>
    </row>
    <row r="921" spans="7:35" x14ac:dyDescent="0.25">
      <c r="G921" s="165"/>
      <c r="H921" s="166"/>
      <c r="I921" s="167"/>
      <c r="J921" s="167"/>
      <c r="K921" s="166"/>
      <c r="L921" s="166"/>
      <c r="M921" s="166"/>
      <c r="N921" s="166"/>
      <c r="O921" s="166"/>
      <c r="P921" s="166"/>
      <c r="Q921" s="166"/>
      <c r="R921" s="166"/>
      <c r="S921" s="166"/>
      <c r="T921" s="166"/>
      <c r="U921" s="166"/>
      <c r="V921" s="166"/>
      <c r="W921" s="166"/>
      <c r="X921" s="166"/>
      <c r="Y921" s="166"/>
      <c r="Z921" s="166"/>
      <c r="AA921" s="166"/>
      <c r="AB921" s="166"/>
      <c r="AC921" s="166"/>
      <c r="AD921" s="166"/>
      <c r="AE921" s="166"/>
      <c r="AF921" s="166"/>
      <c r="AG921" s="166"/>
      <c r="AH921" s="166"/>
      <c r="AI921" s="166"/>
    </row>
    <row r="922" spans="7:35" x14ac:dyDescent="0.25">
      <c r="G922" s="165"/>
      <c r="H922" s="166"/>
      <c r="I922" s="167"/>
      <c r="J922" s="167"/>
      <c r="K922" s="166"/>
      <c r="L922" s="166"/>
      <c r="M922" s="166"/>
      <c r="N922" s="166"/>
      <c r="O922" s="166"/>
      <c r="P922" s="166"/>
      <c r="Q922" s="166"/>
      <c r="R922" s="166"/>
      <c r="S922" s="166"/>
      <c r="T922" s="166"/>
      <c r="U922" s="166"/>
      <c r="V922" s="166"/>
      <c r="W922" s="166"/>
      <c r="X922" s="166"/>
      <c r="Y922" s="166"/>
      <c r="Z922" s="166"/>
      <c r="AA922" s="166"/>
      <c r="AB922" s="166"/>
      <c r="AC922" s="166"/>
      <c r="AD922" s="166"/>
      <c r="AE922" s="166"/>
      <c r="AF922" s="166"/>
      <c r="AG922" s="166"/>
      <c r="AH922" s="166"/>
      <c r="AI922" s="166"/>
    </row>
    <row r="923" spans="7:35" x14ac:dyDescent="0.25">
      <c r="G923" s="165"/>
      <c r="H923" s="166"/>
      <c r="I923" s="167"/>
      <c r="J923" s="167"/>
      <c r="K923" s="166"/>
      <c r="L923" s="166"/>
      <c r="M923" s="166"/>
      <c r="N923" s="166"/>
      <c r="O923" s="166"/>
      <c r="P923" s="166"/>
      <c r="Q923" s="166"/>
      <c r="R923" s="166"/>
      <c r="S923" s="166"/>
      <c r="T923" s="166"/>
      <c r="U923" s="166"/>
      <c r="V923" s="166"/>
      <c r="W923" s="166"/>
      <c r="X923" s="166"/>
      <c r="Y923" s="166"/>
      <c r="Z923" s="166"/>
      <c r="AA923" s="166"/>
      <c r="AB923" s="166"/>
      <c r="AC923" s="166"/>
      <c r="AD923" s="166"/>
      <c r="AE923" s="166"/>
      <c r="AF923" s="166"/>
      <c r="AG923" s="166"/>
      <c r="AH923" s="166"/>
      <c r="AI923" s="166"/>
    </row>
    <row r="924" spans="7:35" x14ac:dyDescent="0.25">
      <c r="G924" s="165"/>
      <c r="H924" s="166"/>
      <c r="I924" s="167"/>
      <c r="J924" s="167"/>
      <c r="K924" s="166"/>
      <c r="L924" s="166"/>
      <c r="M924" s="166"/>
      <c r="N924" s="166"/>
      <c r="O924" s="166"/>
      <c r="P924" s="166"/>
      <c r="Q924" s="166"/>
      <c r="R924" s="166"/>
      <c r="S924" s="166"/>
      <c r="T924" s="166"/>
      <c r="U924" s="166"/>
      <c r="V924" s="166"/>
      <c r="W924" s="166"/>
      <c r="X924" s="166"/>
      <c r="Y924" s="166"/>
      <c r="Z924" s="166"/>
      <c r="AA924" s="166"/>
      <c r="AB924" s="166"/>
      <c r="AC924" s="166"/>
      <c r="AD924" s="166"/>
      <c r="AE924" s="166"/>
      <c r="AF924" s="166"/>
      <c r="AG924" s="166"/>
      <c r="AH924" s="166"/>
      <c r="AI924" s="166"/>
    </row>
    <row r="925" spans="7:35" x14ac:dyDescent="0.25">
      <c r="G925" s="165"/>
      <c r="H925" s="166"/>
      <c r="I925" s="167"/>
      <c r="J925" s="167"/>
      <c r="K925" s="166"/>
      <c r="L925" s="166"/>
      <c r="M925" s="166"/>
      <c r="N925" s="166"/>
      <c r="O925" s="166"/>
      <c r="P925" s="166"/>
      <c r="Q925" s="166"/>
      <c r="R925" s="166"/>
      <c r="S925" s="166"/>
      <c r="T925" s="166"/>
      <c r="U925" s="166"/>
      <c r="V925" s="166"/>
      <c r="W925" s="166"/>
      <c r="X925" s="166"/>
      <c r="Y925" s="166"/>
      <c r="Z925" s="166"/>
      <c r="AA925" s="166"/>
      <c r="AB925" s="166"/>
      <c r="AC925" s="166"/>
      <c r="AD925" s="166"/>
      <c r="AE925" s="166"/>
      <c r="AF925" s="166"/>
      <c r="AG925" s="166"/>
      <c r="AH925" s="166"/>
      <c r="AI925" s="166"/>
    </row>
    <row r="926" spans="7:35" x14ac:dyDescent="0.25">
      <c r="G926" s="165"/>
      <c r="H926" s="166"/>
      <c r="I926" s="167"/>
      <c r="J926" s="167"/>
      <c r="K926" s="166"/>
      <c r="L926" s="166"/>
      <c r="M926" s="166"/>
      <c r="N926" s="166"/>
      <c r="O926" s="166"/>
      <c r="P926" s="166"/>
      <c r="Q926" s="166"/>
      <c r="R926" s="166"/>
      <c r="S926" s="166"/>
      <c r="T926" s="166"/>
      <c r="U926" s="166"/>
      <c r="V926" s="166"/>
      <c r="W926" s="166"/>
      <c r="X926" s="166"/>
      <c r="Y926" s="166"/>
      <c r="Z926" s="166"/>
      <c r="AA926" s="166"/>
      <c r="AB926" s="166"/>
      <c r="AC926" s="166"/>
      <c r="AD926" s="166"/>
      <c r="AE926" s="166"/>
      <c r="AF926" s="166"/>
      <c r="AG926" s="166"/>
      <c r="AH926" s="166"/>
      <c r="AI926" s="166"/>
    </row>
    <row r="927" spans="7:35" x14ac:dyDescent="0.25">
      <c r="G927" s="165"/>
      <c r="H927" s="166"/>
      <c r="I927" s="167"/>
      <c r="J927" s="167"/>
      <c r="K927" s="166"/>
      <c r="L927" s="166"/>
      <c r="M927" s="166"/>
      <c r="N927" s="166"/>
      <c r="O927" s="166"/>
      <c r="P927" s="166"/>
      <c r="Q927" s="166"/>
      <c r="R927" s="166"/>
      <c r="S927" s="166"/>
      <c r="T927" s="166"/>
      <c r="U927" s="166"/>
      <c r="V927" s="166"/>
      <c r="W927" s="166"/>
      <c r="X927" s="166"/>
      <c r="Y927" s="166"/>
      <c r="Z927" s="166"/>
      <c r="AA927" s="166"/>
      <c r="AB927" s="166"/>
      <c r="AC927" s="166"/>
      <c r="AD927" s="166"/>
      <c r="AE927" s="166"/>
      <c r="AF927" s="166"/>
      <c r="AG927" s="166"/>
      <c r="AH927" s="166"/>
      <c r="AI927" s="166"/>
    </row>
    <row r="928" spans="7:35" x14ac:dyDescent="0.25">
      <c r="G928" s="165"/>
      <c r="H928" s="166"/>
      <c r="I928" s="167"/>
      <c r="J928" s="167"/>
      <c r="K928" s="166"/>
      <c r="L928" s="166"/>
      <c r="M928" s="166"/>
      <c r="N928" s="166"/>
      <c r="O928" s="166"/>
      <c r="P928" s="166"/>
      <c r="Q928" s="166"/>
      <c r="R928" s="166"/>
      <c r="S928" s="166"/>
      <c r="T928" s="166"/>
      <c r="U928" s="166"/>
      <c r="V928" s="166"/>
      <c r="W928" s="166"/>
      <c r="X928" s="166"/>
      <c r="Y928" s="166"/>
      <c r="Z928" s="166"/>
      <c r="AA928" s="166"/>
      <c r="AB928" s="166"/>
      <c r="AC928" s="166"/>
      <c r="AD928" s="166"/>
      <c r="AE928" s="166"/>
      <c r="AF928" s="166"/>
      <c r="AG928" s="166"/>
      <c r="AH928" s="166"/>
      <c r="AI928" s="166"/>
    </row>
    <row r="929" spans="7:35" x14ac:dyDescent="0.25">
      <c r="G929" s="165"/>
      <c r="H929" s="166"/>
      <c r="I929" s="167"/>
      <c r="J929" s="167"/>
      <c r="K929" s="166"/>
      <c r="L929" s="166"/>
      <c r="M929" s="166"/>
      <c r="N929" s="166"/>
      <c r="O929" s="166"/>
      <c r="P929" s="166"/>
      <c r="Q929" s="166"/>
      <c r="R929" s="166"/>
      <c r="S929" s="166"/>
      <c r="T929" s="166"/>
      <c r="U929" s="166"/>
      <c r="V929" s="166"/>
      <c r="W929" s="166"/>
      <c r="X929" s="166"/>
      <c r="Y929" s="166"/>
      <c r="Z929" s="166"/>
      <c r="AA929" s="166"/>
      <c r="AB929" s="166"/>
      <c r="AC929" s="166"/>
      <c r="AD929" s="166"/>
      <c r="AE929" s="166"/>
      <c r="AF929" s="166"/>
      <c r="AG929" s="166"/>
      <c r="AH929" s="166"/>
      <c r="AI929" s="166"/>
    </row>
    <row r="930" spans="7:35" x14ac:dyDescent="0.25">
      <c r="G930" s="165"/>
      <c r="H930" s="166"/>
      <c r="I930" s="167"/>
      <c r="J930" s="167"/>
      <c r="K930" s="166"/>
      <c r="L930" s="166"/>
      <c r="M930" s="166"/>
      <c r="N930" s="166"/>
      <c r="O930" s="166"/>
      <c r="P930" s="166"/>
      <c r="Q930" s="166"/>
      <c r="R930" s="166"/>
      <c r="S930" s="166"/>
      <c r="T930" s="166"/>
      <c r="U930" s="166"/>
      <c r="V930" s="166"/>
      <c r="W930" s="166"/>
      <c r="X930" s="166"/>
      <c r="Y930" s="166"/>
      <c r="Z930" s="166"/>
      <c r="AA930" s="166"/>
      <c r="AB930" s="166"/>
      <c r="AC930" s="166"/>
      <c r="AD930" s="166"/>
      <c r="AE930" s="166"/>
      <c r="AF930" s="166"/>
      <c r="AG930" s="166"/>
      <c r="AH930" s="166"/>
      <c r="AI930" s="166"/>
    </row>
    <row r="931" spans="7:35" x14ac:dyDescent="0.25">
      <c r="G931" s="165"/>
      <c r="H931" s="166"/>
      <c r="I931" s="167"/>
      <c r="J931" s="167"/>
      <c r="K931" s="166"/>
      <c r="L931" s="166"/>
      <c r="M931" s="166"/>
      <c r="N931" s="166"/>
      <c r="O931" s="166"/>
      <c r="P931" s="166"/>
      <c r="Q931" s="166"/>
      <c r="R931" s="166"/>
      <c r="S931" s="166"/>
      <c r="T931" s="166"/>
      <c r="U931" s="166"/>
      <c r="V931" s="166"/>
      <c r="W931" s="166"/>
      <c r="X931" s="166"/>
      <c r="Y931" s="166"/>
      <c r="Z931" s="166"/>
      <c r="AA931" s="166"/>
      <c r="AB931" s="166"/>
      <c r="AC931" s="166"/>
      <c r="AD931" s="166"/>
      <c r="AE931" s="166"/>
      <c r="AF931" s="166"/>
      <c r="AG931" s="166"/>
      <c r="AH931" s="166"/>
      <c r="AI931" s="166"/>
    </row>
    <row r="932" spans="7:35" x14ac:dyDescent="0.25">
      <c r="G932" s="165"/>
      <c r="H932" s="166"/>
      <c r="I932" s="167"/>
      <c r="J932" s="167"/>
      <c r="K932" s="166"/>
      <c r="L932" s="166"/>
      <c r="M932" s="166"/>
      <c r="N932" s="166"/>
      <c r="O932" s="166"/>
      <c r="P932" s="166"/>
      <c r="Q932" s="166"/>
      <c r="R932" s="166"/>
      <c r="S932" s="166"/>
      <c r="T932" s="166"/>
      <c r="U932" s="166"/>
      <c r="V932" s="166"/>
      <c r="W932" s="166"/>
      <c r="X932" s="166"/>
      <c r="Y932" s="166"/>
      <c r="Z932" s="166"/>
      <c r="AA932" s="166"/>
      <c r="AB932" s="166"/>
      <c r="AC932" s="166"/>
      <c r="AD932" s="166"/>
      <c r="AE932" s="166"/>
      <c r="AF932" s="166"/>
      <c r="AG932" s="166"/>
      <c r="AH932" s="166"/>
      <c r="AI932" s="166"/>
    </row>
    <row r="933" spans="7:35" x14ac:dyDescent="0.25">
      <c r="G933" s="165"/>
      <c r="H933" s="166"/>
      <c r="I933" s="167"/>
      <c r="J933" s="167"/>
      <c r="K933" s="166"/>
      <c r="L933" s="166"/>
      <c r="M933" s="166"/>
      <c r="N933" s="166"/>
      <c r="O933" s="166"/>
      <c r="P933" s="166"/>
      <c r="Q933" s="166"/>
      <c r="R933" s="166"/>
      <c r="S933" s="166"/>
      <c r="T933" s="166"/>
      <c r="U933" s="166"/>
      <c r="V933" s="166"/>
      <c r="W933" s="166"/>
      <c r="X933" s="166"/>
      <c r="Y933" s="166"/>
      <c r="Z933" s="166"/>
      <c r="AA933" s="166"/>
      <c r="AB933" s="166"/>
      <c r="AC933" s="166"/>
      <c r="AD933" s="166"/>
      <c r="AE933" s="166"/>
      <c r="AF933" s="166"/>
      <c r="AG933" s="166"/>
      <c r="AH933" s="166"/>
      <c r="AI933" s="166"/>
    </row>
    <row r="934" spans="7:35" x14ac:dyDescent="0.25">
      <c r="G934" s="165"/>
      <c r="H934" s="166"/>
      <c r="I934" s="167"/>
      <c r="J934" s="167"/>
      <c r="K934" s="166"/>
      <c r="L934" s="166"/>
      <c r="M934" s="166"/>
      <c r="N934" s="166"/>
      <c r="O934" s="166"/>
      <c r="P934" s="166"/>
      <c r="Q934" s="166"/>
      <c r="R934" s="166"/>
      <c r="S934" s="166"/>
      <c r="T934" s="166"/>
      <c r="U934" s="166"/>
      <c r="V934" s="166"/>
      <c r="W934" s="166"/>
      <c r="X934" s="166"/>
      <c r="Y934" s="166"/>
      <c r="Z934" s="166"/>
      <c r="AA934" s="166"/>
      <c r="AB934" s="166"/>
      <c r="AC934" s="166"/>
      <c r="AD934" s="166"/>
      <c r="AE934" s="166"/>
      <c r="AF934" s="166"/>
      <c r="AG934" s="166"/>
      <c r="AH934" s="166"/>
      <c r="AI934" s="166"/>
    </row>
    <row r="935" spans="7:35" x14ac:dyDescent="0.25">
      <c r="G935" s="165"/>
      <c r="H935" s="166"/>
      <c r="I935" s="167"/>
      <c r="J935" s="167"/>
      <c r="K935" s="166"/>
      <c r="L935" s="166"/>
      <c r="M935" s="166"/>
      <c r="N935" s="166"/>
      <c r="O935" s="166"/>
      <c r="P935" s="166"/>
      <c r="Q935" s="166"/>
      <c r="R935" s="166"/>
      <c r="S935" s="166"/>
      <c r="T935" s="166"/>
      <c r="U935" s="166"/>
      <c r="V935" s="166"/>
      <c r="W935" s="166"/>
      <c r="X935" s="166"/>
      <c r="Y935" s="166"/>
      <c r="Z935" s="166"/>
      <c r="AA935" s="166"/>
      <c r="AB935" s="166"/>
      <c r="AC935" s="166"/>
      <c r="AD935" s="166"/>
      <c r="AE935" s="166"/>
      <c r="AF935" s="166"/>
      <c r="AG935" s="166"/>
      <c r="AH935" s="166"/>
      <c r="AI935" s="166"/>
    </row>
    <row r="936" spans="7:35" x14ac:dyDescent="0.25">
      <c r="G936" s="165"/>
      <c r="H936" s="166"/>
      <c r="I936" s="167"/>
      <c r="J936" s="167"/>
      <c r="K936" s="166"/>
      <c r="L936" s="166"/>
      <c r="M936" s="166"/>
      <c r="N936" s="166"/>
      <c r="O936" s="166"/>
      <c r="P936" s="166"/>
      <c r="Q936" s="166"/>
      <c r="R936" s="166"/>
      <c r="S936" s="166"/>
      <c r="T936" s="166"/>
      <c r="U936" s="166"/>
      <c r="V936" s="166"/>
      <c r="W936" s="166"/>
      <c r="X936" s="166"/>
      <c r="Y936" s="166"/>
      <c r="Z936" s="166"/>
      <c r="AA936" s="166"/>
      <c r="AB936" s="166"/>
      <c r="AC936" s="166"/>
      <c r="AD936" s="166"/>
      <c r="AE936" s="166"/>
      <c r="AF936" s="166"/>
      <c r="AG936" s="166"/>
      <c r="AH936" s="166"/>
      <c r="AI936" s="166"/>
    </row>
    <row r="937" spans="7:35" x14ac:dyDescent="0.25">
      <c r="G937" s="165"/>
      <c r="H937" s="166"/>
      <c r="I937" s="167"/>
      <c r="J937" s="167"/>
      <c r="K937" s="166"/>
      <c r="L937" s="166"/>
      <c r="M937" s="166"/>
      <c r="N937" s="166"/>
      <c r="O937" s="166"/>
      <c r="P937" s="166"/>
      <c r="Q937" s="166"/>
      <c r="R937" s="166"/>
      <c r="S937" s="166"/>
      <c r="T937" s="166"/>
      <c r="U937" s="166"/>
      <c r="V937" s="166"/>
      <c r="W937" s="166"/>
      <c r="X937" s="166"/>
      <c r="Y937" s="166"/>
      <c r="Z937" s="166"/>
      <c r="AA937" s="166"/>
      <c r="AB937" s="166"/>
      <c r="AC937" s="166"/>
      <c r="AD937" s="166"/>
      <c r="AE937" s="166"/>
      <c r="AF937" s="166"/>
      <c r="AG937" s="166"/>
      <c r="AH937" s="166"/>
      <c r="AI937" s="166"/>
    </row>
    <row r="938" spans="7:35" x14ac:dyDescent="0.25">
      <c r="G938" s="165"/>
      <c r="H938" s="166"/>
      <c r="I938" s="167"/>
      <c r="J938" s="167"/>
      <c r="K938" s="166"/>
      <c r="L938" s="166"/>
      <c r="M938" s="166"/>
      <c r="N938" s="166"/>
      <c r="O938" s="166"/>
      <c r="P938" s="166"/>
      <c r="Q938" s="166"/>
      <c r="R938" s="166"/>
      <c r="S938" s="166"/>
      <c r="T938" s="166"/>
      <c r="U938" s="166"/>
      <c r="V938" s="166"/>
      <c r="W938" s="166"/>
      <c r="X938" s="166"/>
      <c r="Y938" s="166"/>
      <c r="Z938" s="166"/>
      <c r="AA938" s="166"/>
      <c r="AB938" s="166"/>
      <c r="AC938" s="166"/>
      <c r="AD938" s="166"/>
      <c r="AE938" s="166"/>
      <c r="AF938" s="166"/>
      <c r="AG938" s="166"/>
      <c r="AH938" s="166"/>
      <c r="AI938" s="166"/>
    </row>
    <row r="939" spans="7:35" x14ac:dyDescent="0.25">
      <c r="G939" s="165"/>
      <c r="H939" s="166"/>
      <c r="I939" s="167"/>
      <c r="J939" s="167"/>
      <c r="K939" s="166"/>
      <c r="L939" s="166"/>
      <c r="M939" s="166"/>
      <c r="N939" s="166"/>
      <c r="O939" s="166"/>
      <c r="P939" s="166"/>
      <c r="Q939" s="166"/>
      <c r="R939" s="166"/>
      <c r="S939" s="166"/>
      <c r="T939" s="166"/>
      <c r="U939" s="166"/>
      <c r="V939" s="166"/>
      <c r="W939" s="166"/>
      <c r="X939" s="166"/>
      <c r="Y939" s="166"/>
      <c r="Z939" s="166"/>
      <c r="AA939" s="166"/>
      <c r="AB939" s="166"/>
      <c r="AC939" s="166"/>
      <c r="AD939" s="166"/>
      <c r="AE939" s="166"/>
      <c r="AF939" s="166"/>
      <c r="AG939" s="166"/>
      <c r="AH939" s="166"/>
      <c r="AI939" s="166"/>
    </row>
    <row r="940" spans="7:35" x14ac:dyDescent="0.25">
      <c r="G940" s="165"/>
      <c r="H940" s="166"/>
      <c r="I940" s="167"/>
      <c r="J940" s="167"/>
      <c r="K940" s="166"/>
      <c r="L940" s="166"/>
      <c r="M940" s="166"/>
      <c r="N940" s="166"/>
      <c r="O940" s="166"/>
      <c r="P940" s="166"/>
      <c r="Q940" s="166"/>
      <c r="R940" s="166"/>
      <c r="S940" s="166"/>
      <c r="T940" s="166"/>
      <c r="U940" s="166"/>
      <c r="V940" s="166"/>
      <c r="W940" s="166"/>
      <c r="X940" s="166"/>
      <c r="Y940" s="166"/>
      <c r="Z940" s="166"/>
      <c r="AA940" s="166"/>
      <c r="AB940" s="166"/>
      <c r="AC940" s="166"/>
      <c r="AD940" s="166"/>
      <c r="AE940" s="166"/>
      <c r="AF940" s="166"/>
      <c r="AG940" s="166"/>
      <c r="AH940" s="166"/>
      <c r="AI940" s="166"/>
    </row>
    <row r="941" spans="7:35" x14ac:dyDescent="0.25">
      <c r="G941" s="165"/>
      <c r="H941" s="166"/>
      <c r="I941" s="167"/>
      <c r="J941" s="167"/>
      <c r="K941" s="166"/>
      <c r="L941" s="166"/>
      <c r="M941" s="166"/>
      <c r="N941" s="166"/>
      <c r="O941" s="166"/>
      <c r="P941" s="166"/>
      <c r="Q941" s="166"/>
      <c r="R941" s="166"/>
      <c r="S941" s="166"/>
      <c r="T941" s="166"/>
      <c r="U941" s="166"/>
      <c r="V941" s="166"/>
      <c r="W941" s="166"/>
      <c r="X941" s="166"/>
      <c r="Y941" s="166"/>
      <c r="Z941" s="166"/>
      <c r="AA941" s="166"/>
      <c r="AB941" s="166"/>
      <c r="AC941" s="166"/>
      <c r="AD941" s="166"/>
      <c r="AE941" s="166"/>
      <c r="AF941" s="166"/>
      <c r="AG941" s="166"/>
      <c r="AH941" s="166"/>
      <c r="AI941" s="166"/>
    </row>
    <row r="942" spans="7:35" x14ac:dyDescent="0.25">
      <c r="G942" s="165"/>
      <c r="H942" s="166"/>
      <c r="I942" s="167"/>
      <c r="J942" s="167"/>
      <c r="K942" s="166"/>
      <c r="L942" s="166"/>
      <c r="M942" s="166"/>
      <c r="N942" s="166"/>
      <c r="O942" s="166"/>
      <c r="P942" s="166"/>
      <c r="Q942" s="166"/>
      <c r="R942" s="166"/>
      <c r="S942" s="166"/>
      <c r="T942" s="166"/>
      <c r="U942" s="166"/>
      <c r="V942" s="166"/>
      <c r="W942" s="166"/>
      <c r="X942" s="166"/>
      <c r="Y942" s="166"/>
      <c r="Z942" s="166"/>
      <c r="AA942" s="166"/>
      <c r="AB942" s="166"/>
      <c r="AC942" s="166"/>
      <c r="AD942" s="166"/>
      <c r="AE942" s="166"/>
      <c r="AF942" s="166"/>
      <c r="AG942" s="166"/>
      <c r="AH942" s="166"/>
      <c r="AI942" s="166"/>
    </row>
    <row r="943" spans="7:35" x14ac:dyDescent="0.25">
      <c r="G943" s="165"/>
      <c r="H943" s="166"/>
      <c r="I943" s="167"/>
      <c r="J943" s="167"/>
      <c r="K943" s="166"/>
      <c r="L943" s="166"/>
      <c r="M943" s="166"/>
      <c r="N943" s="166"/>
      <c r="O943" s="166"/>
      <c r="P943" s="166"/>
      <c r="Q943" s="166"/>
      <c r="R943" s="166"/>
      <c r="S943" s="166"/>
      <c r="T943" s="166"/>
      <c r="U943" s="166"/>
      <c r="V943" s="166"/>
      <c r="W943" s="166"/>
      <c r="X943" s="166"/>
      <c r="Y943" s="166"/>
      <c r="Z943" s="166"/>
      <c r="AA943" s="166"/>
      <c r="AB943" s="166"/>
      <c r="AC943" s="166"/>
      <c r="AD943" s="166"/>
      <c r="AE943" s="166"/>
      <c r="AF943" s="166"/>
      <c r="AG943" s="166"/>
      <c r="AH943" s="166"/>
      <c r="AI943" s="166"/>
    </row>
    <row r="944" spans="7:35" x14ac:dyDescent="0.25">
      <c r="G944" s="165"/>
      <c r="H944" s="166"/>
      <c r="I944" s="167"/>
      <c r="J944" s="167"/>
      <c r="K944" s="166"/>
      <c r="L944" s="166"/>
      <c r="M944" s="166"/>
      <c r="N944" s="166"/>
      <c r="O944" s="166"/>
      <c r="P944" s="166"/>
      <c r="Q944" s="166"/>
      <c r="R944" s="166"/>
      <c r="S944" s="166"/>
      <c r="T944" s="166"/>
      <c r="U944" s="166"/>
      <c r="V944" s="166"/>
      <c r="W944" s="166"/>
      <c r="X944" s="166"/>
      <c r="Y944" s="166"/>
      <c r="Z944" s="166"/>
      <c r="AA944" s="166"/>
      <c r="AB944" s="166"/>
      <c r="AC944" s="166"/>
      <c r="AD944" s="166"/>
      <c r="AE944" s="166"/>
      <c r="AF944" s="166"/>
      <c r="AG944" s="166"/>
      <c r="AH944" s="166"/>
      <c r="AI944" s="166"/>
    </row>
    <row r="945" spans="7:35" x14ac:dyDescent="0.25">
      <c r="G945" s="165"/>
      <c r="H945" s="166"/>
      <c r="I945" s="167"/>
      <c r="J945" s="167"/>
      <c r="K945" s="166"/>
      <c r="L945" s="166"/>
      <c r="M945" s="166"/>
      <c r="N945" s="166"/>
      <c r="O945" s="166"/>
      <c r="P945" s="166"/>
      <c r="Q945" s="166"/>
      <c r="R945" s="166"/>
      <c r="S945" s="166"/>
      <c r="T945" s="166"/>
      <c r="U945" s="166"/>
      <c r="V945" s="166"/>
      <c r="W945" s="166"/>
      <c r="X945" s="166"/>
      <c r="Y945" s="166"/>
      <c r="Z945" s="166"/>
      <c r="AA945" s="166"/>
      <c r="AB945" s="166"/>
      <c r="AC945" s="166"/>
      <c r="AD945" s="166"/>
      <c r="AE945" s="166"/>
      <c r="AF945" s="166"/>
      <c r="AG945" s="166"/>
      <c r="AH945" s="166"/>
      <c r="AI945" s="166"/>
    </row>
    <row r="946" spans="7:35" x14ac:dyDescent="0.25">
      <c r="G946" s="165"/>
      <c r="H946" s="166"/>
      <c r="I946" s="167"/>
      <c r="J946" s="167"/>
      <c r="K946" s="166"/>
      <c r="L946" s="166"/>
      <c r="M946" s="166"/>
      <c r="N946" s="166"/>
      <c r="O946" s="166"/>
      <c r="P946" s="166"/>
      <c r="Q946" s="166"/>
      <c r="R946" s="166"/>
      <c r="S946" s="166"/>
      <c r="T946" s="166"/>
      <c r="U946" s="166"/>
      <c r="V946" s="166"/>
      <c r="W946" s="166"/>
      <c r="X946" s="166"/>
      <c r="Y946" s="166"/>
      <c r="Z946" s="166"/>
      <c r="AA946" s="166"/>
      <c r="AB946" s="166"/>
      <c r="AC946" s="166"/>
      <c r="AD946" s="166"/>
      <c r="AE946" s="166"/>
      <c r="AF946" s="166"/>
      <c r="AG946" s="166"/>
      <c r="AH946" s="166"/>
      <c r="AI946" s="166"/>
    </row>
    <row r="947" spans="7:35" x14ac:dyDescent="0.25">
      <c r="G947" s="165"/>
      <c r="H947" s="166"/>
      <c r="I947" s="167"/>
      <c r="J947" s="167"/>
      <c r="K947" s="166"/>
      <c r="L947" s="166"/>
      <c r="M947" s="166"/>
      <c r="N947" s="166"/>
      <c r="O947" s="166"/>
      <c r="P947" s="166"/>
      <c r="Q947" s="166"/>
      <c r="R947" s="166"/>
      <c r="S947" s="166"/>
      <c r="T947" s="166"/>
      <c r="U947" s="166"/>
      <c r="V947" s="166"/>
      <c r="W947" s="166"/>
      <c r="X947" s="166"/>
      <c r="Y947" s="166"/>
      <c r="Z947" s="166"/>
      <c r="AA947" s="166"/>
      <c r="AB947" s="166"/>
      <c r="AC947" s="166"/>
      <c r="AD947" s="166"/>
      <c r="AE947" s="166"/>
      <c r="AF947" s="166"/>
      <c r="AG947" s="166"/>
      <c r="AH947" s="166"/>
      <c r="AI947" s="166"/>
    </row>
    <row r="948" spans="7:35" x14ac:dyDescent="0.25">
      <c r="G948" s="165"/>
      <c r="H948" s="166"/>
      <c r="I948" s="167"/>
      <c r="J948" s="167"/>
      <c r="K948" s="166"/>
      <c r="L948" s="166"/>
      <c r="M948" s="166"/>
      <c r="N948" s="166"/>
      <c r="O948" s="166"/>
      <c r="P948" s="166"/>
      <c r="Q948" s="166"/>
      <c r="R948" s="166"/>
      <c r="S948" s="166"/>
      <c r="T948" s="166"/>
      <c r="U948" s="166"/>
      <c r="V948" s="166"/>
      <c r="W948" s="166"/>
      <c r="X948" s="166"/>
      <c r="Y948" s="166"/>
      <c r="Z948" s="166"/>
      <c r="AA948" s="166"/>
      <c r="AB948" s="166"/>
      <c r="AC948" s="166"/>
      <c r="AD948" s="166"/>
      <c r="AE948" s="166"/>
      <c r="AF948" s="166"/>
      <c r="AG948" s="166"/>
      <c r="AH948" s="166"/>
      <c r="AI948" s="166"/>
    </row>
    <row r="949" spans="7:35" x14ac:dyDescent="0.25">
      <c r="G949" s="165"/>
      <c r="H949" s="166"/>
      <c r="I949" s="167"/>
      <c r="J949" s="167"/>
      <c r="K949" s="166"/>
      <c r="L949" s="166"/>
      <c r="M949" s="166"/>
      <c r="N949" s="166"/>
      <c r="O949" s="166"/>
      <c r="P949" s="166"/>
      <c r="Q949" s="166"/>
      <c r="R949" s="166"/>
      <c r="S949" s="166"/>
      <c r="T949" s="166"/>
      <c r="U949" s="166"/>
      <c r="V949" s="166"/>
      <c r="W949" s="166"/>
      <c r="X949" s="166"/>
      <c r="Y949" s="166"/>
      <c r="Z949" s="166"/>
      <c r="AA949" s="166"/>
      <c r="AB949" s="166"/>
      <c r="AC949" s="166"/>
      <c r="AD949" s="166"/>
      <c r="AE949" s="166"/>
      <c r="AF949" s="166"/>
      <c r="AG949" s="166"/>
      <c r="AH949" s="166"/>
      <c r="AI949" s="166"/>
    </row>
    <row r="950" spans="7:35" x14ac:dyDescent="0.25">
      <c r="G950" s="165"/>
      <c r="H950" s="166"/>
      <c r="I950" s="167"/>
      <c r="J950" s="167"/>
      <c r="K950" s="166"/>
      <c r="L950" s="166"/>
      <c r="M950" s="166"/>
      <c r="N950" s="166"/>
      <c r="O950" s="166"/>
      <c r="P950" s="166"/>
      <c r="Q950" s="166"/>
      <c r="R950" s="166"/>
      <c r="S950" s="166"/>
      <c r="T950" s="166"/>
      <c r="U950" s="166"/>
      <c r="V950" s="166"/>
      <c r="W950" s="166"/>
      <c r="X950" s="166"/>
      <c r="Y950" s="166"/>
      <c r="Z950" s="166"/>
      <c r="AA950" s="166"/>
      <c r="AB950" s="166"/>
      <c r="AC950" s="166"/>
      <c r="AD950" s="166"/>
      <c r="AE950" s="166"/>
      <c r="AF950" s="166"/>
      <c r="AG950" s="166"/>
      <c r="AH950" s="166"/>
      <c r="AI950" s="166"/>
    </row>
    <row r="951" spans="7:35" x14ac:dyDescent="0.25">
      <c r="G951" s="165"/>
      <c r="H951" s="166"/>
      <c r="I951" s="167"/>
      <c r="J951" s="167"/>
      <c r="K951" s="166"/>
      <c r="L951" s="166"/>
      <c r="M951" s="166"/>
      <c r="N951" s="166"/>
      <c r="O951" s="166"/>
      <c r="P951" s="166"/>
      <c r="Q951" s="166"/>
      <c r="R951" s="166"/>
      <c r="S951" s="166"/>
      <c r="T951" s="166"/>
      <c r="U951" s="166"/>
      <c r="V951" s="166"/>
      <c r="W951" s="166"/>
      <c r="X951" s="166"/>
      <c r="Y951" s="166"/>
      <c r="Z951" s="166"/>
      <c r="AA951" s="166"/>
      <c r="AB951" s="166"/>
      <c r="AC951" s="166"/>
      <c r="AD951" s="166"/>
      <c r="AE951" s="166"/>
      <c r="AF951" s="166"/>
      <c r="AG951" s="166"/>
      <c r="AH951" s="166"/>
      <c r="AI951" s="166"/>
    </row>
    <row r="952" spans="7:35" x14ac:dyDescent="0.25">
      <c r="G952" s="165"/>
      <c r="H952" s="166"/>
      <c r="I952" s="167"/>
      <c r="J952" s="167"/>
      <c r="K952" s="166"/>
      <c r="L952" s="166"/>
      <c r="M952" s="166"/>
      <c r="N952" s="166"/>
      <c r="O952" s="166"/>
      <c r="P952" s="166"/>
      <c r="Q952" s="166"/>
      <c r="R952" s="166"/>
      <c r="S952" s="166"/>
      <c r="T952" s="166"/>
      <c r="U952" s="166"/>
      <c r="V952" s="166"/>
      <c r="W952" s="166"/>
      <c r="X952" s="166"/>
      <c r="Y952" s="166"/>
      <c r="Z952" s="166"/>
      <c r="AA952" s="166"/>
      <c r="AB952" s="166"/>
      <c r="AC952" s="166"/>
      <c r="AD952" s="166"/>
      <c r="AE952" s="166"/>
      <c r="AF952" s="166"/>
      <c r="AG952" s="166"/>
      <c r="AH952" s="166"/>
      <c r="AI952" s="166"/>
    </row>
    <row r="953" spans="7:35" x14ac:dyDescent="0.25">
      <c r="G953" s="165"/>
      <c r="H953" s="166"/>
      <c r="I953" s="167"/>
      <c r="J953" s="167"/>
      <c r="K953" s="166"/>
      <c r="L953" s="166"/>
      <c r="M953" s="166"/>
      <c r="N953" s="166"/>
      <c r="O953" s="166"/>
      <c r="P953" s="166"/>
      <c r="Q953" s="166"/>
      <c r="R953" s="166"/>
      <c r="S953" s="166"/>
      <c r="T953" s="166"/>
      <c r="U953" s="166"/>
      <c r="V953" s="166"/>
      <c r="W953" s="166"/>
      <c r="X953" s="166"/>
      <c r="Y953" s="166"/>
      <c r="Z953" s="166"/>
      <c r="AA953" s="166"/>
      <c r="AB953" s="166"/>
      <c r="AC953" s="166"/>
      <c r="AD953" s="166"/>
      <c r="AE953" s="166"/>
      <c r="AF953" s="166"/>
      <c r="AG953" s="166"/>
      <c r="AH953" s="166"/>
      <c r="AI953" s="166"/>
    </row>
    <row r="954" spans="7:35" x14ac:dyDescent="0.25">
      <c r="G954" s="165"/>
      <c r="H954" s="166"/>
      <c r="I954" s="167"/>
      <c r="J954" s="167"/>
      <c r="K954" s="166"/>
      <c r="L954" s="166"/>
      <c r="M954" s="166"/>
      <c r="N954" s="166"/>
      <c r="O954" s="166"/>
      <c r="P954" s="166"/>
      <c r="Q954" s="166"/>
      <c r="R954" s="166"/>
      <c r="S954" s="166"/>
      <c r="T954" s="166"/>
      <c r="U954" s="166"/>
      <c r="V954" s="166"/>
      <c r="W954" s="166"/>
      <c r="X954" s="166"/>
      <c r="Y954" s="166"/>
      <c r="Z954" s="166"/>
      <c r="AA954" s="166"/>
      <c r="AB954" s="166"/>
      <c r="AC954" s="166"/>
      <c r="AD954" s="166"/>
      <c r="AE954" s="166"/>
      <c r="AF954" s="166"/>
      <c r="AG954" s="166"/>
      <c r="AH954" s="166"/>
      <c r="AI954" s="166"/>
    </row>
    <row r="955" spans="7:35" x14ac:dyDescent="0.25">
      <c r="G955" s="165"/>
      <c r="H955" s="166"/>
      <c r="I955" s="167"/>
      <c r="J955" s="167"/>
      <c r="K955" s="166"/>
      <c r="L955" s="166"/>
      <c r="M955" s="166"/>
      <c r="N955" s="166"/>
      <c r="O955" s="166"/>
      <c r="P955" s="166"/>
      <c r="Q955" s="166"/>
      <c r="R955" s="166"/>
      <c r="S955" s="166"/>
      <c r="T955" s="166"/>
      <c r="U955" s="166"/>
      <c r="V955" s="166"/>
      <c r="W955" s="166"/>
      <c r="X955" s="166"/>
      <c r="Y955" s="166"/>
      <c r="Z955" s="166"/>
      <c r="AA955" s="166"/>
      <c r="AB955" s="166"/>
      <c r="AC955" s="166"/>
      <c r="AD955" s="166"/>
      <c r="AE955" s="166"/>
      <c r="AF955" s="166"/>
      <c r="AG955" s="166"/>
      <c r="AH955" s="166"/>
      <c r="AI955" s="166"/>
    </row>
    <row r="956" spans="7:35" x14ac:dyDescent="0.25">
      <c r="G956" s="165"/>
      <c r="H956" s="166"/>
      <c r="I956" s="167"/>
      <c r="J956" s="167"/>
      <c r="K956" s="166"/>
      <c r="L956" s="166"/>
      <c r="M956" s="166"/>
      <c r="N956" s="166"/>
      <c r="O956" s="166"/>
      <c r="P956" s="166"/>
      <c r="Q956" s="166"/>
      <c r="R956" s="166"/>
      <c r="S956" s="166"/>
      <c r="T956" s="166"/>
      <c r="U956" s="166"/>
      <c r="V956" s="166"/>
      <c r="W956" s="166"/>
      <c r="X956" s="166"/>
      <c r="Y956" s="166"/>
      <c r="Z956" s="166"/>
      <c r="AA956" s="166"/>
      <c r="AB956" s="166"/>
      <c r="AC956" s="166"/>
      <c r="AD956" s="166"/>
      <c r="AE956" s="166"/>
      <c r="AF956" s="166"/>
      <c r="AG956" s="166"/>
      <c r="AH956" s="166"/>
      <c r="AI956" s="166"/>
    </row>
    <row r="957" spans="7:35" x14ac:dyDescent="0.25">
      <c r="G957" s="165"/>
      <c r="H957" s="166"/>
      <c r="I957" s="167"/>
      <c r="J957" s="167"/>
      <c r="K957" s="166"/>
      <c r="L957" s="166"/>
      <c r="M957" s="166"/>
      <c r="N957" s="166"/>
      <c r="O957" s="166"/>
      <c r="P957" s="166"/>
      <c r="Q957" s="166"/>
      <c r="R957" s="166"/>
      <c r="S957" s="166"/>
      <c r="T957" s="166"/>
      <c r="U957" s="166"/>
      <c r="V957" s="166"/>
      <c r="W957" s="166"/>
      <c r="X957" s="166"/>
      <c r="Y957" s="166"/>
      <c r="Z957" s="166"/>
      <c r="AA957" s="166"/>
      <c r="AB957" s="166"/>
      <c r="AC957" s="166"/>
      <c r="AD957" s="166"/>
      <c r="AE957" s="166"/>
      <c r="AF957" s="166"/>
      <c r="AG957" s="166"/>
      <c r="AH957" s="166"/>
      <c r="AI957" s="166"/>
    </row>
    <row r="958" spans="7:35" x14ac:dyDescent="0.25">
      <c r="G958" s="165"/>
      <c r="H958" s="166"/>
      <c r="I958" s="167"/>
      <c r="J958" s="167"/>
      <c r="K958" s="166"/>
      <c r="L958" s="166"/>
      <c r="M958" s="166"/>
      <c r="N958" s="166"/>
      <c r="O958" s="166"/>
      <c r="P958" s="166"/>
      <c r="Q958" s="166"/>
      <c r="R958" s="166"/>
      <c r="S958" s="166"/>
      <c r="T958" s="166"/>
      <c r="U958" s="166"/>
      <c r="V958" s="166"/>
      <c r="W958" s="166"/>
      <c r="X958" s="166"/>
      <c r="Y958" s="166"/>
      <c r="Z958" s="166"/>
      <c r="AA958" s="166"/>
      <c r="AB958" s="166"/>
      <c r="AC958" s="166"/>
      <c r="AD958" s="166"/>
      <c r="AE958" s="166"/>
      <c r="AF958" s="166"/>
      <c r="AG958" s="166"/>
      <c r="AH958" s="166"/>
      <c r="AI958" s="166"/>
    </row>
    <row r="959" spans="7:35" x14ac:dyDescent="0.25">
      <c r="G959" s="165"/>
      <c r="H959" s="166"/>
      <c r="I959" s="167"/>
      <c r="J959" s="167"/>
      <c r="K959" s="166"/>
      <c r="L959" s="166"/>
      <c r="M959" s="166"/>
      <c r="N959" s="166"/>
      <c r="O959" s="166"/>
      <c r="P959" s="166"/>
      <c r="Q959" s="166"/>
      <c r="R959" s="166"/>
      <c r="S959" s="166"/>
      <c r="T959" s="166"/>
      <c r="U959" s="166"/>
      <c r="V959" s="166"/>
      <c r="W959" s="166"/>
      <c r="X959" s="166"/>
      <c r="Y959" s="166"/>
      <c r="Z959" s="166"/>
      <c r="AA959" s="166"/>
      <c r="AB959" s="166"/>
      <c r="AC959" s="166"/>
      <c r="AD959" s="166"/>
      <c r="AE959" s="166"/>
      <c r="AF959" s="166"/>
      <c r="AG959" s="166"/>
      <c r="AH959" s="166"/>
      <c r="AI959" s="166"/>
    </row>
    <row r="960" spans="7:35" x14ac:dyDescent="0.25">
      <c r="G960" s="165"/>
      <c r="H960" s="166"/>
      <c r="I960" s="167"/>
      <c r="J960" s="167"/>
      <c r="K960" s="166"/>
      <c r="L960" s="166"/>
      <c r="M960" s="166"/>
      <c r="N960" s="166"/>
      <c r="O960" s="166"/>
      <c r="P960" s="166"/>
      <c r="Q960" s="166"/>
      <c r="R960" s="166"/>
      <c r="S960" s="166"/>
      <c r="T960" s="166"/>
      <c r="U960" s="166"/>
      <c r="V960" s="166"/>
      <c r="W960" s="166"/>
      <c r="X960" s="166"/>
      <c r="Y960" s="166"/>
      <c r="Z960" s="166"/>
      <c r="AA960" s="166"/>
      <c r="AB960" s="166"/>
      <c r="AC960" s="166"/>
      <c r="AD960" s="166"/>
      <c r="AE960" s="166"/>
      <c r="AF960" s="166"/>
      <c r="AG960" s="166"/>
      <c r="AH960" s="166"/>
      <c r="AI960" s="166"/>
    </row>
    <row r="961" spans="7:35" x14ac:dyDescent="0.25">
      <c r="G961" s="165"/>
      <c r="H961" s="166"/>
      <c r="I961" s="167"/>
      <c r="J961" s="167"/>
      <c r="K961" s="166"/>
      <c r="L961" s="166"/>
      <c r="M961" s="166"/>
      <c r="N961" s="166"/>
      <c r="O961" s="166"/>
      <c r="P961" s="166"/>
      <c r="Q961" s="166"/>
      <c r="R961" s="166"/>
      <c r="S961" s="166"/>
      <c r="T961" s="166"/>
      <c r="U961" s="166"/>
      <c r="V961" s="166"/>
      <c r="W961" s="166"/>
      <c r="X961" s="166"/>
      <c r="Y961" s="166"/>
      <c r="Z961" s="166"/>
      <c r="AA961" s="166"/>
      <c r="AB961" s="166"/>
      <c r="AC961" s="166"/>
      <c r="AD961" s="166"/>
      <c r="AE961" s="166"/>
      <c r="AF961" s="166"/>
      <c r="AG961" s="166"/>
      <c r="AH961" s="166"/>
      <c r="AI961" s="166"/>
    </row>
    <row r="962" spans="7:35" x14ac:dyDescent="0.25">
      <c r="G962" s="165"/>
      <c r="H962" s="166"/>
      <c r="I962" s="167"/>
      <c r="J962" s="167"/>
      <c r="K962" s="166"/>
      <c r="L962" s="166"/>
      <c r="M962" s="166"/>
      <c r="N962" s="166"/>
      <c r="O962" s="166"/>
      <c r="P962" s="166"/>
      <c r="Q962" s="166"/>
      <c r="R962" s="166"/>
      <c r="S962" s="166"/>
      <c r="T962" s="166"/>
      <c r="U962" s="166"/>
      <c r="V962" s="166"/>
      <c r="W962" s="166"/>
      <c r="X962" s="166"/>
      <c r="Y962" s="166"/>
      <c r="Z962" s="166"/>
      <c r="AA962" s="166"/>
      <c r="AB962" s="166"/>
      <c r="AC962" s="166"/>
      <c r="AD962" s="166"/>
      <c r="AE962" s="166"/>
      <c r="AF962" s="166"/>
      <c r="AG962" s="166"/>
      <c r="AH962" s="166"/>
      <c r="AI962" s="166"/>
    </row>
    <row r="963" spans="7:35" x14ac:dyDescent="0.25">
      <c r="G963" s="165"/>
      <c r="H963" s="166"/>
      <c r="I963" s="167"/>
      <c r="J963" s="167"/>
      <c r="K963" s="166"/>
      <c r="L963" s="166"/>
      <c r="M963" s="166"/>
      <c r="N963" s="166"/>
      <c r="O963" s="166"/>
      <c r="P963" s="166"/>
      <c r="Q963" s="166"/>
      <c r="R963" s="166"/>
      <c r="S963" s="166"/>
      <c r="T963" s="166"/>
      <c r="U963" s="166"/>
      <c r="V963" s="166"/>
      <c r="W963" s="166"/>
      <c r="X963" s="166"/>
      <c r="Y963" s="166"/>
      <c r="Z963" s="166"/>
      <c r="AA963" s="166"/>
      <c r="AB963" s="166"/>
      <c r="AC963" s="166"/>
      <c r="AD963" s="166"/>
      <c r="AE963" s="166"/>
      <c r="AF963" s="166"/>
      <c r="AG963" s="166"/>
      <c r="AH963" s="166"/>
      <c r="AI963" s="166"/>
    </row>
    <row r="964" spans="7:35" x14ac:dyDescent="0.25">
      <c r="G964" s="165"/>
      <c r="H964" s="166"/>
      <c r="I964" s="167"/>
      <c r="J964" s="167"/>
      <c r="K964" s="166"/>
      <c r="L964" s="166"/>
      <c r="M964" s="166"/>
      <c r="N964" s="166"/>
      <c r="O964" s="166"/>
      <c r="P964" s="166"/>
      <c r="Q964" s="166"/>
      <c r="R964" s="166"/>
      <c r="S964" s="166"/>
      <c r="T964" s="166"/>
      <c r="U964" s="166"/>
      <c r="V964" s="166"/>
      <c r="W964" s="166"/>
      <c r="X964" s="166"/>
      <c r="Y964" s="166"/>
      <c r="Z964" s="166"/>
      <c r="AA964" s="166"/>
      <c r="AB964" s="166"/>
      <c r="AC964" s="166"/>
      <c r="AD964" s="166"/>
      <c r="AE964" s="166"/>
      <c r="AF964" s="166"/>
      <c r="AG964" s="166"/>
      <c r="AH964" s="166"/>
      <c r="AI964" s="166"/>
    </row>
    <row r="965" spans="7:35" x14ac:dyDescent="0.25">
      <c r="G965" s="165"/>
      <c r="H965" s="166"/>
      <c r="I965" s="167"/>
      <c r="J965" s="167"/>
      <c r="K965" s="166"/>
      <c r="L965" s="166"/>
      <c r="M965" s="166"/>
      <c r="N965" s="166"/>
      <c r="O965" s="166"/>
      <c r="P965" s="166"/>
      <c r="Q965" s="166"/>
      <c r="R965" s="166"/>
      <c r="S965" s="166"/>
      <c r="T965" s="166"/>
      <c r="U965" s="166"/>
      <c r="V965" s="166"/>
      <c r="W965" s="166"/>
      <c r="X965" s="166"/>
      <c r="Y965" s="166"/>
      <c r="Z965" s="166"/>
      <c r="AA965" s="166"/>
      <c r="AB965" s="166"/>
      <c r="AC965" s="166"/>
      <c r="AD965" s="166"/>
      <c r="AE965" s="166"/>
      <c r="AF965" s="166"/>
      <c r="AG965" s="166"/>
      <c r="AH965" s="166"/>
      <c r="AI965" s="166"/>
    </row>
    <row r="966" spans="7:35" x14ac:dyDescent="0.25">
      <c r="G966" s="165"/>
      <c r="H966" s="166"/>
      <c r="I966" s="167"/>
      <c r="J966" s="167"/>
      <c r="K966" s="166"/>
      <c r="L966" s="166"/>
      <c r="M966" s="166"/>
      <c r="N966" s="166"/>
      <c r="O966" s="166"/>
      <c r="P966" s="166"/>
      <c r="Q966" s="166"/>
      <c r="R966" s="166"/>
      <c r="S966" s="166"/>
      <c r="T966" s="166"/>
      <c r="U966" s="166"/>
      <c r="V966" s="166"/>
      <c r="W966" s="166"/>
      <c r="X966" s="166"/>
      <c r="Y966" s="166"/>
      <c r="Z966" s="166"/>
      <c r="AA966" s="166"/>
      <c r="AB966" s="166"/>
      <c r="AC966" s="166"/>
      <c r="AD966" s="166"/>
      <c r="AE966" s="166"/>
      <c r="AF966" s="166"/>
      <c r="AG966" s="166"/>
      <c r="AH966" s="166"/>
      <c r="AI966" s="166"/>
    </row>
    <row r="967" spans="7:35" x14ac:dyDescent="0.25">
      <c r="G967" s="165"/>
      <c r="H967" s="166"/>
      <c r="I967" s="167"/>
      <c r="J967" s="167"/>
      <c r="K967" s="166"/>
      <c r="L967" s="166"/>
      <c r="M967" s="166"/>
      <c r="N967" s="166"/>
      <c r="O967" s="166"/>
      <c r="P967" s="166"/>
      <c r="Q967" s="166"/>
      <c r="R967" s="166"/>
      <c r="S967" s="166"/>
      <c r="T967" s="166"/>
      <c r="U967" s="166"/>
      <c r="V967" s="166"/>
      <c r="W967" s="166"/>
      <c r="X967" s="166"/>
      <c r="Y967" s="166"/>
      <c r="Z967" s="166"/>
      <c r="AA967" s="166"/>
      <c r="AB967" s="166"/>
      <c r="AC967" s="166"/>
      <c r="AD967" s="166"/>
      <c r="AE967" s="166"/>
      <c r="AF967" s="166"/>
      <c r="AG967" s="166"/>
      <c r="AH967" s="166"/>
      <c r="AI967" s="166"/>
    </row>
    <row r="968" spans="7:35" x14ac:dyDescent="0.25">
      <c r="G968" s="165"/>
      <c r="H968" s="166"/>
      <c r="I968" s="167"/>
      <c r="J968" s="167"/>
      <c r="K968" s="166"/>
      <c r="L968" s="166"/>
      <c r="M968" s="166"/>
      <c r="N968" s="166"/>
      <c r="O968" s="166"/>
      <c r="P968" s="166"/>
      <c r="Q968" s="166"/>
      <c r="R968" s="166"/>
      <c r="S968" s="166"/>
      <c r="T968" s="166"/>
      <c r="U968" s="166"/>
      <c r="V968" s="166"/>
      <c r="W968" s="166"/>
      <c r="X968" s="166"/>
      <c r="Y968" s="166"/>
      <c r="Z968" s="166"/>
      <c r="AA968" s="166"/>
      <c r="AB968" s="166"/>
      <c r="AC968" s="166"/>
      <c r="AD968" s="166"/>
      <c r="AE968" s="166"/>
      <c r="AF968" s="166"/>
      <c r="AG968" s="166"/>
      <c r="AH968" s="166"/>
      <c r="AI968" s="166"/>
    </row>
    <row r="969" spans="7:35" x14ac:dyDescent="0.25">
      <c r="G969" s="165"/>
      <c r="H969" s="166"/>
      <c r="I969" s="167"/>
      <c r="J969" s="167"/>
      <c r="K969" s="166"/>
      <c r="L969" s="166"/>
      <c r="M969" s="166"/>
      <c r="N969" s="166"/>
      <c r="O969" s="166"/>
      <c r="P969" s="166"/>
      <c r="Q969" s="166"/>
      <c r="R969" s="166"/>
      <c r="S969" s="166"/>
      <c r="T969" s="166"/>
      <c r="U969" s="166"/>
      <c r="V969" s="166"/>
      <c r="W969" s="166"/>
      <c r="X969" s="166"/>
      <c r="Y969" s="166"/>
      <c r="Z969" s="166"/>
      <c r="AA969" s="166"/>
      <c r="AB969" s="166"/>
      <c r="AC969" s="166"/>
      <c r="AD969" s="166"/>
      <c r="AE969" s="166"/>
      <c r="AF969" s="166"/>
      <c r="AG969" s="166"/>
      <c r="AH969" s="166"/>
      <c r="AI969" s="166"/>
    </row>
    <row r="970" spans="7:35" x14ac:dyDescent="0.25">
      <c r="G970" s="165"/>
      <c r="H970" s="166"/>
      <c r="I970" s="167"/>
      <c r="J970" s="167"/>
      <c r="K970" s="166"/>
      <c r="L970" s="166"/>
      <c r="M970" s="166"/>
      <c r="N970" s="166"/>
      <c r="O970" s="166"/>
      <c r="P970" s="166"/>
      <c r="Q970" s="166"/>
      <c r="R970" s="166"/>
      <c r="S970" s="166"/>
      <c r="T970" s="166"/>
      <c r="U970" s="166"/>
      <c r="V970" s="166"/>
      <c r="W970" s="166"/>
      <c r="X970" s="166"/>
      <c r="Y970" s="166"/>
      <c r="Z970" s="166"/>
      <c r="AA970" s="166"/>
      <c r="AB970" s="166"/>
      <c r="AC970" s="166"/>
      <c r="AD970" s="166"/>
      <c r="AE970" s="166"/>
      <c r="AF970" s="166"/>
      <c r="AG970" s="166"/>
      <c r="AH970" s="166"/>
      <c r="AI970" s="166"/>
    </row>
    <row r="971" spans="7:35" x14ac:dyDescent="0.25">
      <c r="G971" s="165"/>
      <c r="H971" s="166"/>
      <c r="I971" s="167"/>
      <c r="J971" s="167"/>
      <c r="K971" s="166"/>
      <c r="L971" s="166"/>
      <c r="M971" s="166"/>
      <c r="N971" s="166"/>
      <c r="O971" s="166"/>
      <c r="P971" s="166"/>
      <c r="Q971" s="166"/>
      <c r="R971" s="166"/>
      <c r="S971" s="166"/>
      <c r="T971" s="166"/>
      <c r="U971" s="166"/>
      <c r="V971" s="166"/>
      <c r="W971" s="166"/>
      <c r="X971" s="166"/>
      <c r="Y971" s="166"/>
      <c r="Z971" s="166"/>
      <c r="AA971" s="166"/>
      <c r="AB971" s="166"/>
      <c r="AC971" s="166"/>
      <c r="AD971" s="166"/>
      <c r="AE971" s="166"/>
      <c r="AF971" s="166"/>
      <c r="AG971" s="166"/>
      <c r="AH971" s="166"/>
      <c r="AI971" s="166"/>
    </row>
    <row r="972" spans="7:35" x14ac:dyDescent="0.25">
      <c r="G972" s="165"/>
      <c r="H972" s="166"/>
      <c r="I972" s="167"/>
      <c r="J972" s="167"/>
      <c r="K972" s="166"/>
      <c r="L972" s="166"/>
      <c r="M972" s="166"/>
      <c r="N972" s="166"/>
      <c r="O972" s="166"/>
      <c r="P972" s="166"/>
      <c r="Q972" s="166"/>
      <c r="R972" s="166"/>
      <c r="S972" s="166"/>
      <c r="T972" s="166"/>
      <c r="U972" s="166"/>
      <c r="V972" s="166"/>
      <c r="W972" s="166"/>
      <c r="X972" s="166"/>
      <c r="Y972" s="166"/>
      <c r="Z972" s="166"/>
      <c r="AA972" s="166"/>
      <c r="AB972" s="166"/>
      <c r="AC972" s="166"/>
      <c r="AD972" s="166"/>
      <c r="AE972" s="166"/>
      <c r="AF972" s="166"/>
      <c r="AG972" s="166"/>
      <c r="AH972" s="166"/>
      <c r="AI972" s="166"/>
    </row>
    <row r="973" spans="7:35" x14ac:dyDescent="0.25">
      <c r="G973" s="165"/>
      <c r="H973" s="166"/>
      <c r="I973" s="167"/>
      <c r="J973" s="167"/>
      <c r="K973" s="166"/>
      <c r="L973" s="166"/>
      <c r="M973" s="166"/>
      <c r="N973" s="166"/>
      <c r="O973" s="166"/>
      <c r="P973" s="166"/>
      <c r="Q973" s="166"/>
      <c r="R973" s="166"/>
      <c r="S973" s="166"/>
      <c r="T973" s="166"/>
      <c r="U973" s="166"/>
      <c r="V973" s="166"/>
      <c r="W973" s="166"/>
      <c r="X973" s="166"/>
      <c r="Y973" s="166"/>
      <c r="Z973" s="166"/>
      <c r="AA973" s="166"/>
      <c r="AB973" s="166"/>
      <c r="AC973" s="166"/>
      <c r="AD973" s="166"/>
      <c r="AE973" s="166"/>
      <c r="AF973" s="166"/>
      <c r="AG973" s="166"/>
      <c r="AH973" s="166"/>
      <c r="AI973" s="166"/>
    </row>
    <row r="974" spans="7:35" x14ac:dyDescent="0.25">
      <c r="G974" s="165"/>
      <c r="H974" s="166"/>
      <c r="I974" s="167"/>
      <c r="J974" s="167"/>
      <c r="K974" s="166"/>
      <c r="L974" s="166"/>
      <c r="M974" s="166"/>
      <c r="N974" s="166"/>
      <c r="O974" s="166"/>
      <c r="P974" s="166"/>
      <c r="Q974" s="166"/>
      <c r="R974" s="166"/>
      <c r="S974" s="166"/>
      <c r="T974" s="166"/>
      <c r="U974" s="166"/>
      <c r="V974" s="166"/>
      <c r="W974" s="166"/>
      <c r="X974" s="166"/>
      <c r="Y974" s="166"/>
      <c r="Z974" s="166"/>
      <c r="AA974" s="166"/>
      <c r="AB974" s="166"/>
      <c r="AC974" s="166"/>
      <c r="AD974" s="166"/>
      <c r="AE974" s="166"/>
      <c r="AF974" s="166"/>
      <c r="AG974" s="166"/>
      <c r="AH974" s="166"/>
      <c r="AI974" s="166"/>
    </row>
    <row r="975" spans="7:35" x14ac:dyDescent="0.25">
      <c r="G975" s="165"/>
      <c r="H975" s="166"/>
      <c r="I975" s="167"/>
      <c r="J975" s="167"/>
      <c r="K975" s="166"/>
      <c r="L975" s="166"/>
      <c r="M975" s="166"/>
      <c r="N975" s="166"/>
      <c r="O975" s="166"/>
      <c r="P975" s="166"/>
      <c r="Q975" s="166"/>
      <c r="R975" s="166"/>
      <c r="S975" s="166"/>
      <c r="T975" s="166"/>
      <c r="U975" s="166"/>
      <c r="V975" s="166"/>
      <c r="W975" s="166"/>
      <c r="X975" s="166"/>
      <c r="Y975" s="166"/>
      <c r="Z975" s="166"/>
      <c r="AA975" s="166"/>
      <c r="AB975" s="166"/>
      <c r="AC975" s="166"/>
      <c r="AD975" s="166"/>
      <c r="AE975" s="166"/>
      <c r="AF975" s="166"/>
      <c r="AG975" s="166"/>
      <c r="AH975" s="166"/>
      <c r="AI975" s="166"/>
    </row>
    <row r="976" spans="7:35" x14ac:dyDescent="0.25">
      <c r="G976" s="165"/>
      <c r="H976" s="166"/>
      <c r="I976" s="167"/>
      <c r="J976" s="167"/>
      <c r="K976" s="166"/>
      <c r="L976" s="166"/>
      <c r="M976" s="166"/>
      <c r="N976" s="166"/>
      <c r="O976" s="166"/>
      <c r="P976" s="166"/>
      <c r="Q976" s="166"/>
      <c r="R976" s="166"/>
      <c r="S976" s="166"/>
      <c r="T976" s="166"/>
      <c r="U976" s="166"/>
      <c r="V976" s="166"/>
      <c r="W976" s="166"/>
      <c r="X976" s="166"/>
      <c r="Y976" s="166"/>
      <c r="Z976" s="166"/>
      <c r="AA976" s="166"/>
      <c r="AB976" s="166"/>
      <c r="AC976" s="166"/>
      <c r="AD976" s="166"/>
      <c r="AE976" s="166"/>
      <c r="AF976" s="166"/>
      <c r="AG976" s="166"/>
      <c r="AH976" s="166"/>
      <c r="AI976" s="166"/>
    </row>
    <row r="977" spans="7:35" x14ac:dyDescent="0.25">
      <c r="G977" s="165"/>
      <c r="H977" s="166"/>
      <c r="I977" s="167"/>
      <c r="J977" s="167"/>
      <c r="K977" s="166"/>
      <c r="L977" s="166"/>
      <c r="M977" s="166"/>
      <c r="N977" s="166"/>
      <c r="O977" s="166"/>
      <c r="P977" s="166"/>
      <c r="Q977" s="166"/>
      <c r="R977" s="166"/>
      <c r="S977" s="166"/>
      <c r="T977" s="166"/>
      <c r="U977" s="166"/>
      <c r="V977" s="166"/>
      <c r="W977" s="166"/>
      <c r="X977" s="166"/>
      <c r="Y977" s="166"/>
      <c r="Z977" s="166"/>
      <c r="AA977" s="166"/>
      <c r="AB977" s="166"/>
      <c r="AC977" s="166"/>
      <c r="AD977" s="166"/>
      <c r="AE977" s="166"/>
      <c r="AF977" s="166"/>
      <c r="AG977" s="166"/>
      <c r="AH977" s="166"/>
      <c r="AI977" s="166"/>
    </row>
    <row r="978" spans="7:35" x14ac:dyDescent="0.25">
      <c r="G978" s="165"/>
      <c r="H978" s="166"/>
      <c r="I978" s="167"/>
      <c r="J978" s="167"/>
      <c r="K978" s="166"/>
      <c r="L978" s="166"/>
      <c r="M978" s="166"/>
      <c r="N978" s="166"/>
      <c r="O978" s="166"/>
      <c r="P978" s="166"/>
      <c r="Q978" s="166"/>
      <c r="R978" s="166"/>
      <c r="S978" s="166"/>
      <c r="T978" s="166"/>
      <c r="U978" s="166"/>
      <c r="V978" s="166"/>
      <c r="W978" s="166"/>
      <c r="X978" s="166"/>
      <c r="Y978" s="166"/>
      <c r="Z978" s="166"/>
      <c r="AA978" s="166"/>
      <c r="AB978" s="166"/>
      <c r="AC978" s="166"/>
      <c r="AD978" s="166"/>
      <c r="AE978" s="166"/>
      <c r="AF978" s="166"/>
      <c r="AG978" s="166"/>
      <c r="AH978" s="166"/>
      <c r="AI978" s="166"/>
    </row>
    <row r="979" spans="7:35" x14ac:dyDescent="0.25">
      <c r="G979" s="165"/>
      <c r="H979" s="166"/>
      <c r="I979" s="167"/>
      <c r="J979" s="167"/>
      <c r="K979" s="166"/>
      <c r="L979" s="166"/>
      <c r="M979" s="166"/>
      <c r="N979" s="166"/>
      <c r="O979" s="166"/>
      <c r="P979" s="166"/>
      <c r="Q979" s="166"/>
      <c r="R979" s="166"/>
      <c r="S979" s="166"/>
      <c r="T979" s="166"/>
      <c r="U979" s="166"/>
      <c r="V979" s="166"/>
      <c r="W979" s="166"/>
      <c r="X979" s="166"/>
      <c r="Y979" s="166"/>
      <c r="Z979" s="166"/>
      <c r="AA979" s="166"/>
      <c r="AB979" s="166"/>
      <c r="AC979" s="166"/>
      <c r="AD979" s="166"/>
      <c r="AE979" s="166"/>
      <c r="AF979" s="166"/>
      <c r="AG979" s="166"/>
      <c r="AH979" s="166"/>
      <c r="AI979" s="166"/>
    </row>
    <row r="980" spans="7:35" x14ac:dyDescent="0.25">
      <c r="G980" s="165"/>
      <c r="H980" s="166"/>
      <c r="I980" s="167"/>
      <c r="J980" s="167"/>
      <c r="K980" s="166"/>
      <c r="L980" s="166"/>
      <c r="M980" s="166"/>
      <c r="N980" s="166"/>
      <c r="O980" s="166"/>
      <c r="P980" s="166"/>
      <c r="Q980" s="166"/>
      <c r="R980" s="166"/>
      <c r="S980" s="166"/>
      <c r="T980" s="166"/>
      <c r="U980" s="166"/>
      <c r="V980" s="166"/>
      <c r="W980" s="166"/>
      <c r="X980" s="166"/>
      <c r="Y980" s="166"/>
      <c r="Z980" s="166"/>
      <c r="AA980" s="166"/>
      <c r="AB980" s="166"/>
      <c r="AC980" s="166"/>
      <c r="AD980" s="166"/>
      <c r="AE980" s="166"/>
      <c r="AF980" s="166"/>
      <c r="AG980" s="166"/>
      <c r="AH980" s="166"/>
      <c r="AI980" s="166"/>
    </row>
    <row r="981" spans="7:35" x14ac:dyDescent="0.25">
      <c r="G981" s="165"/>
      <c r="H981" s="166"/>
      <c r="I981" s="167"/>
      <c r="J981" s="167"/>
      <c r="K981" s="166"/>
      <c r="L981" s="166"/>
      <c r="M981" s="166"/>
      <c r="N981" s="166"/>
      <c r="O981" s="166"/>
      <c r="P981" s="166"/>
      <c r="Q981" s="166"/>
      <c r="R981" s="166"/>
      <c r="S981" s="166"/>
      <c r="T981" s="166"/>
      <c r="U981" s="166"/>
      <c r="V981" s="166"/>
      <c r="W981" s="166"/>
      <c r="X981" s="166"/>
      <c r="Y981" s="166"/>
      <c r="Z981" s="166"/>
      <c r="AA981" s="166"/>
      <c r="AB981" s="166"/>
      <c r="AC981" s="166"/>
      <c r="AD981" s="166"/>
      <c r="AE981" s="166"/>
      <c r="AF981" s="166"/>
      <c r="AG981" s="166"/>
      <c r="AH981" s="166"/>
      <c r="AI981" s="166"/>
    </row>
    <row r="982" spans="7:35" x14ac:dyDescent="0.25">
      <c r="G982" s="165"/>
      <c r="H982" s="166"/>
      <c r="I982" s="167"/>
      <c r="J982" s="167"/>
      <c r="K982" s="166"/>
      <c r="L982" s="166"/>
      <c r="M982" s="166"/>
      <c r="N982" s="166"/>
      <c r="O982" s="166"/>
      <c r="P982" s="166"/>
      <c r="Q982" s="166"/>
      <c r="R982" s="166"/>
      <c r="S982" s="166"/>
      <c r="T982" s="166"/>
      <c r="U982" s="166"/>
      <c r="V982" s="166"/>
      <c r="W982" s="166"/>
      <c r="X982" s="166"/>
      <c r="Y982" s="166"/>
      <c r="Z982" s="166"/>
      <c r="AA982" s="166"/>
      <c r="AB982" s="166"/>
      <c r="AC982" s="166"/>
      <c r="AD982" s="166"/>
      <c r="AE982" s="166"/>
      <c r="AF982" s="166"/>
      <c r="AG982" s="166"/>
      <c r="AH982" s="166"/>
      <c r="AI982" s="166"/>
    </row>
    <row r="983" spans="7:35" x14ac:dyDescent="0.25">
      <c r="G983" s="165"/>
      <c r="H983" s="166"/>
      <c r="I983" s="167"/>
      <c r="J983" s="167"/>
      <c r="K983" s="166"/>
      <c r="L983" s="166"/>
      <c r="M983" s="166"/>
      <c r="N983" s="166"/>
      <c r="O983" s="166"/>
      <c r="P983" s="166"/>
      <c r="Q983" s="166"/>
      <c r="R983" s="166"/>
      <c r="S983" s="166"/>
      <c r="T983" s="166"/>
      <c r="U983" s="166"/>
      <c r="V983" s="166"/>
      <c r="W983" s="166"/>
      <c r="X983" s="166"/>
      <c r="Y983" s="166"/>
      <c r="Z983" s="166"/>
      <c r="AA983" s="166"/>
      <c r="AB983" s="166"/>
      <c r="AC983" s="166"/>
      <c r="AD983" s="166"/>
      <c r="AE983" s="166"/>
      <c r="AF983" s="166"/>
      <c r="AG983" s="166"/>
      <c r="AH983" s="166"/>
      <c r="AI983" s="166"/>
    </row>
    <row r="984" spans="7:35" x14ac:dyDescent="0.25">
      <c r="G984" s="165"/>
      <c r="H984" s="166"/>
      <c r="I984" s="167"/>
      <c r="J984" s="167"/>
      <c r="K984" s="166"/>
      <c r="L984" s="166"/>
      <c r="M984" s="166"/>
      <c r="N984" s="166"/>
      <c r="O984" s="166"/>
      <c r="P984" s="166"/>
      <c r="Q984" s="166"/>
      <c r="R984" s="166"/>
      <c r="S984" s="166"/>
      <c r="T984" s="166"/>
      <c r="U984" s="166"/>
      <c r="V984" s="166"/>
      <c r="W984" s="166"/>
      <c r="X984" s="166"/>
      <c r="Y984" s="166"/>
      <c r="Z984" s="166"/>
      <c r="AA984" s="166"/>
      <c r="AB984" s="166"/>
      <c r="AC984" s="166"/>
      <c r="AD984" s="166"/>
      <c r="AE984" s="166"/>
      <c r="AF984" s="166"/>
      <c r="AG984" s="166"/>
      <c r="AH984" s="166"/>
      <c r="AI984" s="166"/>
    </row>
    <row r="985" spans="7:35" x14ac:dyDescent="0.25">
      <c r="G985" s="165"/>
      <c r="H985" s="166"/>
      <c r="I985" s="167"/>
      <c r="J985" s="167"/>
      <c r="K985" s="166"/>
      <c r="L985" s="166"/>
      <c r="M985" s="166"/>
      <c r="N985" s="166"/>
      <c r="O985" s="166"/>
      <c r="P985" s="166"/>
      <c r="Q985" s="166"/>
      <c r="R985" s="166"/>
      <c r="S985" s="166"/>
      <c r="T985" s="166"/>
      <c r="U985" s="166"/>
      <c r="V985" s="166"/>
      <c r="W985" s="166"/>
      <c r="X985" s="166"/>
      <c r="Y985" s="166"/>
      <c r="Z985" s="166"/>
      <c r="AA985" s="166"/>
      <c r="AB985" s="166"/>
      <c r="AC985" s="166"/>
      <c r="AD985" s="166"/>
      <c r="AE985" s="166"/>
      <c r="AF985" s="166"/>
      <c r="AG985" s="166"/>
      <c r="AH985" s="166"/>
      <c r="AI985" s="166"/>
    </row>
    <row r="986" spans="7:35" x14ac:dyDescent="0.25">
      <c r="G986" s="165"/>
      <c r="H986" s="166"/>
      <c r="I986" s="167"/>
      <c r="J986" s="167"/>
      <c r="K986" s="166"/>
      <c r="L986" s="166"/>
      <c r="M986" s="166"/>
      <c r="N986" s="166"/>
      <c r="O986" s="166"/>
      <c r="P986" s="166"/>
      <c r="Q986" s="166"/>
      <c r="R986" s="166"/>
      <c r="S986" s="166"/>
      <c r="T986" s="166"/>
      <c r="U986" s="166"/>
      <c r="V986" s="166"/>
      <c r="W986" s="166"/>
      <c r="X986" s="166"/>
      <c r="Y986" s="166"/>
      <c r="Z986" s="166"/>
      <c r="AA986" s="166"/>
      <c r="AB986" s="166"/>
      <c r="AC986" s="166"/>
      <c r="AD986" s="166"/>
      <c r="AE986" s="166"/>
      <c r="AF986" s="166"/>
      <c r="AG986" s="166"/>
      <c r="AH986" s="166"/>
      <c r="AI986" s="166"/>
    </row>
    <row r="987" spans="7:35" x14ac:dyDescent="0.25">
      <c r="G987" s="165"/>
      <c r="H987" s="166"/>
      <c r="I987" s="167"/>
      <c r="J987" s="167"/>
      <c r="K987" s="166"/>
      <c r="L987" s="166"/>
      <c r="M987" s="166"/>
      <c r="N987" s="166"/>
      <c r="O987" s="166"/>
      <c r="P987" s="166"/>
      <c r="Q987" s="166"/>
      <c r="R987" s="166"/>
      <c r="S987" s="166"/>
      <c r="T987" s="166"/>
      <c r="U987" s="166"/>
      <c r="V987" s="166"/>
      <c r="W987" s="166"/>
      <c r="X987" s="166"/>
      <c r="Y987" s="166"/>
      <c r="Z987" s="166"/>
      <c r="AA987" s="166"/>
      <c r="AB987" s="166"/>
      <c r="AC987" s="166"/>
      <c r="AD987" s="166"/>
      <c r="AE987" s="166"/>
      <c r="AF987" s="166"/>
      <c r="AG987" s="166"/>
      <c r="AH987" s="166"/>
      <c r="AI987" s="166"/>
    </row>
    <row r="988" spans="7:35" x14ac:dyDescent="0.25">
      <c r="G988" s="165"/>
      <c r="H988" s="166"/>
      <c r="I988" s="167"/>
      <c r="J988" s="167"/>
      <c r="K988" s="166"/>
      <c r="L988" s="166"/>
      <c r="M988" s="166"/>
      <c r="N988" s="166"/>
      <c r="O988" s="166"/>
      <c r="P988" s="166"/>
      <c r="Q988" s="166"/>
      <c r="R988" s="166"/>
      <c r="S988" s="166"/>
      <c r="T988" s="166"/>
      <c r="U988" s="166"/>
      <c r="V988" s="166"/>
      <c r="W988" s="166"/>
      <c r="X988" s="166"/>
      <c r="Y988" s="166"/>
      <c r="Z988" s="166"/>
      <c r="AA988" s="166"/>
      <c r="AB988" s="166"/>
      <c r="AC988" s="166"/>
      <c r="AD988" s="166"/>
      <c r="AE988" s="166"/>
      <c r="AF988" s="166"/>
      <c r="AG988" s="166"/>
      <c r="AH988" s="166"/>
      <c r="AI988" s="166"/>
    </row>
    <row r="989" spans="7:35" x14ac:dyDescent="0.25">
      <c r="G989" s="165"/>
      <c r="H989" s="166"/>
      <c r="I989" s="167"/>
      <c r="J989" s="167"/>
      <c r="K989" s="166"/>
      <c r="L989" s="166"/>
      <c r="M989" s="166"/>
      <c r="N989" s="166"/>
      <c r="O989" s="166"/>
      <c r="P989" s="166"/>
      <c r="Q989" s="166"/>
      <c r="R989" s="166"/>
      <c r="S989" s="166"/>
      <c r="T989" s="166"/>
      <c r="U989" s="166"/>
      <c r="V989" s="166"/>
      <c r="W989" s="166"/>
      <c r="X989" s="166"/>
      <c r="Y989" s="166"/>
      <c r="Z989" s="166"/>
      <c r="AA989" s="166"/>
      <c r="AB989" s="166"/>
      <c r="AC989" s="166"/>
      <c r="AD989" s="166"/>
      <c r="AE989" s="166"/>
      <c r="AF989" s="166"/>
      <c r="AG989" s="166"/>
      <c r="AH989" s="166"/>
      <c r="AI989" s="166"/>
    </row>
    <row r="990" spans="7:35" x14ac:dyDescent="0.25">
      <c r="G990" s="165"/>
      <c r="H990" s="166"/>
      <c r="I990" s="167"/>
      <c r="J990" s="167"/>
      <c r="K990" s="166"/>
      <c r="L990" s="166"/>
      <c r="M990" s="166"/>
      <c r="N990" s="166"/>
      <c r="O990" s="166"/>
      <c r="P990" s="166"/>
      <c r="Q990" s="166"/>
      <c r="R990" s="166"/>
      <c r="S990" s="166"/>
      <c r="T990" s="166"/>
      <c r="U990" s="166"/>
      <c r="V990" s="166"/>
      <c r="W990" s="166"/>
      <c r="X990" s="166"/>
      <c r="Y990" s="166"/>
      <c r="Z990" s="166"/>
      <c r="AA990" s="166"/>
      <c r="AB990" s="166"/>
      <c r="AC990" s="166"/>
      <c r="AD990" s="166"/>
      <c r="AE990" s="166"/>
      <c r="AF990" s="166"/>
      <c r="AG990" s="166"/>
      <c r="AH990" s="166"/>
      <c r="AI990" s="166"/>
    </row>
    <row r="991" spans="7:35" x14ac:dyDescent="0.25">
      <c r="G991" s="165"/>
      <c r="H991" s="166"/>
      <c r="I991" s="167"/>
      <c r="J991" s="167"/>
      <c r="K991" s="166"/>
      <c r="L991" s="166"/>
      <c r="M991" s="166"/>
      <c r="N991" s="166"/>
      <c r="O991" s="166"/>
      <c r="P991" s="166"/>
      <c r="Q991" s="166"/>
      <c r="R991" s="166"/>
      <c r="S991" s="166"/>
      <c r="T991" s="166"/>
      <c r="U991" s="166"/>
      <c r="V991" s="166"/>
      <c r="W991" s="166"/>
      <c r="X991" s="166"/>
      <c r="Y991" s="166"/>
      <c r="Z991" s="166"/>
      <c r="AA991" s="166"/>
      <c r="AB991" s="166"/>
      <c r="AC991" s="166"/>
      <c r="AD991" s="166"/>
      <c r="AE991" s="166"/>
      <c r="AF991" s="166"/>
      <c r="AG991" s="166"/>
      <c r="AH991" s="166"/>
      <c r="AI991" s="166"/>
    </row>
    <row r="992" spans="7:35" x14ac:dyDescent="0.25">
      <c r="G992" s="165"/>
      <c r="H992" s="166"/>
      <c r="I992" s="167"/>
      <c r="J992" s="167"/>
      <c r="K992" s="166"/>
      <c r="L992" s="166"/>
      <c r="M992" s="166"/>
      <c r="N992" s="166"/>
      <c r="O992" s="166"/>
      <c r="P992" s="166"/>
      <c r="Q992" s="166"/>
      <c r="R992" s="166"/>
      <c r="S992" s="166"/>
      <c r="T992" s="166"/>
      <c r="U992" s="166"/>
      <c r="V992" s="166"/>
      <c r="W992" s="166"/>
      <c r="X992" s="166"/>
      <c r="Y992" s="166"/>
      <c r="Z992" s="166"/>
      <c r="AA992" s="166"/>
      <c r="AB992" s="166"/>
      <c r="AC992" s="166"/>
      <c r="AD992" s="166"/>
      <c r="AE992" s="166"/>
      <c r="AF992" s="166"/>
      <c r="AG992" s="166"/>
      <c r="AH992" s="166"/>
      <c r="AI992" s="166"/>
    </row>
    <row r="993" spans="7:35" x14ac:dyDescent="0.25">
      <c r="G993" s="165"/>
      <c r="H993" s="166"/>
      <c r="I993" s="167"/>
      <c r="J993" s="167"/>
      <c r="K993" s="166"/>
      <c r="L993" s="166"/>
      <c r="M993" s="166"/>
      <c r="N993" s="166"/>
      <c r="O993" s="166"/>
      <c r="P993" s="166"/>
      <c r="Q993" s="166"/>
      <c r="R993" s="166"/>
      <c r="S993" s="166"/>
      <c r="T993" s="166"/>
      <c r="U993" s="166"/>
      <c r="V993" s="166"/>
      <c r="W993" s="166"/>
      <c r="X993" s="166"/>
      <c r="Y993" s="166"/>
      <c r="Z993" s="166"/>
      <c r="AA993" s="166"/>
      <c r="AB993" s="166"/>
      <c r="AC993" s="166"/>
      <c r="AD993" s="166"/>
      <c r="AE993" s="166"/>
      <c r="AF993" s="166"/>
      <c r="AG993" s="166"/>
      <c r="AH993" s="166"/>
      <c r="AI993" s="166"/>
    </row>
    <row r="994" spans="7:35" x14ac:dyDescent="0.25">
      <c r="G994" s="165"/>
      <c r="H994" s="166"/>
      <c r="I994" s="167"/>
      <c r="J994" s="167"/>
      <c r="K994" s="166"/>
      <c r="L994" s="166"/>
      <c r="M994" s="166"/>
      <c r="N994" s="166"/>
      <c r="O994" s="166"/>
      <c r="P994" s="166"/>
      <c r="Q994" s="166"/>
      <c r="R994" s="166"/>
      <c r="S994" s="166"/>
      <c r="T994" s="166"/>
      <c r="U994" s="166"/>
      <c r="V994" s="166"/>
      <c r="W994" s="166"/>
      <c r="X994" s="166"/>
      <c r="Y994" s="166"/>
      <c r="Z994" s="166"/>
      <c r="AA994" s="166"/>
      <c r="AB994" s="166"/>
      <c r="AC994" s="166"/>
      <c r="AD994" s="166"/>
      <c r="AE994" s="166"/>
      <c r="AF994" s="166"/>
      <c r="AG994" s="166"/>
      <c r="AH994" s="166"/>
      <c r="AI994" s="166"/>
    </row>
    <row r="995" spans="7:35" x14ac:dyDescent="0.25">
      <c r="G995" s="165"/>
      <c r="H995" s="166"/>
      <c r="I995" s="167"/>
      <c r="J995" s="167"/>
      <c r="K995" s="166"/>
      <c r="L995" s="166"/>
      <c r="M995" s="166"/>
      <c r="N995" s="166"/>
      <c r="O995" s="166"/>
      <c r="P995" s="166"/>
      <c r="Q995" s="166"/>
      <c r="R995" s="166"/>
      <c r="S995" s="166"/>
      <c r="T995" s="166"/>
      <c r="U995" s="166"/>
      <c r="V995" s="166"/>
      <c r="W995" s="166"/>
      <c r="X995" s="166"/>
      <c r="Y995" s="166"/>
      <c r="Z995" s="166"/>
      <c r="AA995" s="166"/>
      <c r="AB995" s="166"/>
      <c r="AC995" s="166"/>
      <c r="AD995" s="166"/>
      <c r="AE995" s="166"/>
      <c r="AF995" s="166"/>
      <c r="AG995" s="166"/>
      <c r="AH995" s="166"/>
      <c r="AI995" s="166"/>
    </row>
    <row r="996" spans="7:35" x14ac:dyDescent="0.25">
      <c r="G996" s="165"/>
      <c r="H996" s="166"/>
      <c r="I996" s="167"/>
      <c r="J996" s="167"/>
      <c r="K996" s="166"/>
      <c r="L996" s="166"/>
      <c r="M996" s="166"/>
      <c r="N996" s="166"/>
      <c r="O996" s="166"/>
      <c r="P996" s="166"/>
      <c r="Q996" s="166"/>
      <c r="R996" s="166"/>
      <c r="S996" s="166"/>
      <c r="T996" s="166"/>
      <c r="U996" s="166"/>
      <c r="V996" s="166"/>
      <c r="W996" s="166"/>
      <c r="X996" s="166"/>
      <c r="Y996" s="166"/>
      <c r="Z996" s="166"/>
      <c r="AA996" s="166"/>
      <c r="AB996" s="166"/>
      <c r="AC996" s="166"/>
      <c r="AD996" s="166"/>
      <c r="AE996" s="166"/>
      <c r="AF996" s="166"/>
      <c r="AG996" s="166"/>
      <c r="AH996" s="166"/>
      <c r="AI996" s="166"/>
    </row>
    <row r="997" spans="7:35" x14ac:dyDescent="0.25">
      <c r="G997" s="165"/>
      <c r="H997" s="166"/>
      <c r="I997" s="167"/>
      <c r="J997" s="167"/>
      <c r="K997" s="166"/>
      <c r="L997" s="166"/>
      <c r="M997" s="166"/>
      <c r="N997" s="166"/>
      <c r="O997" s="166"/>
      <c r="P997" s="166"/>
      <c r="Q997" s="166"/>
      <c r="R997" s="166"/>
      <c r="S997" s="166"/>
      <c r="T997" s="166"/>
      <c r="U997" s="166"/>
      <c r="V997" s="166"/>
      <c r="W997" s="166"/>
      <c r="X997" s="166"/>
      <c r="Y997" s="166"/>
      <c r="Z997" s="166"/>
      <c r="AA997" s="166"/>
      <c r="AB997" s="166"/>
      <c r="AC997" s="166"/>
      <c r="AD997" s="166"/>
      <c r="AE997" s="166"/>
      <c r="AF997" s="166"/>
      <c r="AG997" s="166"/>
      <c r="AH997" s="166"/>
      <c r="AI997" s="166"/>
    </row>
    <row r="998" spans="7:35" x14ac:dyDescent="0.25">
      <c r="G998" s="165"/>
      <c r="H998" s="166"/>
      <c r="I998" s="167"/>
      <c r="J998" s="167"/>
      <c r="K998" s="166"/>
      <c r="L998" s="166"/>
      <c r="M998" s="166"/>
      <c r="N998" s="166"/>
      <c r="O998" s="166"/>
      <c r="P998" s="166"/>
      <c r="Q998" s="166"/>
      <c r="R998" s="166"/>
      <c r="S998" s="166"/>
      <c r="T998" s="166"/>
      <c r="U998" s="166"/>
      <c r="V998" s="166"/>
      <c r="W998" s="166"/>
      <c r="X998" s="166"/>
      <c r="Y998" s="166"/>
      <c r="Z998" s="166"/>
      <c r="AA998" s="166"/>
      <c r="AB998" s="166"/>
      <c r="AC998" s="166"/>
      <c r="AD998" s="166"/>
      <c r="AE998" s="166"/>
      <c r="AF998" s="166"/>
      <c r="AG998" s="166"/>
      <c r="AH998" s="166"/>
      <c r="AI998" s="166"/>
    </row>
    <row r="999" spans="7:35" x14ac:dyDescent="0.25">
      <c r="G999" s="165"/>
      <c r="H999" s="166"/>
      <c r="I999" s="167"/>
      <c r="J999" s="167"/>
      <c r="K999" s="166"/>
      <c r="L999" s="166"/>
      <c r="M999" s="166"/>
      <c r="N999" s="166"/>
      <c r="O999" s="166"/>
      <c r="P999" s="166"/>
      <c r="Q999" s="166"/>
      <c r="R999" s="166"/>
      <c r="S999" s="166"/>
      <c r="T999" s="166"/>
      <c r="U999" s="166"/>
      <c r="V999" s="166"/>
      <c r="W999" s="166"/>
      <c r="X999" s="166"/>
      <c r="Y999" s="166"/>
      <c r="Z999" s="166"/>
      <c r="AA999" s="166"/>
      <c r="AB999" s="166"/>
      <c r="AC999" s="166"/>
      <c r="AD999" s="166"/>
      <c r="AE999" s="166"/>
      <c r="AF999" s="166"/>
      <c r="AG999" s="166"/>
      <c r="AH999" s="166"/>
      <c r="AI999" s="166"/>
    </row>
    <row r="1000" spans="7:35" x14ac:dyDescent="0.25">
      <c r="G1000" s="165"/>
      <c r="H1000" s="166"/>
      <c r="I1000" s="167"/>
      <c r="J1000" s="167"/>
      <c r="K1000" s="166"/>
      <c r="L1000" s="166"/>
      <c r="M1000" s="166"/>
      <c r="N1000" s="166"/>
      <c r="O1000" s="166"/>
      <c r="P1000" s="166"/>
      <c r="Q1000" s="166"/>
      <c r="R1000" s="166"/>
      <c r="S1000" s="166"/>
      <c r="T1000" s="166"/>
      <c r="U1000" s="166"/>
      <c r="V1000" s="166"/>
      <c r="W1000" s="166"/>
      <c r="X1000" s="166"/>
      <c r="Y1000" s="166"/>
      <c r="Z1000" s="166"/>
      <c r="AA1000" s="166"/>
      <c r="AB1000" s="166"/>
      <c r="AC1000" s="166"/>
      <c r="AD1000" s="166"/>
      <c r="AE1000" s="166"/>
      <c r="AF1000" s="166"/>
      <c r="AG1000" s="166"/>
      <c r="AH1000" s="166"/>
      <c r="AI1000" s="166"/>
    </row>
    <row r="1001" spans="7:35" x14ac:dyDescent="0.25">
      <c r="G1001" s="165"/>
      <c r="H1001" s="166"/>
      <c r="I1001" s="167"/>
      <c r="J1001" s="167"/>
      <c r="K1001" s="166"/>
      <c r="L1001" s="166"/>
      <c r="M1001" s="166"/>
      <c r="N1001" s="166"/>
      <c r="O1001" s="166"/>
      <c r="P1001" s="166"/>
      <c r="Q1001" s="166"/>
      <c r="R1001" s="166"/>
      <c r="S1001" s="166"/>
      <c r="T1001" s="166"/>
      <c r="U1001" s="166"/>
      <c r="V1001" s="166"/>
      <c r="W1001" s="166"/>
      <c r="X1001" s="166"/>
      <c r="Y1001" s="166"/>
      <c r="Z1001" s="166"/>
      <c r="AA1001" s="166"/>
      <c r="AB1001" s="166"/>
      <c r="AC1001" s="166"/>
      <c r="AD1001" s="166"/>
      <c r="AE1001" s="166"/>
      <c r="AF1001" s="166"/>
      <c r="AG1001" s="166"/>
      <c r="AH1001" s="166"/>
      <c r="AI1001" s="166"/>
    </row>
    <row r="1002" spans="7:35" x14ac:dyDescent="0.25">
      <c r="G1002" s="165"/>
      <c r="H1002" s="166"/>
      <c r="I1002" s="167"/>
      <c r="J1002" s="167"/>
      <c r="K1002" s="166"/>
      <c r="L1002" s="166"/>
      <c r="M1002" s="166"/>
      <c r="N1002" s="166"/>
      <c r="O1002" s="166"/>
      <c r="P1002" s="166"/>
      <c r="Q1002" s="166"/>
      <c r="R1002" s="166"/>
      <c r="S1002" s="166"/>
      <c r="T1002" s="166"/>
      <c r="U1002" s="166"/>
      <c r="V1002" s="166"/>
      <c r="W1002" s="166"/>
      <c r="X1002" s="166"/>
      <c r="Y1002" s="166"/>
      <c r="Z1002" s="166"/>
      <c r="AA1002" s="166"/>
      <c r="AB1002" s="166"/>
      <c r="AC1002" s="166"/>
      <c r="AD1002" s="166"/>
      <c r="AE1002" s="166"/>
      <c r="AF1002" s="166"/>
      <c r="AG1002" s="166"/>
      <c r="AH1002" s="166"/>
      <c r="AI1002" s="166"/>
    </row>
    <row r="1003" spans="7:35" x14ac:dyDescent="0.25">
      <c r="G1003" s="165"/>
      <c r="H1003" s="166"/>
      <c r="I1003" s="167"/>
      <c r="J1003" s="167"/>
      <c r="K1003" s="166"/>
      <c r="L1003" s="166"/>
      <c r="M1003" s="166"/>
      <c r="N1003" s="166"/>
      <c r="O1003" s="166"/>
      <c r="P1003" s="166"/>
      <c r="Q1003" s="166"/>
      <c r="R1003" s="166"/>
      <c r="S1003" s="166"/>
      <c r="T1003" s="166"/>
      <c r="U1003" s="166"/>
      <c r="V1003" s="166"/>
      <c r="W1003" s="166"/>
      <c r="X1003" s="166"/>
      <c r="Y1003" s="166"/>
      <c r="Z1003" s="166"/>
      <c r="AA1003" s="166"/>
      <c r="AB1003" s="166"/>
      <c r="AC1003" s="166"/>
      <c r="AD1003" s="166"/>
      <c r="AE1003" s="166"/>
      <c r="AF1003" s="166"/>
      <c r="AG1003" s="166"/>
      <c r="AH1003" s="166"/>
      <c r="AI1003" s="166"/>
    </row>
    <row r="1004" spans="7:35" x14ac:dyDescent="0.25">
      <c r="G1004" s="165"/>
      <c r="H1004" s="166"/>
      <c r="I1004" s="167"/>
      <c r="J1004" s="167"/>
      <c r="K1004" s="166"/>
      <c r="L1004" s="166"/>
      <c r="M1004" s="166"/>
      <c r="N1004" s="166"/>
      <c r="O1004" s="166"/>
      <c r="P1004" s="166"/>
      <c r="Q1004" s="166"/>
      <c r="R1004" s="166"/>
      <c r="S1004" s="166"/>
      <c r="T1004" s="166"/>
      <c r="U1004" s="166"/>
      <c r="V1004" s="166"/>
      <c r="W1004" s="166"/>
      <c r="X1004" s="166"/>
      <c r="Y1004" s="166"/>
      <c r="Z1004" s="166"/>
      <c r="AA1004" s="166"/>
      <c r="AB1004" s="166"/>
      <c r="AC1004" s="166"/>
      <c r="AD1004" s="166"/>
      <c r="AE1004" s="166"/>
      <c r="AF1004" s="166"/>
      <c r="AG1004" s="166"/>
      <c r="AH1004" s="166"/>
      <c r="AI1004" s="166"/>
    </row>
    <row r="1005" spans="7:35" x14ac:dyDescent="0.25">
      <c r="G1005" s="165"/>
      <c r="H1005" s="166"/>
      <c r="I1005" s="167"/>
      <c r="J1005" s="167"/>
      <c r="K1005" s="166"/>
      <c r="L1005" s="166"/>
      <c r="M1005" s="166"/>
      <c r="N1005" s="166"/>
      <c r="O1005" s="166"/>
      <c r="P1005" s="166"/>
      <c r="Q1005" s="166"/>
      <c r="R1005" s="166"/>
      <c r="S1005" s="166"/>
      <c r="T1005" s="166"/>
      <c r="U1005" s="166"/>
      <c r="V1005" s="166"/>
      <c r="W1005" s="166"/>
      <c r="X1005" s="166"/>
      <c r="Y1005" s="166"/>
      <c r="Z1005" s="166"/>
      <c r="AA1005" s="166"/>
      <c r="AB1005" s="166"/>
      <c r="AC1005" s="166"/>
      <c r="AD1005" s="166"/>
      <c r="AE1005" s="166"/>
      <c r="AF1005" s="166"/>
      <c r="AG1005" s="166"/>
      <c r="AH1005" s="166"/>
      <c r="AI1005" s="166"/>
    </row>
    <row r="1006" spans="7:35" x14ac:dyDescent="0.25">
      <c r="G1006" s="165"/>
      <c r="H1006" s="166"/>
      <c r="I1006" s="167"/>
      <c r="J1006" s="167"/>
      <c r="K1006" s="166"/>
      <c r="L1006" s="166"/>
      <c r="M1006" s="166"/>
      <c r="N1006" s="166"/>
      <c r="O1006" s="166"/>
      <c r="P1006" s="166"/>
      <c r="Q1006" s="166"/>
      <c r="R1006" s="166"/>
      <c r="S1006" s="166"/>
      <c r="T1006" s="166"/>
      <c r="U1006" s="166"/>
      <c r="V1006" s="166"/>
      <c r="W1006" s="166"/>
      <c r="X1006" s="166"/>
      <c r="Y1006" s="166"/>
      <c r="Z1006" s="166"/>
      <c r="AA1006" s="166"/>
      <c r="AB1006" s="166"/>
      <c r="AC1006" s="166"/>
      <c r="AD1006" s="166"/>
      <c r="AE1006" s="166"/>
      <c r="AF1006" s="166"/>
      <c r="AG1006" s="166"/>
      <c r="AH1006" s="166"/>
      <c r="AI1006" s="166"/>
    </row>
    <row r="1007" spans="7:35" x14ac:dyDescent="0.25">
      <c r="G1007" s="165"/>
      <c r="H1007" s="166"/>
      <c r="I1007" s="167"/>
      <c r="J1007" s="167"/>
      <c r="K1007" s="166"/>
      <c r="L1007" s="166"/>
      <c r="M1007" s="166"/>
      <c r="N1007" s="166"/>
      <c r="O1007" s="166"/>
      <c r="P1007" s="166"/>
      <c r="Q1007" s="166"/>
      <c r="R1007" s="166"/>
      <c r="S1007" s="166"/>
      <c r="T1007" s="166"/>
      <c r="U1007" s="166"/>
      <c r="V1007" s="166"/>
      <c r="W1007" s="166"/>
      <c r="X1007" s="166"/>
      <c r="Y1007" s="166"/>
      <c r="Z1007" s="166"/>
      <c r="AA1007" s="166"/>
      <c r="AB1007" s="166"/>
      <c r="AC1007" s="166"/>
      <c r="AD1007" s="166"/>
      <c r="AE1007" s="166"/>
      <c r="AF1007" s="166"/>
      <c r="AG1007" s="166"/>
      <c r="AH1007" s="166"/>
      <c r="AI1007" s="166"/>
    </row>
    <row r="1008" spans="7:35" x14ac:dyDescent="0.25">
      <c r="G1008" s="165"/>
      <c r="H1008" s="166"/>
      <c r="I1008" s="167"/>
      <c r="J1008" s="167"/>
      <c r="K1008" s="166"/>
      <c r="L1008" s="166"/>
      <c r="M1008" s="166"/>
      <c r="N1008" s="166"/>
      <c r="O1008" s="166"/>
      <c r="P1008" s="166"/>
      <c r="Q1008" s="166"/>
      <c r="R1008" s="166"/>
      <c r="S1008" s="166"/>
      <c r="T1008" s="166"/>
      <c r="U1008" s="166"/>
      <c r="V1008" s="166"/>
      <c r="W1008" s="166"/>
      <c r="X1008" s="166"/>
      <c r="Y1008" s="166"/>
      <c r="Z1008" s="166"/>
      <c r="AA1008" s="166"/>
      <c r="AB1008" s="166"/>
      <c r="AC1008" s="166"/>
      <c r="AD1008" s="166"/>
      <c r="AE1008" s="166"/>
      <c r="AF1008" s="166"/>
      <c r="AG1008" s="166"/>
      <c r="AH1008" s="166"/>
      <c r="AI1008" s="166"/>
    </row>
    <row r="1009" spans="7:35" x14ac:dyDescent="0.25">
      <c r="G1009" s="165"/>
      <c r="H1009" s="166"/>
      <c r="I1009" s="167"/>
      <c r="J1009" s="167"/>
      <c r="K1009" s="166"/>
      <c r="L1009" s="166"/>
      <c r="M1009" s="166"/>
      <c r="N1009" s="166"/>
      <c r="O1009" s="166"/>
      <c r="P1009" s="166"/>
      <c r="Q1009" s="166"/>
      <c r="R1009" s="166"/>
      <c r="S1009" s="166"/>
      <c r="T1009" s="166"/>
      <c r="U1009" s="166"/>
      <c r="V1009" s="166"/>
      <c r="W1009" s="166"/>
      <c r="X1009" s="166"/>
      <c r="Y1009" s="166"/>
      <c r="Z1009" s="166"/>
      <c r="AA1009" s="166"/>
      <c r="AB1009" s="166"/>
      <c r="AC1009" s="166"/>
      <c r="AD1009" s="166"/>
      <c r="AE1009" s="166"/>
      <c r="AF1009" s="166"/>
      <c r="AG1009" s="166"/>
      <c r="AH1009" s="166"/>
      <c r="AI1009" s="166"/>
    </row>
    <row r="1010" spans="7:35" x14ac:dyDescent="0.25">
      <c r="G1010" s="165"/>
      <c r="H1010" s="166"/>
      <c r="I1010" s="167"/>
      <c r="J1010" s="167"/>
      <c r="K1010" s="166"/>
      <c r="L1010" s="166"/>
      <c r="M1010" s="166"/>
      <c r="N1010" s="166"/>
      <c r="O1010" s="166"/>
      <c r="P1010" s="166"/>
      <c r="Q1010" s="166"/>
      <c r="R1010" s="166"/>
      <c r="S1010" s="166"/>
      <c r="T1010" s="166"/>
      <c r="U1010" s="166"/>
      <c r="V1010" s="166"/>
      <c r="W1010" s="166"/>
      <c r="X1010" s="166"/>
      <c r="Y1010" s="166"/>
      <c r="Z1010" s="166"/>
      <c r="AA1010" s="166"/>
      <c r="AB1010" s="166"/>
      <c r="AC1010" s="166"/>
      <c r="AD1010" s="166"/>
      <c r="AE1010" s="166"/>
      <c r="AF1010" s="166"/>
      <c r="AG1010" s="166"/>
      <c r="AH1010" s="166"/>
      <c r="AI1010" s="166"/>
    </row>
    <row r="1011" spans="7:35" x14ac:dyDescent="0.25">
      <c r="G1011" s="165"/>
      <c r="H1011" s="166"/>
      <c r="I1011" s="167"/>
      <c r="J1011" s="167"/>
      <c r="K1011" s="166"/>
      <c r="L1011" s="166"/>
      <c r="M1011" s="166"/>
      <c r="N1011" s="166"/>
      <c r="O1011" s="166"/>
      <c r="P1011" s="166"/>
      <c r="Q1011" s="166"/>
      <c r="R1011" s="166"/>
      <c r="S1011" s="166"/>
      <c r="T1011" s="166"/>
      <c r="U1011" s="166"/>
      <c r="V1011" s="166"/>
      <c r="W1011" s="166"/>
      <c r="X1011" s="166"/>
      <c r="Y1011" s="166"/>
      <c r="Z1011" s="166"/>
      <c r="AA1011" s="166"/>
      <c r="AB1011" s="166"/>
      <c r="AC1011" s="166"/>
      <c r="AD1011" s="166"/>
      <c r="AE1011" s="166"/>
      <c r="AF1011" s="166"/>
      <c r="AG1011" s="166"/>
      <c r="AH1011" s="166"/>
      <c r="AI1011" s="166"/>
    </row>
    <row r="1012" spans="7:35" x14ac:dyDescent="0.25">
      <c r="G1012" s="165"/>
      <c r="H1012" s="166"/>
      <c r="I1012" s="167"/>
      <c r="J1012" s="167"/>
      <c r="K1012" s="166"/>
      <c r="L1012" s="166"/>
      <c r="M1012" s="166"/>
      <c r="N1012" s="166"/>
      <c r="O1012" s="166"/>
      <c r="P1012" s="166"/>
      <c r="Q1012" s="166"/>
      <c r="R1012" s="166"/>
      <c r="S1012" s="166"/>
      <c r="T1012" s="166"/>
      <c r="U1012" s="166"/>
      <c r="V1012" s="166"/>
      <c r="W1012" s="166"/>
      <c r="X1012" s="166"/>
      <c r="Y1012" s="166"/>
      <c r="Z1012" s="166"/>
      <c r="AA1012" s="166"/>
      <c r="AB1012" s="166"/>
      <c r="AC1012" s="166"/>
      <c r="AD1012" s="166"/>
      <c r="AE1012" s="166"/>
      <c r="AF1012" s="166"/>
      <c r="AG1012" s="166"/>
      <c r="AH1012" s="166"/>
      <c r="AI1012" s="166"/>
    </row>
    <row r="1013" spans="7:35" x14ac:dyDescent="0.25">
      <c r="G1013" s="165"/>
      <c r="H1013" s="166"/>
      <c r="I1013" s="167"/>
      <c r="J1013" s="167"/>
      <c r="K1013" s="166"/>
      <c r="L1013" s="166"/>
      <c r="M1013" s="166"/>
      <c r="N1013" s="166"/>
      <c r="O1013" s="166"/>
      <c r="P1013" s="166"/>
      <c r="Q1013" s="166"/>
      <c r="R1013" s="166"/>
      <c r="S1013" s="166"/>
      <c r="T1013" s="166"/>
      <c r="U1013" s="166"/>
      <c r="V1013" s="166"/>
      <c r="W1013" s="166"/>
      <c r="X1013" s="166"/>
      <c r="Y1013" s="166"/>
      <c r="Z1013" s="166"/>
      <c r="AA1013" s="166"/>
      <c r="AB1013" s="166"/>
      <c r="AC1013" s="166"/>
      <c r="AD1013" s="166"/>
      <c r="AE1013" s="166"/>
      <c r="AF1013" s="166"/>
      <c r="AG1013" s="166"/>
      <c r="AH1013" s="166"/>
      <c r="AI1013" s="166"/>
    </row>
    <row r="1014" spans="7:35" x14ac:dyDescent="0.25">
      <c r="G1014" s="165"/>
      <c r="H1014" s="166"/>
      <c r="I1014" s="167"/>
      <c r="J1014" s="167"/>
      <c r="K1014" s="166"/>
      <c r="L1014" s="166"/>
      <c r="M1014" s="166"/>
      <c r="N1014" s="166"/>
      <c r="O1014" s="166"/>
      <c r="P1014" s="166"/>
      <c r="Q1014" s="166"/>
      <c r="R1014" s="166"/>
      <c r="S1014" s="166"/>
      <c r="T1014" s="166"/>
      <c r="U1014" s="166"/>
      <c r="V1014" s="166"/>
      <c r="W1014" s="166"/>
      <c r="X1014" s="166"/>
      <c r="Y1014" s="166"/>
      <c r="Z1014" s="166"/>
      <c r="AA1014" s="166"/>
      <c r="AB1014" s="166"/>
      <c r="AC1014" s="166"/>
      <c r="AD1014" s="166"/>
      <c r="AE1014" s="166"/>
      <c r="AF1014" s="166"/>
      <c r="AG1014" s="166"/>
      <c r="AH1014" s="166"/>
      <c r="AI1014" s="166"/>
    </row>
    <row r="1015" spans="7:35" x14ac:dyDescent="0.25">
      <c r="G1015" s="165"/>
      <c r="H1015" s="166"/>
      <c r="I1015" s="167"/>
      <c r="J1015" s="167"/>
      <c r="K1015" s="166"/>
      <c r="L1015" s="166"/>
      <c r="M1015" s="166"/>
      <c r="N1015" s="166"/>
      <c r="O1015" s="166"/>
      <c r="P1015" s="166"/>
      <c r="Q1015" s="166"/>
      <c r="R1015" s="166"/>
      <c r="S1015" s="166"/>
      <c r="T1015" s="166"/>
      <c r="U1015" s="166"/>
      <c r="V1015" s="166"/>
      <c r="W1015" s="166"/>
      <c r="X1015" s="166"/>
      <c r="Y1015" s="166"/>
      <c r="Z1015" s="166"/>
      <c r="AA1015" s="166"/>
      <c r="AB1015" s="166"/>
      <c r="AC1015" s="166"/>
      <c r="AD1015" s="166"/>
      <c r="AE1015" s="166"/>
      <c r="AF1015" s="166"/>
      <c r="AG1015" s="166"/>
      <c r="AH1015" s="166"/>
      <c r="AI1015" s="166"/>
    </row>
    <row r="1016" spans="7:35" x14ac:dyDescent="0.25">
      <c r="G1016" s="165"/>
      <c r="H1016" s="166"/>
      <c r="I1016" s="167"/>
      <c r="J1016" s="167"/>
      <c r="K1016" s="166"/>
      <c r="L1016" s="166"/>
      <c r="M1016" s="166"/>
      <c r="N1016" s="166"/>
      <c r="O1016" s="166"/>
      <c r="P1016" s="166"/>
      <c r="Q1016" s="166"/>
      <c r="R1016" s="166"/>
      <c r="S1016" s="166"/>
      <c r="T1016" s="166"/>
      <c r="U1016" s="166"/>
      <c r="V1016" s="166"/>
      <c r="W1016" s="166"/>
      <c r="X1016" s="166"/>
      <c r="Y1016" s="166"/>
      <c r="Z1016" s="166"/>
      <c r="AA1016" s="166"/>
      <c r="AB1016" s="166"/>
      <c r="AC1016" s="166"/>
      <c r="AD1016" s="166"/>
      <c r="AE1016" s="166"/>
      <c r="AF1016" s="166"/>
      <c r="AG1016" s="166"/>
      <c r="AH1016" s="166"/>
      <c r="AI1016" s="166"/>
    </row>
    <row r="1017" spans="7:35" x14ac:dyDescent="0.25">
      <c r="G1017" s="165"/>
      <c r="H1017" s="166"/>
      <c r="I1017" s="167"/>
      <c r="J1017" s="167"/>
      <c r="K1017" s="166"/>
      <c r="L1017" s="166"/>
      <c r="M1017" s="166"/>
      <c r="N1017" s="166"/>
      <c r="O1017" s="166"/>
      <c r="P1017" s="166"/>
      <c r="Q1017" s="166"/>
      <c r="R1017" s="166"/>
      <c r="S1017" s="166"/>
      <c r="T1017" s="166"/>
      <c r="U1017" s="166"/>
      <c r="V1017" s="166"/>
      <c r="W1017" s="166"/>
      <c r="X1017" s="166"/>
      <c r="Y1017" s="166"/>
      <c r="Z1017" s="166"/>
      <c r="AA1017" s="166"/>
      <c r="AB1017" s="166"/>
      <c r="AC1017" s="166"/>
      <c r="AD1017" s="166"/>
      <c r="AE1017" s="166"/>
      <c r="AF1017" s="166"/>
      <c r="AG1017" s="166"/>
      <c r="AH1017" s="166"/>
      <c r="AI1017" s="166"/>
    </row>
    <row r="1018" spans="7:35" x14ac:dyDescent="0.25">
      <c r="G1018" s="165"/>
      <c r="H1018" s="166"/>
      <c r="I1018" s="167"/>
      <c r="J1018" s="167"/>
      <c r="K1018" s="166"/>
      <c r="L1018" s="166"/>
      <c r="M1018" s="166"/>
      <c r="N1018" s="166"/>
      <c r="O1018" s="166"/>
      <c r="P1018" s="166"/>
      <c r="Q1018" s="166"/>
      <c r="R1018" s="166"/>
      <c r="S1018" s="166"/>
      <c r="T1018" s="166"/>
      <c r="U1018" s="166"/>
      <c r="V1018" s="166"/>
      <c r="W1018" s="166"/>
      <c r="X1018" s="166"/>
      <c r="Y1018" s="166"/>
      <c r="Z1018" s="166"/>
      <c r="AA1018" s="166"/>
      <c r="AB1018" s="166"/>
      <c r="AC1018" s="166"/>
      <c r="AD1018" s="166"/>
      <c r="AE1018" s="166"/>
      <c r="AF1018" s="166"/>
      <c r="AG1018" s="166"/>
      <c r="AH1018" s="166"/>
      <c r="AI1018" s="166"/>
    </row>
    <row r="1019" spans="7:35" x14ac:dyDescent="0.25">
      <c r="G1019" s="165"/>
      <c r="H1019" s="166"/>
      <c r="I1019" s="167"/>
      <c r="J1019" s="167"/>
      <c r="K1019" s="166"/>
      <c r="L1019" s="166"/>
      <c r="M1019" s="166"/>
      <c r="N1019" s="166"/>
      <c r="O1019" s="166"/>
      <c r="P1019" s="166"/>
      <c r="Q1019" s="166"/>
      <c r="R1019" s="166"/>
      <c r="S1019" s="166"/>
      <c r="T1019" s="166"/>
      <c r="U1019" s="166"/>
      <c r="V1019" s="166"/>
      <c r="W1019" s="166"/>
      <c r="X1019" s="166"/>
      <c r="Y1019" s="166"/>
      <c r="Z1019" s="166"/>
      <c r="AA1019" s="166"/>
      <c r="AB1019" s="166"/>
      <c r="AC1019" s="166"/>
      <c r="AD1019" s="166"/>
      <c r="AE1019" s="166"/>
      <c r="AF1019" s="166"/>
      <c r="AG1019" s="166"/>
      <c r="AH1019" s="166"/>
      <c r="AI1019" s="166"/>
    </row>
    <row r="1020" spans="7:35" x14ac:dyDescent="0.25">
      <c r="G1020" s="165"/>
      <c r="H1020" s="166"/>
      <c r="I1020" s="167"/>
      <c r="J1020" s="167"/>
      <c r="K1020" s="166"/>
      <c r="L1020" s="166"/>
      <c r="M1020" s="166"/>
      <c r="N1020" s="166"/>
      <c r="O1020" s="166"/>
      <c r="P1020" s="166"/>
      <c r="Q1020" s="166"/>
      <c r="R1020" s="166"/>
      <c r="S1020" s="166"/>
      <c r="T1020" s="166"/>
      <c r="U1020" s="166"/>
      <c r="V1020" s="166"/>
      <c r="W1020" s="166"/>
      <c r="X1020" s="166"/>
      <c r="Y1020" s="166"/>
      <c r="Z1020" s="166"/>
      <c r="AA1020" s="166"/>
      <c r="AB1020" s="166"/>
      <c r="AC1020" s="166"/>
      <c r="AD1020" s="166"/>
      <c r="AE1020" s="166"/>
      <c r="AF1020" s="166"/>
      <c r="AG1020" s="166"/>
      <c r="AH1020" s="166"/>
      <c r="AI1020" s="166"/>
    </row>
    <row r="1021" spans="7:35" x14ac:dyDescent="0.25">
      <c r="G1021" s="165"/>
      <c r="H1021" s="166"/>
      <c r="I1021" s="167"/>
      <c r="J1021" s="167"/>
      <c r="K1021" s="166"/>
      <c r="L1021" s="166"/>
      <c r="M1021" s="166"/>
      <c r="N1021" s="166"/>
      <c r="O1021" s="166"/>
      <c r="P1021" s="166"/>
      <c r="Q1021" s="166"/>
      <c r="R1021" s="166"/>
      <c r="S1021" s="166"/>
      <c r="T1021" s="166"/>
      <c r="U1021" s="166"/>
      <c r="V1021" s="166"/>
      <c r="W1021" s="166"/>
      <c r="X1021" s="166"/>
      <c r="Y1021" s="166"/>
      <c r="Z1021" s="166"/>
      <c r="AA1021" s="166"/>
      <c r="AB1021" s="166"/>
      <c r="AC1021" s="166"/>
      <c r="AD1021" s="166"/>
      <c r="AE1021" s="166"/>
      <c r="AF1021" s="166"/>
      <c r="AG1021" s="166"/>
      <c r="AH1021" s="166"/>
      <c r="AI1021" s="166"/>
    </row>
    <row r="1022" spans="7:35" x14ac:dyDescent="0.25">
      <c r="G1022" s="165"/>
      <c r="H1022" s="166"/>
      <c r="I1022" s="167"/>
      <c r="J1022" s="167"/>
      <c r="K1022" s="166"/>
      <c r="L1022" s="166"/>
      <c r="M1022" s="166"/>
      <c r="N1022" s="166"/>
      <c r="O1022" s="166"/>
      <c r="P1022" s="166"/>
      <c r="Q1022" s="166"/>
      <c r="R1022" s="166"/>
      <c r="S1022" s="166"/>
      <c r="T1022" s="166"/>
      <c r="U1022" s="166"/>
      <c r="V1022" s="166"/>
      <c r="W1022" s="166"/>
      <c r="X1022" s="166"/>
      <c r="Y1022" s="166"/>
      <c r="Z1022" s="166"/>
      <c r="AA1022" s="166"/>
      <c r="AB1022" s="166"/>
      <c r="AC1022" s="166"/>
      <c r="AD1022" s="166"/>
      <c r="AE1022" s="166"/>
      <c r="AF1022" s="166"/>
      <c r="AG1022" s="166"/>
      <c r="AH1022" s="166"/>
      <c r="AI1022" s="166"/>
    </row>
    <row r="1023" spans="7:35" x14ac:dyDescent="0.25">
      <c r="G1023" s="165"/>
      <c r="H1023" s="166"/>
      <c r="I1023" s="167"/>
      <c r="J1023" s="167"/>
      <c r="K1023" s="166"/>
      <c r="L1023" s="166"/>
      <c r="M1023" s="166"/>
      <c r="N1023" s="166"/>
      <c r="O1023" s="166"/>
      <c r="P1023" s="166"/>
      <c r="Q1023" s="166"/>
      <c r="R1023" s="166"/>
      <c r="S1023" s="166"/>
      <c r="T1023" s="166"/>
      <c r="U1023" s="166"/>
      <c r="V1023" s="166"/>
      <c r="W1023" s="166"/>
      <c r="X1023" s="166"/>
      <c r="Y1023" s="166"/>
      <c r="Z1023" s="166"/>
      <c r="AA1023" s="166"/>
      <c r="AB1023" s="166"/>
      <c r="AC1023" s="166"/>
      <c r="AD1023" s="166"/>
      <c r="AE1023" s="166"/>
      <c r="AF1023" s="166"/>
      <c r="AG1023" s="166"/>
      <c r="AH1023" s="166"/>
      <c r="AI1023" s="166"/>
    </row>
    <row r="1024" spans="7:35" x14ac:dyDescent="0.25">
      <c r="G1024" s="165"/>
      <c r="H1024" s="166"/>
      <c r="I1024" s="167"/>
      <c r="J1024" s="167"/>
      <c r="K1024" s="166"/>
      <c r="L1024" s="166"/>
      <c r="M1024" s="166"/>
      <c r="N1024" s="166"/>
      <c r="O1024" s="166"/>
      <c r="P1024" s="166"/>
      <c r="Q1024" s="166"/>
      <c r="R1024" s="166"/>
      <c r="S1024" s="166"/>
      <c r="T1024" s="166"/>
      <c r="U1024" s="166"/>
      <c r="V1024" s="166"/>
      <c r="W1024" s="166"/>
      <c r="X1024" s="166"/>
      <c r="Y1024" s="166"/>
      <c r="Z1024" s="166"/>
      <c r="AA1024" s="166"/>
      <c r="AB1024" s="166"/>
      <c r="AC1024" s="166"/>
      <c r="AD1024" s="166"/>
      <c r="AE1024" s="166"/>
      <c r="AF1024" s="166"/>
      <c r="AG1024" s="166"/>
      <c r="AH1024" s="166"/>
      <c r="AI1024" s="166"/>
    </row>
    <row r="1025" spans="7:35" x14ac:dyDescent="0.25">
      <c r="G1025" s="165"/>
      <c r="H1025" s="166"/>
      <c r="I1025" s="167"/>
      <c r="J1025" s="167"/>
      <c r="K1025" s="166"/>
      <c r="L1025" s="166"/>
      <c r="M1025" s="166"/>
      <c r="N1025" s="166"/>
      <c r="O1025" s="166"/>
      <c r="P1025" s="166"/>
      <c r="Q1025" s="166"/>
      <c r="R1025" s="166"/>
      <c r="S1025" s="166"/>
      <c r="T1025" s="166"/>
      <c r="U1025" s="166"/>
      <c r="V1025" s="166"/>
      <c r="W1025" s="166"/>
      <c r="X1025" s="166"/>
      <c r="Y1025" s="166"/>
      <c r="Z1025" s="166"/>
      <c r="AA1025" s="166"/>
      <c r="AB1025" s="166"/>
      <c r="AC1025" s="166"/>
      <c r="AD1025" s="166"/>
      <c r="AE1025" s="166"/>
      <c r="AF1025" s="166"/>
      <c r="AG1025" s="166"/>
      <c r="AH1025" s="166"/>
      <c r="AI1025" s="166"/>
    </row>
    <row r="1026" spans="7:35" x14ac:dyDescent="0.25">
      <c r="G1026" s="165"/>
      <c r="H1026" s="166"/>
      <c r="I1026" s="167"/>
      <c r="J1026" s="167"/>
      <c r="K1026" s="166"/>
      <c r="L1026" s="166"/>
      <c r="M1026" s="166"/>
      <c r="N1026" s="166"/>
      <c r="O1026" s="166"/>
      <c r="P1026" s="166"/>
      <c r="Q1026" s="166"/>
      <c r="R1026" s="166"/>
      <c r="S1026" s="166"/>
      <c r="T1026" s="166"/>
      <c r="U1026" s="166"/>
      <c r="V1026" s="166"/>
      <c r="W1026" s="166"/>
      <c r="X1026" s="166"/>
      <c r="Y1026" s="166"/>
      <c r="Z1026" s="166"/>
      <c r="AA1026" s="166"/>
      <c r="AB1026" s="166"/>
      <c r="AC1026" s="166"/>
      <c r="AD1026" s="166"/>
      <c r="AE1026" s="166"/>
      <c r="AF1026" s="166"/>
      <c r="AG1026" s="166"/>
      <c r="AH1026" s="166"/>
      <c r="AI1026" s="166"/>
    </row>
    <row r="1027" spans="7:35" x14ac:dyDescent="0.25">
      <c r="G1027" s="165"/>
      <c r="H1027" s="166"/>
      <c r="I1027" s="167"/>
      <c r="J1027" s="167"/>
      <c r="K1027" s="166"/>
      <c r="L1027" s="166"/>
      <c r="M1027" s="166"/>
      <c r="N1027" s="166"/>
      <c r="O1027" s="166"/>
      <c r="P1027" s="166"/>
      <c r="Q1027" s="166"/>
      <c r="R1027" s="166"/>
      <c r="S1027" s="166"/>
      <c r="T1027" s="166"/>
      <c r="U1027" s="166"/>
      <c r="V1027" s="166"/>
      <c r="W1027" s="166"/>
      <c r="X1027" s="166"/>
      <c r="Y1027" s="166"/>
      <c r="Z1027" s="166"/>
      <c r="AA1027" s="166"/>
      <c r="AB1027" s="166"/>
      <c r="AC1027" s="166"/>
      <c r="AD1027" s="166"/>
      <c r="AE1027" s="166"/>
      <c r="AF1027" s="166"/>
      <c r="AG1027" s="166"/>
      <c r="AH1027" s="166"/>
      <c r="AI1027" s="166"/>
    </row>
    <row r="1028" spans="7:35" x14ac:dyDescent="0.25">
      <c r="G1028" s="165"/>
      <c r="H1028" s="166"/>
      <c r="I1028" s="167"/>
      <c r="J1028" s="167"/>
      <c r="K1028" s="166"/>
      <c r="L1028" s="166"/>
      <c r="M1028" s="166"/>
      <c r="N1028" s="166"/>
      <c r="O1028" s="166"/>
      <c r="P1028" s="166"/>
      <c r="Q1028" s="166"/>
      <c r="R1028" s="166"/>
      <c r="S1028" s="166"/>
      <c r="T1028" s="166"/>
      <c r="U1028" s="166"/>
      <c r="V1028" s="166"/>
      <c r="W1028" s="166"/>
      <c r="X1028" s="166"/>
      <c r="Y1028" s="166"/>
      <c r="Z1028" s="166"/>
      <c r="AA1028" s="166"/>
      <c r="AB1028" s="166"/>
      <c r="AC1028" s="166"/>
      <c r="AD1028" s="166"/>
      <c r="AE1028" s="166"/>
      <c r="AF1028" s="166"/>
      <c r="AG1028" s="166"/>
      <c r="AH1028" s="166"/>
      <c r="AI1028" s="166"/>
    </row>
    <row r="1029" spans="7:35" x14ac:dyDescent="0.25">
      <c r="G1029" s="165"/>
      <c r="H1029" s="166"/>
      <c r="I1029" s="167"/>
      <c r="J1029" s="167"/>
      <c r="K1029" s="166"/>
      <c r="L1029" s="166"/>
      <c r="M1029" s="166"/>
      <c r="N1029" s="166"/>
      <c r="O1029" s="166"/>
      <c r="P1029" s="166"/>
      <c r="Q1029" s="166"/>
      <c r="R1029" s="166"/>
      <c r="S1029" s="166"/>
      <c r="T1029" s="166"/>
      <c r="U1029" s="166"/>
      <c r="V1029" s="166"/>
      <c r="W1029" s="166"/>
      <c r="X1029" s="166"/>
      <c r="Y1029" s="166"/>
      <c r="Z1029" s="166"/>
      <c r="AA1029" s="166"/>
      <c r="AB1029" s="166"/>
      <c r="AC1029" s="166"/>
      <c r="AD1029" s="166"/>
      <c r="AE1029" s="166"/>
      <c r="AF1029" s="166"/>
      <c r="AG1029" s="166"/>
      <c r="AH1029" s="166"/>
      <c r="AI1029" s="166"/>
    </row>
    <row r="1030" spans="7:35" x14ac:dyDescent="0.25">
      <c r="G1030" s="165"/>
      <c r="H1030" s="166"/>
      <c r="I1030" s="167"/>
      <c r="J1030" s="167"/>
      <c r="K1030" s="166"/>
      <c r="L1030" s="166"/>
      <c r="M1030" s="166"/>
      <c r="N1030" s="166"/>
      <c r="O1030" s="166"/>
      <c r="P1030" s="166"/>
      <c r="Q1030" s="166"/>
      <c r="R1030" s="166"/>
      <c r="S1030" s="166"/>
      <c r="T1030" s="166"/>
      <c r="U1030" s="166"/>
      <c r="V1030" s="166"/>
      <c r="W1030" s="166"/>
      <c r="X1030" s="166"/>
      <c r="Y1030" s="166"/>
      <c r="Z1030" s="166"/>
      <c r="AA1030" s="166"/>
      <c r="AB1030" s="166"/>
      <c r="AC1030" s="166"/>
      <c r="AD1030" s="166"/>
      <c r="AE1030" s="166"/>
      <c r="AF1030" s="166"/>
      <c r="AG1030" s="166"/>
      <c r="AH1030" s="166"/>
      <c r="AI1030" s="166"/>
    </row>
    <row r="1031" spans="7:35" x14ac:dyDescent="0.25">
      <c r="G1031" s="165"/>
      <c r="H1031" s="166"/>
      <c r="I1031" s="167"/>
      <c r="J1031" s="167"/>
      <c r="K1031" s="166"/>
      <c r="L1031" s="166"/>
      <c r="M1031" s="166"/>
      <c r="N1031" s="166"/>
      <c r="O1031" s="166"/>
      <c r="P1031" s="166"/>
      <c r="Q1031" s="166"/>
      <c r="R1031" s="166"/>
      <c r="S1031" s="166"/>
      <c r="T1031" s="166"/>
      <c r="U1031" s="166"/>
      <c r="V1031" s="166"/>
      <c r="W1031" s="166"/>
      <c r="X1031" s="166"/>
      <c r="Y1031" s="166"/>
      <c r="Z1031" s="166"/>
      <c r="AA1031" s="166"/>
      <c r="AB1031" s="166"/>
      <c r="AC1031" s="166"/>
      <c r="AD1031" s="166"/>
      <c r="AE1031" s="166"/>
      <c r="AF1031" s="166"/>
      <c r="AG1031" s="166"/>
      <c r="AH1031" s="166"/>
      <c r="AI1031" s="166"/>
    </row>
    <row r="1032" spans="7:35" x14ac:dyDescent="0.25">
      <c r="G1032" s="165"/>
      <c r="H1032" s="166"/>
      <c r="I1032" s="167"/>
      <c r="J1032" s="167"/>
      <c r="K1032" s="166"/>
      <c r="L1032" s="166"/>
      <c r="M1032" s="166"/>
      <c r="N1032" s="166"/>
      <c r="O1032" s="166"/>
      <c r="P1032" s="166"/>
      <c r="Q1032" s="166"/>
      <c r="R1032" s="166"/>
      <c r="S1032" s="166"/>
      <c r="T1032" s="166"/>
      <c r="U1032" s="166"/>
      <c r="V1032" s="166"/>
      <c r="W1032" s="166"/>
      <c r="X1032" s="166"/>
      <c r="Y1032" s="166"/>
      <c r="Z1032" s="166"/>
      <c r="AA1032" s="166"/>
      <c r="AB1032" s="166"/>
      <c r="AC1032" s="166"/>
      <c r="AD1032" s="166"/>
      <c r="AE1032" s="166"/>
      <c r="AF1032" s="166"/>
      <c r="AG1032" s="166"/>
      <c r="AH1032" s="166"/>
      <c r="AI1032" s="166"/>
    </row>
    <row r="1033" spans="7:35" x14ac:dyDescent="0.25">
      <c r="G1033" s="165"/>
      <c r="H1033" s="166"/>
      <c r="I1033" s="167"/>
      <c r="J1033" s="167"/>
      <c r="K1033" s="166"/>
      <c r="L1033" s="166"/>
      <c r="M1033" s="166"/>
      <c r="N1033" s="166"/>
      <c r="O1033" s="166"/>
      <c r="P1033" s="166"/>
      <c r="Q1033" s="166"/>
      <c r="R1033" s="166"/>
      <c r="S1033" s="166"/>
      <c r="T1033" s="166"/>
      <c r="U1033" s="166"/>
      <c r="V1033" s="166"/>
      <c r="W1033" s="166"/>
      <c r="X1033" s="166"/>
      <c r="Y1033" s="166"/>
      <c r="Z1033" s="166"/>
      <c r="AA1033" s="166"/>
      <c r="AB1033" s="166"/>
      <c r="AC1033" s="166"/>
      <c r="AD1033" s="166"/>
      <c r="AE1033" s="166"/>
      <c r="AF1033" s="166"/>
      <c r="AG1033" s="166"/>
      <c r="AH1033" s="166"/>
      <c r="AI1033" s="166"/>
    </row>
    <row r="1034" spans="7:35" x14ac:dyDescent="0.25">
      <c r="G1034" s="165"/>
      <c r="H1034" s="166"/>
      <c r="I1034" s="167"/>
      <c r="J1034" s="167"/>
      <c r="K1034" s="166"/>
      <c r="L1034" s="166"/>
      <c r="M1034" s="166"/>
      <c r="N1034" s="166"/>
      <c r="O1034" s="166"/>
      <c r="P1034" s="166"/>
      <c r="Q1034" s="166"/>
      <c r="R1034" s="166"/>
      <c r="S1034" s="166"/>
      <c r="T1034" s="166"/>
      <c r="U1034" s="166"/>
      <c r="V1034" s="166"/>
      <c r="W1034" s="166"/>
      <c r="X1034" s="166"/>
      <c r="Y1034" s="166"/>
      <c r="Z1034" s="166"/>
      <c r="AA1034" s="166"/>
      <c r="AB1034" s="166"/>
      <c r="AC1034" s="166"/>
      <c r="AD1034" s="166"/>
      <c r="AE1034" s="166"/>
      <c r="AF1034" s="166"/>
      <c r="AG1034" s="166"/>
      <c r="AH1034" s="166"/>
      <c r="AI1034" s="166"/>
    </row>
    <row r="1035" spans="7:35" x14ac:dyDescent="0.25">
      <c r="G1035" s="165"/>
      <c r="H1035" s="166"/>
      <c r="I1035" s="167"/>
      <c r="J1035" s="167"/>
      <c r="K1035" s="166"/>
      <c r="L1035" s="166"/>
      <c r="M1035" s="166"/>
      <c r="N1035" s="166"/>
      <c r="O1035" s="166"/>
      <c r="P1035" s="166"/>
      <c r="Q1035" s="166"/>
      <c r="R1035" s="166"/>
      <c r="S1035" s="166"/>
      <c r="T1035" s="166"/>
      <c r="U1035" s="166"/>
      <c r="V1035" s="166"/>
      <c r="W1035" s="166"/>
      <c r="X1035" s="166"/>
      <c r="Y1035" s="166"/>
      <c r="Z1035" s="166"/>
      <c r="AA1035" s="166"/>
      <c r="AB1035" s="166"/>
      <c r="AC1035" s="166"/>
      <c r="AD1035" s="166"/>
      <c r="AE1035" s="166"/>
      <c r="AF1035" s="166"/>
      <c r="AG1035" s="166"/>
      <c r="AH1035" s="166"/>
      <c r="AI1035" s="166"/>
    </row>
    <row r="1036" spans="7:35" x14ac:dyDescent="0.25">
      <c r="G1036" s="165"/>
      <c r="H1036" s="166"/>
      <c r="I1036" s="167"/>
      <c r="J1036" s="167"/>
      <c r="K1036" s="166"/>
      <c r="L1036" s="166"/>
      <c r="M1036" s="166"/>
      <c r="N1036" s="166"/>
      <c r="O1036" s="166"/>
      <c r="P1036" s="166"/>
      <c r="Q1036" s="166"/>
      <c r="R1036" s="166"/>
      <c r="S1036" s="166"/>
      <c r="T1036" s="166"/>
      <c r="U1036" s="166"/>
      <c r="V1036" s="166"/>
      <c r="W1036" s="166"/>
      <c r="X1036" s="166"/>
      <c r="Y1036" s="166"/>
      <c r="Z1036" s="166"/>
      <c r="AA1036" s="166"/>
      <c r="AB1036" s="166"/>
      <c r="AC1036" s="166"/>
      <c r="AD1036" s="166"/>
      <c r="AE1036" s="166"/>
      <c r="AF1036" s="166"/>
      <c r="AG1036" s="166"/>
      <c r="AH1036" s="166"/>
      <c r="AI1036" s="166"/>
    </row>
    <row r="1037" spans="7:35" x14ac:dyDescent="0.25">
      <c r="G1037" s="165"/>
      <c r="H1037" s="166"/>
      <c r="I1037" s="167"/>
      <c r="J1037" s="167"/>
      <c r="K1037" s="166"/>
      <c r="L1037" s="166"/>
      <c r="M1037" s="166"/>
      <c r="N1037" s="166"/>
      <c r="O1037" s="166"/>
      <c r="P1037" s="166"/>
      <c r="Q1037" s="166"/>
      <c r="R1037" s="166"/>
      <c r="S1037" s="166"/>
      <c r="T1037" s="166"/>
      <c r="U1037" s="166"/>
      <c r="V1037" s="166"/>
      <c r="W1037" s="166"/>
      <c r="X1037" s="166"/>
      <c r="Y1037" s="166"/>
      <c r="Z1037" s="166"/>
      <c r="AA1037" s="166"/>
      <c r="AB1037" s="166"/>
      <c r="AC1037" s="166"/>
      <c r="AD1037" s="166"/>
      <c r="AE1037" s="166"/>
      <c r="AF1037" s="166"/>
      <c r="AG1037" s="166"/>
      <c r="AH1037" s="166"/>
      <c r="AI1037" s="166"/>
    </row>
    <row r="1038" spans="7:35" x14ac:dyDescent="0.25">
      <c r="G1038" s="165"/>
      <c r="H1038" s="166"/>
      <c r="I1038" s="167"/>
      <c r="J1038" s="167"/>
      <c r="K1038" s="166"/>
      <c r="L1038" s="166"/>
      <c r="M1038" s="166"/>
      <c r="N1038" s="166"/>
      <c r="O1038" s="166"/>
      <c r="P1038" s="166"/>
      <c r="Q1038" s="166"/>
      <c r="R1038" s="166"/>
      <c r="S1038" s="166"/>
      <c r="T1038" s="166"/>
      <c r="U1038" s="166"/>
      <c r="V1038" s="166"/>
      <c r="W1038" s="166"/>
      <c r="X1038" s="166"/>
      <c r="Y1038" s="166"/>
      <c r="Z1038" s="166"/>
      <c r="AA1038" s="166"/>
      <c r="AB1038" s="166"/>
      <c r="AC1038" s="166"/>
      <c r="AD1038" s="166"/>
      <c r="AE1038" s="166"/>
      <c r="AF1038" s="166"/>
      <c r="AG1038" s="166"/>
      <c r="AH1038" s="166"/>
      <c r="AI1038" s="166"/>
    </row>
    <row r="1039" spans="7:35" x14ac:dyDescent="0.25">
      <c r="G1039" s="165"/>
      <c r="H1039" s="166"/>
      <c r="I1039" s="167"/>
      <c r="J1039" s="167"/>
      <c r="K1039" s="166"/>
      <c r="L1039" s="166"/>
      <c r="M1039" s="166"/>
      <c r="N1039" s="166"/>
      <c r="O1039" s="166"/>
      <c r="P1039" s="166"/>
      <c r="Q1039" s="166"/>
      <c r="R1039" s="166"/>
      <c r="S1039" s="166"/>
      <c r="T1039" s="166"/>
      <c r="U1039" s="166"/>
      <c r="V1039" s="166"/>
      <c r="W1039" s="166"/>
      <c r="X1039" s="166"/>
      <c r="Y1039" s="166"/>
      <c r="Z1039" s="166"/>
      <c r="AA1039" s="166"/>
      <c r="AB1039" s="166"/>
      <c r="AC1039" s="166"/>
      <c r="AD1039" s="166"/>
      <c r="AE1039" s="166"/>
      <c r="AF1039" s="166"/>
      <c r="AG1039" s="166"/>
      <c r="AH1039" s="166"/>
      <c r="AI1039" s="166"/>
    </row>
    <row r="1040" spans="7:35" x14ac:dyDescent="0.25">
      <c r="G1040" s="165"/>
      <c r="H1040" s="166"/>
      <c r="I1040" s="167"/>
      <c r="J1040" s="167"/>
      <c r="K1040" s="166"/>
      <c r="L1040" s="166"/>
      <c r="M1040" s="166"/>
      <c r="N1040" s="166"/>
      <c r="O1040" s="166"/>
      <c r="P1040" s="166"/>
      <c r="Q1040" s="166"/>
      <c r="R1040" s="166"/>
      <c r="S1040" s="166"/>
      <c r="T1040" s="166"/>
      <c r="U1040" s="166"/>
      <c r="V1040" s="166"/>
      <c r="W1040" s="166"/>
      <c r="X1040" s="166"/>
      <c r="Y1040" s="166"/>
      <c r="Z1040" s="166"/>
      <c r="AA1040" s="166"/>
      <c r="AB1040" s="166"/>
      <c r="AC1040" s="166"/>
      <c r="AD1040" s="166"/>
      <c r="AE1040" s="166"/>
      <c r="AF1040" s="166"/>
      <c r="AG1040" s="166"/>
      <c r="AH1040" s="166"/>
      <c r="AI1040" s="166"/>
    </row>
    <row r="1041" spans="7:35" x14ac:dyDescent="0.25">
      <c r="G1041" s="165"/>
      <c r="H1041" s="166"/>
      <c r="I1041" s="167"/>
      <c r="J1041" s="167"/>
      <c r="K1041" s="166"/>
      <c r="L1041" s="166"/>
      <c r="M1041" s="166"/>
      <c r="N1041" s="166"/>
      <c r="O1041" s="166"/>
      <c r="P1041" s="166"/>
      <c r="Q1041" s="166"/>
      <c r="R1041" s="166"/>
      <c r="S1041" s="166"/>
      <c r="T1041" s="166"/>
      <c r="U1041" s="166"/>
      <c r="V1041" s="166"/>
      <c r="W1041" s="166"/>
      <c r="X1041" s="166"/>
      <c r="Y1041" s="166"/>
      <c r="Z1041" s="166"/>
      <c r="AA1041" s="166"/>
      <c r="AB1041" s="166"/>
      <c r="AC1041" s="166"/>
      <c r="AD1041" s="166"/>
      <c r="AE1041" s="166"/>
      <c r="AF1041" s="166"/>
      <c r="AG1041" s="166"/>
      <c r="AH1041" s="166"/>
      <c r="AI1041" s="166"/>
    </row>
    <row r="1042" spans="7:35" x14ac:dyDescent="0.25">
      <c r="G1042" s="165"/>
      <c r="H1042" s="166"/>
      <c r="I1042" s="167"/>
      <c r="J1042" s="167"/>
      <c r="K1042" s="166"/>
      <c r="L1042" s="166"/>
      <c r="M1042" s="166"/>
      <c r="N1042" s="166"/>
      <c r="O1042" s="166"/>
      <c r="P1042" s="166"/>
      <c r="Q1042" s="166"/>
      <c r="R1042" s="166"/>
      <c r="S1042" s="166"/>
      <c r="T1042" s="166"/>
      <c r="U1042" s="166"/>
      <c r="V1042" s="166"/>
      <c r="W1042" s="166"/>
      <c r="X1042" s="166"/>
      <c r="Y1042" s="166"/>
      <c r="Z1042" s="166"/>
      <c r="AA1042" s="166"/>
      <c r="AB1042" s="166"/>
      <c r="AC1042" s="166"/>
      <c r="AD1042" s="166"/>
      <c r="AE1042" s="166"/>
      <c r="AF1042" s="166"/>
      <c r="AG1042" s="166"/>
      <c r="AH1042" s="166"/>
      <c r="AI1042" s="166"/>
    </row>
    <row r="1043" spans="7:35" x14ac:dyDescent="0.25">
      <c r="G1043" s="165"/>
      <c r="H1043" s="166"/>
      <c r="I1043" s="167"/>
      <c r="J1043" s="167"/>
      <c r="K1043" s="166"/>
      <c r="L1043" s="166"/>
      <c r="M1043" s="166"/>
      <c r="N1043" s="166"/>
      <c r="O1043" s="166"/>
      <c r="P1043" s="166"/>
      <c r="Q1043" s="166"/>
      <c r="R1043" s="166"/>
      <c r="S1043" s="166"/>
      <c r="T1043" s="166"/>
      <c r="U1043" s="166"/>
      <c r="V1043" s="166"/>
      <c r="W1043" s="166"/>
      <c r="X1043" s="166"/>
      <c r="Y1043" s="166"/>
      <c r="Z1043" s="166"/>
      <c r="AA1043" s="166"/>
      <c r="AB1043" s="166"/>
      <c r="AC1043" s="166"/>
      <c r="AD1043" s="166"/>
      <c r="AE1043" s="166"/>
      <c r="AF1043" s="166"/>
      <c r="AG1043" s="166"/>
      <c r="AH1043" s="166"/>
      <c r="AI1043" s="166"/>
    </row>
    <row r="1044" spans="7:35" x14ac:dyDescent="0.25">
      <c r="G1044" s="165"/>
      <c r="H1044" s="166"/>
      <c r="I1044" s="167"/>
      <c r="J1044" s="167"/>
      <c r="K1044" s="166"/>
      <c r="L1044" s="166"/>
      <c r="M1044" s="166"/>
      <c r="N1044" s="166"/>
      <c r="O1044" s="166"/>
      <c r="P1044" s="166"/>
      <c r="Q1044" s="166"/>
      <c r="R1044" s="166"/>
      <c r="S1044" s="166"/>
      <c r="T1044" s="166"/>
      <c r="U1044" s="166"/>
      <c r="V1044" s="166"/>
      <c r="W1044" s="166"/>
      <c r="X1044" s="166"/>
      <c r="Y1044" s="166"/>
      <c r="Z1044" s="166"/>
      <c r="AA1044" s="166"/>
      <c r="AB1044" s="166"/>
      <c r="AC1044" s="166"/>
      <c r="AD1044" s="166"/>
      <c r="AE1044" s="166"/>
      <c r="AF1044" s="166"/>
      <c r="AG1044" s="166"/>
      <c r="AH1044" s="166"/>
      <c r="AI1044" s="166"/>
    </row>
    <row r="1045" spans="7:35" x14ac:dyDescent="0.25">
      <c r="G1045" s="165"/>
      <c r="H1045" s="166"/>
      <c r="I1045" s="167"/>
      <c r="J1045" s="167"/>
      <c r="K1045" s="166"/>
      <c r="L1045" s="166"/>
      <c r="M1045" s="166"/>
      <c r="N1045" s="166"/>
      <c r="O1045" s="166"/>
      <c r="P1045" s="166"/>
      <c r="Q1045" s="166"/>
      <c r="R1045" s="166"/>
      <c r="S1045" s="166"/>
      <c r="T1045" s="166"/>
      <c r="U1045" s="166"/>
      <c r="V1045" s="166"/>
      <c r="W1045" s="166"/>
      <c r="X1045" s="166"/>
      <c r="Y1045" s="166"/>
      <c r="Z1045" s="166"/>
      <c r="AA1045" s="166"/>
      <c r="AB1045" s="166"/>
      <c r="AC1045" s="166"/>
      <c r="AD1045" s="166"/>
      <c r="AE1045" s="166"/>
      <c r="AF1045" s="166"/>
      <c r="AG1045" s="166"/>
      <c r="AH1045" s="166"/>
      <c r="AI1045" s="166"/>
    </row>
    <row r="1046" spans="7:35" x14ac:dyDescent="0.25">
      <c r="G1046" s="165"/>
      <c r="H1046" s="166"/>
      <c r="I1046" s="167"/>
      <c r="J1046" s="167"/>
      <c r="K1046" s="166"/>
      <c r="L1046" s="166"/>
      <c r="M1046" s="166"/>
      <c r="N1046" s="166"/>
      <c r="O1046" s="166"/>
      <c r="P1046" s="166"/>
      <c r="Q1046" s="166"/>
      <c r="R1046" s="166"/>
      <c r="S1046" s="166"/>
      <c r="T1046" s="166"/>
      <c r="U1046" s="166"/>
      <c r="V1046" s="166"/>
      <c r="W1046" s="166"/>
      <c r="X1046" s="166"/>
      <c r="Y1046" s="166"/>
      <c r="Z1046" s="166"/>
      <c r="AA1046" s="166"/>
      <c r="AB1046" s="166"/>
      <c r="AC1046" s="166"/>
      <c r="AD1046" s="166"/>
      <c r="AE1046" s="166"/>
      <c r="AF1046" s="166"/>
      <c r="AG1046" s="166"/>
      <c r="AH1046" s="166"/>
      <c r="AI1046" s="166"/>
    </row>
    <row r="1047" spans="7:35" x14ac:dyDescent="0.25">
      <c r="G1047" s="165"/>
      <c r="H1047" s="166"/>
      <c r="I1047" s="167"/>
      <c r="J1047" s="167"/>
      <c r="K1047" s="166"/>
      <c r="L1047" s="166"/>
      <c r="M1047" s="166"/>
      <c r="N1047" s="166"/>
      <c r="O1047" s="166"/>
      <c r="P1047" s="166"/>
      <c r="Q1047" s="166"/>
      <c r="R1047" s="166"/>
      <c r="S1047" s="166"/>
      <c r="T1047" s="166"/>
      <c r="U1047" s="166"/>
      <c r="V1047" s="166"/>
      <c r="W1047" s="166"/>
      <c r="X1047" s="166"/>
      <c r="Y1047" s="166"/>
      <c r="Z1047" s="166"/>
      <c r="AA1047" s="166"/>
      <c r="AB1047" s="166"/>
      <c r="AC1047" s="166"/>
      <c r="AD1047" s="166"/>
      <c r="AE1047" s="166"/>
      <c r="AF1047" s="166"/>
      <c r="AG1047" s="166"/>
      <c r="AH1047" s="166"/>
      <c r="AI1047" s="166"/>
    </row>
    <row r="1048" spans="7:35" x14ac:dyDescent="0.25">
      <c r="G1048" s="165"/>
      <c r="H1048" s="166"/>
      <c r="I1048" s="167"/>
      <c r="J1048" s="167"/>
      <c r="K1048" s="166"/>
      <c r="L1048" s="166"/>
      <c r="M1048" s="166"/>
      <c r="N1048" s="166"/>
      <c r="O1048" s="166"/>
      <c r="P1048" s="166"/>
      <c r="Q1048" s="166"/>
      <c r="R1048" s="166"/>
      <c r="S1048" s="166"/>
      <c r="T1048" s="166"/>
      <c r="U1048" s="166"/>
      <c r="V1048" s="166"/>
      <c r="W1048" s="166"/>
      <c r="X1048" s="166"/>
      <c r="Y1048" s="166"/>
      <c r="Z1048" s="166"/>
      <c r="AA1048" s="166"/>
      <c r="AB1048" s="166"/>
      <c r="AC1048" s="166"/>
      <c r="AD1048" s="166"/>
      <c r="AE1048" s="166"/>
      <c r="AF1048" s="166"/>
      <c r="AG1048" s="166"/>
      <c r="AH1048" s="166"/>
      <c r="AI1048" s="166"/>
    </row>
    <row r="1049" spans="7:35" x14ac:dyDescent="0.25">
      <c r="G1049" s="165"/>
      <c r="H1049" s="166"/>
      <c r="I1049" s="167"/>
      <c r="J1049" s="167"/>
      <c r="K1049" s="166"/>
      <c r="L1049" s="166"/>
      <c r="M1049" s="166"/>
      <c r="N1049" s="166"/>
      <c r="O1049" s="166"/>
      <c r="P1049" s="166"/>
      <c r="Q1049" s="166"/>
      <c r="R1049" s="166"/>
      <c r="S1049" s="166"/>
      <c r="T1049" s="166"/>
      <c r="U1049" s="166"/>
      <c r="V1049" s="166"/>
      <c r="W1049" s="166"/>
      <c r="X1049" s="166"/>
      <c r="Y1049" s="166"/>
      <c r="Z1049" s="166"/>
      <c r="AA1049" s="166"/>
      <c r="AB1049" s="166"/>
      <c r="AC1049" s="166"/>
      <c r="AD1049" s="166"/>
      <c r="AE1049" s="166"/>
      <c r="AF1049" s="166"/>
      <c r="AG1049" s="166"/>
      <c r="AH1049" s="166"/>
      <c r="AI1049" s="166"/>
    </row>
    <row r="1050" spans="7:35" x14ac:dyDescent="0.25">
      <c r="G1050" s="165"/>
      <c r="H1050" s="166"/>
      <c r="I1050" s="167"/>
      <c r="J1050" s="167"/>
      <c r="K1050" s="166"/>
      <c r="L1050" s="166"/>
      <c r="M1050" s="166"/>
      <c r="N1050" s="166"/>
      <c r="O1050" s="166"/>
      <c r="P1050" s="166"/>
      <c r="Q1050" s="166"/>
      <c r="R1050" s="166"/>
      <c r="S1050" s="166"/>
      <c r="T1050" s="166"/>
      <c r="U1050" s="166"/>
      <c r="V1050" s="166"/>
      <c r="W1050" s="166"/>
      <c r="X1050" s="166"/>
      <c r="Y1050" s="166"/>
      <c r="Z1050" s="166"/>
      <c r="AA1050" s="166"/>
      <c r="AB1050" s="166"/>
      <c r="AC1050" s="166"/>
      <c r="AD1050" s="166"/>
      <c r="AE1050" s="166"/>
      <c r="AF1050" s="166"/>
      <c r="AG1050" s="166"/>
      <c r="AH1050" s="166"/>
      <c r="AI1050" s="166"/>
    </row>
    <row r="1051" spans="7:35" x14ac:dyDescent="0.25">
      <c r="G1051" s="165"/>
      <c r="H1051" s="166"/>
      <c r="I1051" s="167"/>
      <c r="J1051" s="167"/>
      <c r="K1051" s="166"/>
      <c r="L1051" s="166"/>
      <c r="M1051" s="166"/>
      <c r="N1051" s="166"/>
      <c r="O1051" s="166"/>
      <c r="P1051" s="166"/>
      <c r="Q1051" s="166"/>
      <c r="R1051" s="166"/>
      <c r="S1051" s="166"/>
      <c r="T1051" s="166"/>
      <c r="U1051" s="166"/>
      <c r="V1051" s="166"/>
      <c r="W1051" s="166"/>
      <c r="X1051" s="166"/>
      <c r="Y1051" s="166"/>
      <c r="Z1051" s="166"/>
      <c r="AA1051" s="166"/>
      <c r="AB1051" s="166"/>
      <c r="AC1051" s="166"/>
      <c r="AD1051" s="166"/>
      <c r="AE1051" s="166"/>
      <c r="AF1051" s="166"/>
      <c r="AG1051" s="166"/>
      <c r="AH1051" s="166"/>
      <c r="AI1051" s="166"/>
    </row>
    <row r="1052" spans="7:35" x14ac:dyDescent="0.25">
      <c r="G1052" s="165"/>
      <c r="H1052" s="166"/>
      <c r="I1052" s="167"/>
      <c r="J1052" s="167"/>
      <c r="K1052" s="166"/>
      <c r="L1052" s="166"/>
      <c r="M1052" s="166"/>
      <c r="N1052" s="166"/>
      <c r="O1052" s="166"/>
      <c r="P1052" s="166"/>
      <c r="Q1052" s="166"/>
      <c r="R1052" s="166"/>
      <c r="S1052" s="166"/>
      <c r="T1052" s="166"/>
      <c r="U1052" s="166"/>
      <c r="V1052" s="166"/>
      <c r="W1052" s="166"/>
      <c r="X1052" s="166"/>
      <c r="Y1052" s="166"/>
      <c r="Z1052" s="166"/>
      <c r="AA1052" s="166"/>
      <c r="AB1052" s="166"/>
      <c r="AC1052" s="166"/>
      <c r="AD1052" s="166"/>
      <c r="AE1052" s="166"/>
      <c r="AF1052" s="166"/>
      <c r="AG1052" s="166"/>
      <c r="AH1052" s="166"/>
      <c r="AI1052" s="166"/>
    </row>
    <row r="1053" spans="7:35" x14ac:dyDescent="0.25">
      <c r="G1053" s="165"/>
      <c r="H1053" s="166"/>
      <c r="I1053" s="167"/>
      <c r="J1053" s="167"/>
      <c r="K1053" s="166"/>
      <c r="L1053" s="166"/>
      <c r="M1053" s="166"/>
      <c r="N1053" s="166"/>
      <c r="O1053" s="166"/>
      <c r="P1053" s="166"/>
      <c r="Q1053" s="166"/>
      <c r="R1053" s="166"/>
      <c r="S1053" s="166"/>
      <c r="T1053" s="166"/>
      <c r="U1053" s="166"/>
      <c r="V1053" s="166"/>
      <c r="W1053" s="166"/>
      <c r="X1053" s="166"/>
      <c r="Y1053" s="166"/>
      <c r="Z1053" s="166"/>
      <c r="AA1053" s="166"/>
      <c r="AB1053" s="166"/>
      <c r="AC1053" s="166"/>
      <c r="AD1053" s="166"/>
      <c r="AE1053" s="166"/>
      <c r="AF1053" s="166"/>
      <c r="AG1053" s="166"/>
      <c r="AH1053" s="166"/>
      <c r="AI1053" s="166"/>
    </row>
    <row r="1054" spans="7:35" x14ac:dyDescent="0.25">
      <c r="G1054" s="165"/>
      <c r="H1054" s="166"/>
      <c r="I1054" s="167"/>
      <c r="J1054" s="167"/>
      <c r="K1054" s="166"/>
      <c r="L1054" s="166"/>
      <c r="M1054" s="166"/>
      <c r="N1054" s="166"/>
      <c r="O1054" s="166"/>
      <c r="P1054" s="166"/>
      <c r="Q1054" s="166"/>
      <c r="R1054" s="166"/>
      <c r="S1054" s="166"/>
      <c r="T1054" s="166"/>
      <c r="U1054" s="166"/>
      <c r="V1054" s="166"/>
      <c r="W1054" s="166"/>
      <c r="X1054" s="166"/>
      <c r="Y1054" s="166"/>
      <c r="Z1054" s="166"/>
      <c r="AA1054" s="166"/>
      <c r="AB1054" s="166"/>
      <c r="AC1054" s="166"/>
      <c r="AD1054" s="166"/>
      <c r="AE1054" s="166"/>
      <c r="AF1054" s="166"/>
      <c r="AG1054" s="166"/>
      <c r="AH1054" s="166"/>
      <c r="AI1054" s="166"/>
    </row>
    <row r="1055" spans="7:35" x14ac:dyDescent="0.25">
      <c r="G1055" s="165"/>
      <c r="H1055" s="166"/>
      <c r="I1055" s="167"/>
      <c r="J1055" s="167"/>
      <c r="K1055" s="166"/>
      <c r="L1055" s="166"/>
      <c r="M1055" s="166"/>
      <c r="N1055" s="166"/>
      <c r="O1055" s="166"/>
      <c r="P1055" s="166"/>
      <c r="Q1055" s="166"/>
      <c r="R1055" s="166"/>
      <c r="S1055" s="166"/>
      <c r="T1055" s="166"/>
      <c r="U1055" s="166"/>
      <c r="V1055" s="166"/>
      <c r="W1055" s="166"/>
      <c r="X1055" s="166"/>
      <c r="Y1055" s="166"/>
      <c r="Z1055" s="166"/>
      <c r="AA1055" s="166"/>
      <c r="AB1055" s="166"/>
      <c r="AC1055" s="166"/>
      <c r="AD1055" s="166"/>
      <c r="AE1055" s="166"/>
      <c r="AF1055" s="166"/>
      <c r="AG1055" s="166"/>
      <c r="AH1055" s="166"/>
      <c r="AI1055" s="166"/>
    </row>
    <row r="1056" spans="7:35" x14ac:dyDescent="0.25">
      <c r="G1056" s="165"/>
      <c r="H1056" s="166"/>
      <c r="I1056" s="167"/>
      <c r="J1056" s="167"/>
      <c r="K1056" s="166"/>
      <c r="L1056" s="166"/>
      <c r="M1056" s="166"/>
      <c r="N1056" s="166"/>
      <c r="O1056" s="166"/>
      <c r="P1056" s="166"/>
      <c r="Q1056" s="166"/>
      <c r="R1056" s="166"/>
      <c r="S1056" s="166"/>
      <c r="T1056" s="166"/>
      <c r="U1056" s="166"/>
      <c r="V1056" s="166"/>
      <c r="W1056" s="166"/>
      <c r="X1056" s="166"/>
      <c r="Y1056" s="166"/>
      <c r="Z1056" s="166"/>
      <c r="AA1056" s="166"/>
      <c r="AB1056" s="166"/>
      <c r="AC1056" s="166"/>
      <c r="AD1056" s="166"/>
      <c r="AE1056" s="166"/>
      <c r="AF1056" s="166"/>
      <c r="AG1056" s="166"/>
      <c r="AH1056" s="166"/>
      <c r="AI1056" s="166"/>
    </row>
    <row r="1057" spans="7:35" x14ac:dyDescent="0.25">
      <c r="G1057" s="165"/>
      <c r="H1057" s="166"/>
      <c r="I1057" s="167"/>
      <c r="J1057" s="167"/>
      <c r="K1057" s="166"/>
      <c r="L1057" s="166"/>
      <c r="M1057" s="166"/>
      <c r="N1057" s="166"/>
      <c r="O1057" s="166"/>
      <c r="P1057" s="166"/>
      <c r="Q1057" s="166"/>
      <c r="R1057" s="166"/>
      <c r="S1057" s="166"/>
      <c r="T1057" s="166"/>
      <c r="U1057" s="166"/>
      <c r="V1057" s="166"/>
      <c r="W1057" s="166"/>
      <c r="X1057" s="166"/>
      <c r="Y1057" s="166"/>
      <c r="Z1057" s="166"/>
      <c r="AA1057" s="166"/>
      <c r="AB1057" s="166"/>
      <c r="AC1057" s="166"/>
      <c r="AD1057" s="166"/>
      <c r="AE1057" s="166"/>
      <c r="AF1057" s="166"/>
      <c r="AG1057" s="166"/>
      <c r="AH1057" s="166"/>
      <c r="AI1057" s="166"/>
    </row>
    <row r="1058" spans="7:35" x14ac:dyDescent="0.25">
      <c r="G1058" s="165"/>
      <c r="H1058" s="166"/>
      <c r="I1058" s="167"/>
      <c r="J1058" s="167"/>
      <c r="K1058" s="166"/>
      <c r="L1058" s="166"/>
      <c r="M1058" s="166"/>
      <c r="N1058" s="166"/>
      <c r="O1058" s="166"/>
      <c r="P1058" s="166"/>
      <c r="Q1058" s="166"/>
      <c r="R1058" s="166"/>
      <c r="S1058" s="166"/>
      <c r="T1058" s="166"/>
      <c r="U1058" s="166"/>
      <c r="V1058" s="166"/>
      <c r="W1058" s="166"/>
      <c r="X1058" s="166"/>
      <c r="Y1058" s="166"/>
      <c r="Z1058" s="166"/>
      <c r="AA1058" s="166"/>
      <c r="AB1058" s="166"/>
      <c r="AC1058" s="166"/>
      <c r="AD1058" s="166"/>
      <c r="AE1058" s="166"/>
      <c r="AF1058" s="166"/>
      <c r="AG1058" s="166"/>
      <c r="AH1058" s="166"/>
      <c r="AI1058" s="166"/>
    </row>
    <row r="1059" spans="7:35" x14ac:dyDescent="0.25">
      <c r="G1059" s="165"/>
      <c r="H1059" s="166"/>
      <c r="I1059" s="167"/>
      <c r="J1059" s="167"/>
      <c r="K1059" s="166"/>
      <c r="L1059" s="166"/>
      <c r="M1059" s="166"/>
      <c r="N1059" s="166"/>
      <c r="O1059" s="166"/>
      <c r="P1059" s="166"/>
      <c r="Q1059" s="166"/>
      <c r="R1059" s="166"/>
      <c r="S1059" s="166"/>
      <c r="T1059" s="166"/>
      <c r="U1059" s="166"/>
      <c r="V1059" s="166"/>
      <c r="W1059" s="166"/>
      <c r="X1059" s="166"/>
      <c r="Y1059" s="166"/>
      <c r="Z1059" s="166"/>
      <c r="AA1059" s="166"/>
      <c r="AB1059" s="166"/>
      <c r="AC1059" s="166"/>
      <c r="AD1059" s="166"/>
      <c r="AE1059" s="166"/>
      <c r="AF1059" s="166"/>
      <c r="AG1059" s="166"/>
      <c r="AH1059" s="166"/>
      <c r="AI1059" s="166"/>
    </row>
    <row r="1060" spans="7:35" x14ac:dyDescent="0.25">
      <c r="G1060" s="165"/>
      <c r="H1060" s="166"/>
      <c r="I1060" s="167"/>
      <c r="J1060" s="167"/>
      <c r="K1060" s="166"/>
      <c r="L1060" s="166"/>
      <c r="M1060" s="166"/>
      <c r="N1060" s="166"/>
      <c r="O1060" s="166"/>
      <c r="P1060" s="166"/>
      <c r="Q1060" s="166"/>
      <c r="R1060" s="166"/>
      <c r="S1060" s="166"/>
      <c r="T1060" s="166"/>
      <c r="U1060" s="166"/>
      <c r="V1060" s="166"/>
      <c r="W1060" s="166"/>
      <c r="X1060" s="166"/>
      <c r="Y1060" s="166"/>
      <c r="Z1060" s="166"/>
      <c r="AA1060" s="166"/>
      <c r="AB1060" s="166"/>
      <c r="AC1060" s="166"/>
      <c r="AD1060" s="166"/>
      <c r="AE1060" s="166"/>
      <c r="AF1060" s="166"/>
      <c r="AG1060" s="166"/>
      <c r="AH1060" s="166"/>
      <c r="AI1060" s="166"/>
    </row>
    <row r="1061" spans="7:35" x14ac:dyDescent="0.25">
      <c r="G1061" s="165"/>
      <c r="H1061" s="166"/>
      <c r="I1061" s="167"/>
      <c r="J1061" s="167"/>
      <c r="K1061" s="166"/>
      <c r="L1061" s="166"/>
      <c r="M1061" s="166"/>
      <c r="N1061" s="166"/>
      <c r="O1061" s="166"/>
      <c r="P1061" s="166"/>
      <c r="Q1061" s="166"/>
      <c r="R1061" s="166"/>
      <c r="S1061" s="166"/>
      <c r="T1061" s="166"/>
      <c r="U1061" s="166"/>
      <c r="V1061" s="166"/>
      <c r="W1061" s="166"/>
      <c r="X1061" s="166"/>
      <c r="Y1061" s="166"/>
      <c r="Z1061" s="166"/>
      <c r="AA1061" s="166"/>
      <c r="AB1061" s="166"/>
      <c r="AC1061" s="166"/>
      <c r="AD1061" s="166"/>
      <c r="AE1061" s="166"/>
      <c r="AF1061" s="166"/>
      <c r="AG1061" s="166"/>
      <c r="AH1061" s="166"/>
      <c r="AI1061" s="166"/>
    </row>
    <row r="1062" spans="7:35" x14ac:dyDescent="0.25">
      <c r="G1062" s="165"/>
      <c r="H1062" s="166"/>
      <c r="I1062" s="167"/>
      <c r="J1062" s="167"/>
      <c r="K1062" s="166"/>
      <c r="L1062" s="166"/>
      <c r="M1062" s="166"/>
      <c r="N1062" s="166"/>
      <c r="O1062" s="166"/>
      <c r="P1062" s="166"/>
      <c r="Q1062" s="166"/>
      <c r="R1062" s="166"/>
      <c r="S1062" s="166"/>
      <c r="T1062" s="166"/>
      <c r="U1062" s="166"/>
      <c r="V1062" s="166"/>
      <c r="W1062" s="166"/>
      <c r="X1062" s="166"/>
      <c r="Y1062" s="166"/>
      <c r="Z1062" s="166"/>
      <c r="AA1062" s="166"/>
      <c r="AB1062" s="166"/>
      <c r="AC1062" s="166"/>
      <c r="AD1062" s="166"/>
      <c r="AE1062" s="166"/>
      <c r="AF1062" s="166"/>
      <c r="AG1062" s="166"/>
      <c r="AH1062" s="166"/>
      <c r="AI1062" s="166"/>
    </row>
    <row r="1063" spans="7:35" x14ac:dyDescent="0.25">
      <c r="G1063" s="165"/>
      <c r="H1063" s="166"/>
      <c r="I1063" s="167"/>
      <c r="J1063" s="167"/>
      <c r="K1063" s="166"/>
      <c r="L1063" s="166"/>
      <c r="M1063" s="166"/>
      <c r="N1063" s="166"/>
      <c r="O1063" s="166"/>
      <c r="P1063" s="166"/>
      <c r="Q1063" s="166"/>
      <c r="R1063" s="166"/>
      <c r="S1063" s="166"/>
      <c r="T1063" s="166"/>
      <c r="U1063" s="166"/>
      <c r="V1063" s="166"/>
      <c r="W1063" s="166"/>
      <c r="X1063" s="166"/>
      <c r="Y1063" s="166"/>
      <c r="Z1063" s="166"/>
      <c r="AA1063" s="166"/>
      <c r="AB1063" s="166"/>
      <c r="AC1063" s="166"/>
      <c r="AD1063" s="166"/>
      <c r="AE1063" s="166"/>
      <c r="AF1063" s="166"/>
      <c r="AG1063" s="166"/>
      <c r="AH1063" s="166"/>
      <c r="AI1063" s="166"/>
    </row>
    <row r="1064" spans="7:35" x14ac:dyDescent="0.25">
      <c r="G1064" s="165"/>
      <c r="H1064" s="166"/>
      <c r="I1064" s="167"/>
      <c r="J1064" s="167"/>
      <c r="K1064" s="166"/>
      <c r="L1064" s="166"/>
      <c r="M1064" s="166"/>
      <c r="N1064" s="166"/>
      <c r="O1064" s="166"/>
      <c r="P1064" s="166"/>
      <c r="Q1064" s="166"/>
      <c r="R1064" s="166"/>
      <c r="S1064" s="166"/>
      <c r="T1064" s="166"/>
      <c r="U1064" s="166"/>
      <c r="V1064" s="166"/>
      <c r="W1064" s="166"/>
      <c r="X1064" s="166"/>
      <c r="Y1064" s="166"/>
      <c r="Z1064" s="166"/>
      <c r="AA1064" s="166"/>
      <c r="AB1064" s="166"/>
      <c r="AC1064" s="166"/>
      <c r="AD1064" s="166"/>
      <c r="AE1064" s="166"/>
      <c r="AF1064" s="166"/>
      <c r="AG1064" s="166"/>
      <c r="AH1064" s="166"/>
      <c r="AI1064" s="166"/>
    </row>
    <row r="1065" spans="7:35" x14ac:dyDescent="0.25">
      <c r="G1065" s="165"/>
      <c r="H1065" s="166"/>
      <c r="I1065" s="167"/>
      <c r="J1065" s="167"/>
      <c r="K1065" s="166"/>
      <c r="L1065" s="166"/>
      <c r="M1065" s="166"/>
      <c r="N1065" s="166"/>
      <c r="O1065" s="166"/>
      <c r="P1065" s="166"/>
      <c r="Q1065" s="166"/>
      <c r="R1065" s="166"/>
      <c r="S1065" s="166"/>
      <c r="T1065" s="166"/>
      <c r="U1065" s="166"/>
      <c r="V1065" s="166"/>
      <c r="W1065" s="166"/>
      <c r="X1065" s="166"/>
      <c r="Y1065" s="166"/>
      <c r="Z1065" s="166"/>
      <c r="AA1065" s="166"/>
      <c r="AB1065" s="166"/>
      <c r="AC1065" s="166"/>
      <c r="AD1065" s="166"/>
      <c r="AE1065" s="166"/>
      <c r="AF1065" s="166"/>
      <c r="AG1065" s="166"/>
      <c r="AH1065" s="166"/>
      <c r="AI1065" s="166"/>
    </row>
    <row r="1066" spans="7:35" x14ac:dyDescent="0.25">
      <c r="G1066" s="165"/>
      <c r="H1066" s="166"/>
      <c r="I1066" s="167"/>
      <c r="J1066" s="167"/>
      <c r="K1066" s="166"/>
      <c r="L1066" s="166"/>
      <c r="M1066" s="166"/>
      <c r="N1066" s="166"/>
      <c r="O1066" s="166"/>
      <c r="P1066" s="166"/>
      <c r="Q1066" s="166"/>
      <c r="R1066" s="166"/>
      <c r="S1066" s="166"/>
      <c r="T1066" s="166"/>
      <c r="U1066" s="166"/>
      <c r="V1066" s="166"/>
      <c r="W1066" s="166"/>
      <c r="X1066" s="166"/>
      <c r="Y1066" s="166"/>
      <c r="Z1066" s="166"/>
      <c r="AA1066" s="166"/>
      <c r="AB1066" s="166"/>
      <c r="AC1066" s="166"/>
      <c r="AD1066" s="166"/>
      <c r="AE1066" s="166"/>
      <c r="AF1066" s="166"/>
      <c r="AG1066" s="166"/>
      <c r="AH1066" s="166"/>
      <c r="AI1066" s="166"/>
    </row>
    <row r="1067" spans="7:35" x14ac:dyDescent="0.25">
      <c r="G1067" s="165"/>
      <c r="H1067" s="166"/>
      <c r="I1067" s="167"/>
      <c r="J1067" s="167"/>
      <c r="K1067" s="166"/>
      <c r="L1067" s="166"/>
      <c r="M1067" s="166"/>
      <c r="N1067" s="166"/>
      <c r="O1067" s="166"/>
      <c r="P1067" s="166"/>
      <c r="Q1067" s="166"/>
      <c r="R1067" s="166"/>
      <c r="S1067" s="166"/>
      <c r="T1067" s="166"/>
      <c r="U1067" s="166"/>
      <c r="V1067" s="166"/>
      <c r="W1067" s="166"/>
      <c r="X1067" s="166"/>
      <c r="Y1067" s="166"/>
      <c r="Z1067" s="166"/>
      <c r="AA1067" s="166"/>
      <c r="AB1067" s="166"/>
      <c r="AC1067" s="166"/>
      <c r="AD1067" s="166"/>
      <c r="AE1067" s="166"/>
      <c r="AF1067" s="166"/>
      <c r="AG1067" s="166"/>
      <c r="AH1067" s="166"/>
      <c r="AI1067" s="166"/>
    </row>
    <row r="1068" spans="7:35" x14ac:dyDescent="0.25">
      <c r="G1068" s="165"/>
      <c r="H1068" s="166"/>
      <c r="I1068" s="167"/>
      <c r="J1068" s="167"/>
      <c r="K1068" s="166"/>
      <c r="L1068" s="166"/>
      <c r="M1068" s="166"/>
      <c r="N1068" s="166"/>
      <c r="O1068" s="166"/>
      <c r="P1068" s="166"/>
      <c r="Q1068" s="166"/>
      <c r="R1068" s="166"/>
      <c r="S1068" s="166"/>
      <c r="T1068" s="166"/>
      <c r="U1068" s="166"/>
      <c r="V1068" s="166"/>
      <c r="W1068" s="166"/>
      <c r="X1068" s="166"/>
      <c r="Y1068" s="166"/>
      <c r="Z1068" s="166"/>
      <c r="AA1068" s="166"/>
      <c r="AB1068" s="166"/>
      <c r="AC1068" s="166"/>
      <c r="AD1068" s="166"/>
      <c r="AE1068" s="166"/>
      <c r="AF1068" s="166"/>
      <c r="AG1068" s="166"/>
      <c r="AH1068" s="166"/>
      <c r="AI1068" s="166"/>
    </row>
    <row r="1069" spans="7:35" x14ac:dyDescent="0.25">
      <c r="G1069" s="165"/>
      <c r="H1069" s="166"/>
      <c r="I1069" s="167"/>
      <c r="J1069" s="167"/>
      <c r="K1069" s="166"/>
      <c r="L1069" s="166"/>
      <c r="M1069" s="166"/>
      <c r="N1069" s="166"/>
      <c r="O1069" s="166"/>
      <c r="P1069" s="166"/>
      <c r="Q1069" s="166"/>
      <c r="R1069" s="166"/>
      <c r="S1069" s="166"/>
      <c r="T1069" s="166"/>
      <c r="U1069" s="166"/>
      <c r="V1069" s="166"/>
      <c r="W1069" s="166"/>
      <c r="X1069" s="166"/>
      <c r="Y1069" s="166"/>
      <c r="Z1069" s="166"/>
      <c r="AA1069" s="166"/>
      <c r="AB1069" s="166"/>
      <c r="AC1069" s="166"/>
      <c r="AD1069" s="166"/>
      <c r="AE1069" s="166"/>
      <c r="AF1069" s="166"/>
      <c r="AG1069" s="166"/>
      <c r="AH1069" s="166"/>
      <c r="AI1069" s="166"/>
    </row>
    <row r="1070" spans="7:35" x14ac:dyDescent="0.25">
      <c r="G1070" s="165"/>
      <c r="H1070" s="166"/>
      <c r="I1070" s="167"/>
      <c r="J1070" s="167"/>
      <c r="K1070" s="166"/>
      <c r="L1070" s="166"/>
      <c r="M1070" s="166"/>
      <c r="N1070" s="166"/>
      <c r="O1070" s="166"/>
      <c r="P1070" s="166"/>
      <c r="Q1070" s="166"/>
      <c r="R1070" s="166"/>
      <c r="S1070" s="166"/>
      <c r="T1070" s="166"/>
      <c r="U1070" s="166"/>
      <c r="V1070" s="166"/>
      <c r="W1070" s="166"/>
      <c r="X1070" s="166"/>
      <c r="Y1070" s="166"/>
      <c r="Z1070" s="166"/>
      <c r="AA1070" s="166"/>
      <c r="AB1070" s="166"/>
      <c r="AC1070" s="166"/>
      <c r="AD1070" s="166"/>
      <c r="AE1070" s="166"/>
      <c r="AF1070" s="166"/>
      <c r="AG1070" s="166"/>
      <c r="AH1070" s="166"/>
      <c r="AI1070" s="166"/>
    </row>
    <row r="1071" spans="7:35" x14ac:dyDescent="0.25">
      <c r="G1071" s="165"/>
      <c r="H1071" s="166"/>
      <c r="I1071" s="167"/>
      <c r="J1071" s="167"/>
      <c r="K1071" s="166"/>
      <c r="L1071" s="166"/>
      <c r="M1071" s="166"/>
      <c r="N1071" s="166"/>
      <c r="O1071" s="166"/>
      <c r="P1071" s="166"/>
      <c r="Q1071" s="166"/>
      <c r="R1071" s="166"/>
      <c r="S1071" s="166"/>
      <c r="T1071" s="166"/>
      <c r="U1071" s="166"/>
      <c r="V1071" s="166"/>
      <c r="W1071" s="166"/>
      <c r="X1071" s="166"/>
      <c r="Y1071" s="166"/>
      <c r="Z1071" s="166"/>
      <c r="AA1071" s="166"/>
      <c r="AB1071" s="166"/>
      <c r="AC1071" s="166"/>
      <c r="AD1071" s="166"/>
      <c r="AE1071" s="166"/>
      <c r="AF1071" s="166"/>
      <c r="AG1071" s="166"/>
      <c r="AH1071" s="166"/>
      <c r="AI1071" s="166"/>
    </row>
    <row r="1072" spans="7:35" x14ac:dyDescent="0.25">
      <c r="G1072" s="165"/>
      <c r="H1072" s="166"/>
      <c r="I1072" s="167"/>
      <c r="J1072" s="167"/>
      <c r="K1072" s="166"/>
      <c r="L1072" s="166"/>
      <c r="M1072" s="166"/>
      <c r="N1072" s="166"/>
      <c r="O1072" s="166"/>
      <c r="P1072" s="166"/>
      <c r="Q1072" s="166"/>
      <c r="R1072" s="166"/>
      <c r="S1072" s="166"/>
      <c r="T1072" s="166"/>
      <c r="U1072" s="166"/>
      <c r="V1072" s="166"/>
      <c r="W1072" s="166"/>
      <c r="X1072" s="166"/>
      <c r="Y1072" s="166"/>
      <c r="Z1072" s="166"/>
      <c r="AA1072" s="166"/>
      <c r="AB1072" s="166"/>
      <c r="AC1072" s="166"/>
      <c r="AD1072" s="166"/>
      <c r="AE1072" s="166"/>
      <c r="AF1072" s="166"/>
      <c r="AG1072" s="166"/>
      <c r="AH1072" s="166"/>
      <c r="AI1072" s="166"/>
    </row>
    <row r="1073" spans="7:35" x14ac:dyDescent="0.25">
      <c r="G1073" s="165"/>
      <c r="H1073" s="166"/>
      <c r="I1073" s="167"/>
      <c r="J1073" s="167"/>
      <c r="K1073" s="166"/>
      <c r="L1073" s="166"/>
      <c r="M1073" s="166"/>
      <c r="N1073" s="166"/>
      <c r="O1073" s="166"/>
      <c r="P1073" s="166"/>
      <c r="Q1073" s="166"/>
      <c r="R1073" s="166"/>
      <c r="S1073" s="166"/>
      <c r="T1073" s="166"/>
      <c r="U1073" s="166"/>
      <c r="V1073" s="166"/>
      <c r="W1073" s="166"/>
      <c r="X1073" s="166"/>
      <c r="Y1073" s="166"/>
      <c r="Z1073" s="166"/>
      <c r="AA1073" s="166"/>
      <c r="AB1073" s="166"/>
      <c r="AC1073" s="166"/>
      <c r="AD1073" s="166"/>
      <c r="AE1073" s="166"/>
      <c r="AF1073" s="166"/>
      <c r="AG1073" s="166"/>
      <c r="AH1073" s="166"/>
      <c r="AI1073" s="166"/>
    </row>
    <row r="1074" spans="7:35" x14ac:dyDescent="0.25">
      <c r="G1074" s="165"/>
      <c r="H1074" s="166"/>
      <c r="I1074" s="167"/>
      <c r="J1074" s="167"/>
      <c r="K1074" s="166"/>
      <c r="L1074" s="166"/>
      <c r="M1074" s="166"/>
      <c r="N1074" s="166"/>
      <c r="O1074" s="166"/>
      <c r="P1074" s="166"/>
      <c r="Q1074" s="166"/>
      <c r="R1074" s="166"/>
      <c r="S1074" s="166"/>
      <c r="T1074" s="166"/>
      <c r="U1074" s="166"/>
      <c r="V1074" s="166"/>
      <c r="W1074" s="166"/>
      <c r="X1074" s="166"/>
      <c r="Y1074" s="166"/>
      <c r="Z1074" s="166"/>
      <c r="AA1074" s="166"/>
      <c r="AB1074" s="166"/>
      <c r="AC1074" s="166"/>
      <c r="AD1074" s="166"/>
      <c r="AE1074" s="166"/>
      <c r="AF1074" s="166"/>
      <c r="AG1074" s="166"/>
      <c r="AH1074" s="166"/>
      <c r="AI1074" s="166"/>
    </row>
    <row r="1075" spans="7:35" x14ac:dyDescent="0.25">
      <c r="G1075" s="165"/>
      <c r="H1075" s="166"/>
      <c r="I1075" s="167"/>
      <c r="J1075" s="167"/>
      <c r="K1075" s="166"/>
      <c r="L1075" s="166"/>
      <c r="M1075" s="166"/>
      <c r="N1075" s="166"/>
      <c r="O1075" s="166"/>
      <c r="P1075" s="166"/>
      <c r="Q1075" s="166"/>
      <c r="R1075" s="166"/>
      <c r="S1075" s="166"/>
      <c r="T1075" s="166"/>
      <c r="U1075" s="166"/>
      <c r="V1075" s="166"/>
      <c r="W1075" s="166"/>
      <c r="X1075" s="166"/>
      <c r="Y1075" s="166"/>
      <c r="Z1075" s="166"/>
      <c r="AA1075" s="166"/>
      <c r="AB1075" s="166"/>
      <c r="AC1075" s="166"/>
      <c r="AD1075" s="166"/>
      <c r="AE1075" s="166"/>
      <c r="AF1075" s="166"/>
      <c r="AG1075" s="166"/>
      <c r="AH1075" s="166"/>
      <c r="AI1075" s="166"/>
    </row>
    <row r="1076" spans="7:35" x14ac:dyDescent="0.25">
      <c r="G1076" s="165"/>
      <c r="H1076" s="166"/>
      <c r="I1076" s="167"/>
      <c r="J1076" s="167"/>
      <c r="K1076" s="166"/>
      <c r="L1076" s="166"/>
      <c r="M1076" s="166"/>
      <c r="N1076" s="166"/>
      <c r="O1076" s="166"/>
      <c r="P1076" s="166"/>
      <c r="Q1076" s="166"/>
      <c r="R1076" s="166"/>
      <c r="S1076" s="166"/>
      <c r="T1076" s="166"/>
      <c r="U1076" s="166"/>
      <c r="V1076" s="166"/>
      <c r="W1076" s="166"/>
      <c r="X1076" s="166"/>
      <c r="Y1076" s="166"/>
      <c r="Z1076" s="166"/>
      <c r="AA1076" s="166"/>
      <c r="AB1076" s="166"/>
      <c r="AC1076" s="166"/>
      <c r="AD1076" s="166"/>
      <c r="AE1076" s="166"/>
      <c r="AF1076" s="166"/>
      <c r="AG1076" s="166"/>
      <c r="AH1076" s="166"/>
      <c r="AI1076" s="166"/>
    </row>
    <row r="1077" spans="7:35" x14ac:dyDescent="0.25">
      <c r="G1077" s="165"/>
      <c r="H1077" s="166"/>
      <c r="I1077" s="167"/>
      <c r="J1077" s="167"/>
      <c r="K1077" s="166"/>
      <c r="L1077" s="166"/>
      <c r="M1077" s="166"/>
      <c r="N1077" s="166"/>
      <c r="O1077" s="166"/>
      <c r="P1077" s="166"/>
      <c r="Q1077" s="166"/>
      <c r="R1077" s="166"/>
      <c r="S1077" s="166"/>
      <c r="T1077" s="166"/>
      <c r="U1077" s="166"/>
      <c r="V1077" s="166"/>
      <c r="W1077" s="166"/>
      <c r="X1077" s="166"/>
      <c r="Y1077" s="166"/>
      <c r="Z1077" s="166"/>
      <c r="AA1077" s="166"/>
      <c r="AB1077" s="166"/>
      <c r="AC1077" s="166"/>
      <c r="AD1077" s="166"/>
      <c r="AE1077" s="166"/>
      <c r="AF1077" s="166"/>
      <c r="AG1077" s="166"/>
      <c r="AH1077" s="166"/>
      <c r="AI1077" s="166"/>
    </row>
    <row r="1078" spans="7:35" x14ac:dyDescent="0.25">
      <c r="G1078" s="165"/>
      <c r="H1078" s="166"/>
      <c r="I1078" s="167"/>
      <c r="J1078" s="167"/>
      <c r="K1078" s="166"/>
      <c r="L1078" s="166"/>
      <c r="M1078" s="166"/>
      <c r="N1078" s="166"/>
      <c r="O1078" s="166"/>
      <c r="P1078" s="166"/>
      <c r="Q1078" s="166"/>
      <c r="R1078" s="166"/>
      <c r="S1078" s="166"/>
      <c r="T1078" s="166"/>
      <c r="U1078" s="166"/>
      <c r="V1078" s="166"/>
      <c r="W1078" s="166"/>
      <c r="X1078" s="166"/>
      <c r="Y1078" s="166"/>
      <c r="Z1078" s="166"/>
      <c r="AA1078" s="166"/>
      <c r="AB1078" s="166"/>
      <c r="AC1078" s="166"/>
      <c r="AD1078" s="166"/>
      <c r="AE1078" s="166"/>
      <c r="AF1078" s="166"/>
      <c r="AG1078" s="166"/>
      <c r="AH1078" s="166"/>
      <c r="AI1078" s="166"/>
    </row>
    <row r="1079" spans="7:35" x14ac:dyDescent="0.25">
      <c r="G1079" s="165"/>
      <c r="H1079" s="166"/>
      <c r="I1079" s="167"/>
      <c r="J1079" s="167"/>
      <c r="K1079" s="166"/>
      <c r="L1079" s="166"/>
      <c r="M1079" s="166"/>
      <c r="N1079" s="166"/>
      <c r="O1079" s="166"/>
      <c r="P1079" s="166"/>
      <c r="Q1079" s="166"/>
      <c r="R1079" s="166"/>
      <c r="S1079" s="166"/>
      <c r="T1079" s="166"/>
      <c r="U1079" s="166"/>
      <c r="V1079" s="166"/>
      <c r="W1079" s="166"/>
      <c r="X1079" s="166"/>
      <c r="Y1079" s="166"/>
      <c r="Z1079" s="166"/>
      <c r="AA1079" s="166"/>
      <c r="AB1079" s="166"/>
      <c r="AC1079" s="166"/>
      <c r="AD1079" s="166"/>
      <c r="AE1079" s="166"/>
      <c r="AF1079" s="166"/>
      <c r="AG1079" s="166"/>
      <c r="AH1079" s="166"/>
      <c r="AI1079" s="166"/>
    </row>
    <row r="1080" spans="7:35" x14ac:dyDescent="0.25">
      <c r="G1080" s="165"/>
      <c r="H1080" s="166"/>
      <c r="I1080" s="167"/>
      <c r="J1080" s="167"/>
      <c r="K1080" s="166"/>
      <c r="L1080" s="166"/>
      <c r="M1080" s="166"/>
      <c r="N1080" s="166"/>
      <c r="O1080" s="166"/>
      <c r="P1080" s="166"/>
      <c r="Q1080" s="166"/>
      <c r="R1080" s="166"/>
      <c r="S1080" s="166"/>
      <c r="T1080" s="166"/>
      <c r="U1080" s="166"/>
      <c r="V1080" s="166"/>
      <c r="W1080" s="166"/>
      <c r="X1080" s="166"/>
      <c r="Y1080" s="166"/>
      <c r="Z1080" s="166"/>
      <c r="AA1080" s="166"/>
      <c r="AB1080" s="166"/>
      <c r="AC1080" s="166"/>
      <c r="AD1080" s="166"/>
      <c r="AE1080" s="166"/>
      <c r="AF1080" s="166"/>
      <c r="AG1080" s="166"/>
      <c r="AH1080" s="166"/>
      <c r="AI1080" s="166"/>
    </row>
    <row r="1081" spans="7:35" x14ac:dyDescent="0.25">
      <c r="G1081" s="165"/>
      <c r="H1081" s="166"/>
      <c r="I1081" s="167"/>
      <c r="J1081" s="167"/>
      <c r="K1081" s="166"/>
      <c r="L1081" s="166"/>
      <c r="M1081" s="166"/>
      <c r="N1081" s="166"/>
      <c r="O1081" s="166"/>
      <c r="P1081" s="166"/>
      <c r="Q1081" s="166"/>
      <c r="R1081" s="166"/>
      <c r="S1081" s="166"/>
      <c r="T1081" s="166"/>
      <c r="U1081" s="166"/>
      <c r="V1081" s="166"/>
      <c r="W1081" s="166"/>
      <c r="X1081" s="166"/>
      <c r="Y1081" s="166"/>
      <c r="Z1081" s="166"/>
      <c r="AA1081" s="166"/>
      <c r="AB1081" s="166"/>
      <c r="AC1081" s="166"/>
      <c r="AD1081" s="166"/>
      <c r="AE1081" s="166"/>
      <c r="AF1081" s="166"/>
      <c r="AG1081" s="166"/>
      <c r="AH1081" s="166"/>
      <c r="AI1081" s="166"/>
    </row>
    <row r="1082" spans="7:35" x14ac:dyDescent="0.25">
      <c r="G1082" s="165"/>
      <c r="H1082" s="166"/>
      <c r="I1082" s="167"/>
      <c r="J1082" s="167"/>
      <c r="K1082" s="166"/>
      <c r="L1082" s="166"/>
      <c r="M1082" s="166"/>
      <c r="N1082" s="166"/>
      <c r="O1082" s="166"/>
      <c r="P1082" s="166"/>
      <c r="Q1082" s="166"/>
      <c r="R1082" s="166"/>
      <c r="S1082" s="166"/>
      <c r="T1082" s="166"/>
      <c r="U1082" s="166"/>
      <c r="V1082" s="166"/>
      <c r="W1082" s="166"/>
      <c r="X1082" s="166"/>
      <c r="Y1082" s="166"/>
      <c r="Z1082" s="166"/>
      <c r="AA1082" s="166"/>
      <c r="AB1082" s="166"/>
      <c r="AC1082" s="166"/>
      <c r="AD1082" s="166"/>
      <c r="AE1082" s="166"/>
      <c r="AF1082" s="166"/>
      <c r="AG1082" s="166"/>
      <c r="AH1082" s="166"/>
      <c r="AI1082" s="166"/>
    </row>
    <row r="1083" spans="7:35" x14ac:dyDescent="0.25">
      <c r="G1083" s="165"/>
      <c r="H1083" s="166"/>
      <c r="I1083" s="167"/>
      <c r="J1083" s="167"/>
      <c r="K1083" s="166"/>
      <c r="L1083" s="166"/>
      <c r="M1083" s="166"/>
      <c r="N1083" s="166"/>
      <c r="O1083" s="166"/>
      <c r="P1083" s="166"/>
      <c r="Q1083" s="166"/>
      <c r="R1083" s="166"/>
      <c r="S1083" s="166"/>
      <c r="T1083" s="166"/>
      <c r="U1083" s="166"/>
      <c r="V1083" s="166"/>
      <c r="W1083" s="166"/>
      <c r="X1083" s="166"/>
      <c r="Y1083" s="166"/>
      <c r="Z1083" s="166"/>
      <c r="AA1083" s="166"/>
      <c r="AB1083" s="166"/>
      <c r="AC1083" s="166"/>
      <c r="AD1083" s="166"/>
      <c r="AE1083" s="166"/>
      <c r="AF1083" s="166"/>
      <c r="AG1083" s="166"/>
      <c r="AH1083" s="166"/>
      <c r="AI1083" s="166"/>
    </row>
    <row r="1084" spans="7:35" x14ac:dyDescent="0.25">
      <c r="G1084" s="165"/>
      <c r="H1084" s="166"/>
      <c r="I1084" s="167"/>
      <c r="J1084" s="167"/>
      <c r="K1084" s="166"/>
      <c r="L1084" s="166"/>
      <c r="M1084" s="166"/>
      <c r="N1084" s="166"/>
      <c r="O1084" s="166"/>
      <c r="P1084" s="166"/>
      <c r="Q1084" s="166"/>
      <c r="R1084" s="166"/>
      <c r="S1084" s="166"/>
      <c r="T1084" s="166"/>
      <c r="U1084" s="166"/>
      <c r="V1084" s="166"/>
      <c r="W1084" s="166"/>
      <c r="X1084" s="166"/>
      <c r="Y1084" s="166"/>
      <c r="Z1084" s="166"/>
      <c r="AA1084" s="166"/>
      <c r="AB1084" s="166"/>
      <c r="AC1084" s="166"/>
      <c r="AD1084" s="166"/>
      <c r="AE1084" s="166"/>
      <c r="AF1084" s="166"/>
      <c r="AG1084" s="166"/>
      <c r="AH1084" s="166"/>
      <c r="AI1084" s="166"/>
    </row>
    <row r="1085" spans="7:35" x14ac:dyDescent="0.25">
      <c r="G1085" s="165"/>
      <c r="H1085" s="166"/>
      <c r="I1085" s="167"/>
      <c r="J1085" s="167"/>
      <c r="K1085" s="166"/>
      <c r="L1085" s="166"/>
      <c r="M1085" s="166"/>
      <c r="N1085" s="166"/>
      <c r="O1085" s="166"/>
      <c r="P1085" s="166"/>
      <c r="Q1085" s="166"/>
      <c r="R1085" s="166"/>
      <c r="S1085" s="166"/>
      <c r="T1085" s="166"/>
      <c r="U1085" s="166"/>
      <c r="V1085" s="166"/>
      <c r="W1085" s="166"/>
      <c r="X1085" s="166"/>
      <c r="Y1085" s="166"/>
      <c r="Z1085" s="166"/>
      <c r="AA1085" s="166"/>
      <c r="AB1085" s="166"/>
      <c r="AC1085" s="166"/>
      <c r="AD1085" s="166"/>
      <c r="AE1085" s="166"/>
      <c r="AF1085" s="166"/>
      <c r="AG1085" s="166"/>
      <c r="AH1085" s="166"/>
      <c r="AI1085" s="166"/>
    </row>
    <row r="1086" spans="7:35" x14ac:dyDescent="0.25">
      <c r="G1086" s="165"/>
      <c r="H1086" s="166"/>
      <c r="I1086" s="167"/>
      <c r="J1086" s="167"/>
      <c r="K1086" s="166"/>
      <c r="L1086" s="166"/>
      <c r="M1086" s="166"/>
      <c r="N1086" s="166"/>
      <c r="O1086" s="166"/>
      <c r="P1086" s="166"/>
      <c r="Q1086" s="166"/>
      <c r="R1086" s="166"/>
      <c r="S1086" s="166"/>
      <c r="T1086" s="166"/>
      <c r="U1086" s="166"/>
      <c r="V1086" s="166"/>
      <c r="W1086" s="166"/>
      <c r="X1086" s="166"/>
      <c r="Y1086" s="166"/>
      <c r="Z1086" s="166"/>
      <c r="AA1086" s="166"/>
      <c r="AB1086" s="166"/>
      <c r="AC1086" s="166"/>
      <c r="AD1086" s="166"/>
      <c r="AE1086" s="166"/>
      <c r="AF1086" s="166"/>
      <c r="AG1086" s="166"/>
      <c r="AH1086" s="166"/>
      <c r="AI1086" s="166"/>
    </row>
    <row r="1087" spans="7:35" x14ac:dyDescent="0.25">
      <c r="G1087" s="165"/>
      <c r="H1087" s="166"/>
      <c r="I1087" s="167"/>
      <c r="J1087" s="167"/>
      <c r="K1087" s="166"/>
      <c r="L1087" s="166"/>
      <c r="M1087" s="166"/>
      <c r="N1087" s="166"/>
      <c r="O1087" s="166"/>
      <c r="P1087" s="166"/>
      <c r="Q1087" s="166"/>
      <c r="R1087" s="166"/>
      <c r="S1087" s="166"/>
      <c r="T1087" s="166"/>
      <c r="U1087" s="166"/>
      <c r="V1087" s="166"/>
      <c r="W1087" s="166"/>
      <c r="X1087" s="166"/>
      <c r="Y1087" s="166"/>
      <c r="Z1087" s="166"/>
      <c r="AA1087" s="166"/>
      <c r="AB1087" s="166"/>
      <c r="AC1087" s="166"/>
      <c r="AD1087" s="166"/>
      <c r="AE1087" s="166"/>
      <c r="AF1087" s="166"/>
      <c r="AG1087" s="166"/>
      <c r="AH1087" s="166"/>
      <c r="AI1087" s="166"/>
    </row>
    <row r="1088" spans="7:35" x14ac:dyDescent="0.25">
      <c r="G1088" s="165"/>
      <c r="H1088" s="166"/>
      <c r="I1088" s="167"/>
      <c r="J1088" s="167"/>
      <c r="K1088" s="166"/>
      <c r="L1088" s="166"/>
      <c r="M1088" s="166"/>
      <c r="N1088" s="166"/>
      <c r="O1088" s="166"/>
      <c r="P1088" s="166"/>
      <c r="Q1088" s="166"/>
      <c r="R1088" s="166"/>
      <c r="S1088" s="166"/>
      <c r="T1088" s="166"/>
      <c r="U1088" s="166"/>
      <c r="V1088" s="166"/>
      <c r="W1088" s="166"/>
      <c r="X1088" s="166"/>
      <c r="Y1088" s="166"/>
      <c r="Z1088" s="166"/>
      <c r="AA1088" s="166"/>
      <c r="AB1088" s="166"/>
      <c r="AC1088" s="166"/>
      <c r="AD1088" s="166"/>
      <c r="AE1088" s="166"/>
      <c r="AF1088" s="166"/>
      <c r="AG1088" s="166"/>
      <c r="AH1088" s="166"/>
      <c r="AI1088" s="166"/>
    </row>
    <row r="1089" spans="7:35" x14ac:dyDescent="0.25">
      <c r="G1089" s="165"/>
      <c r="H1089" s="166"/>
      <c r="I1089" s="167"/>
      <c r="J1089" s="167"/>
      <c r="K1089" s="166"/>
      <c r="L1089" s="166"/>
      <c r="M1089" s="166"/>
      <c r="N1089" s="166"/>
      <c r="O1089" s="166"/>
      <c r="P1089" s="166"/>
      <c r="Q1089" s="166"/>
      <c r="R1089" s="166"/>
      <c r="S1089" s="166"/>
      <c r="T1089" s="166"/>
      <c r="U1089" s="166"/>
      <c r="V1089" s="166"/>
      <c r="W1089" s="166"/>
      <c r="X1089" s="166"/>
      <c r="Y1089" s="166"/>
      <c r="Z1089" s="166"/>
      <c r="AA1089" s="166"/>
      <c r="AB1089" s="166"/>
      <c r="AC1089" s="166"/>
      <c r="AD1089" s="166"/>
      <c r="AE1089" s="166"/>
      <c r="AF1089" s="166"/>
      <c r="AG1089" s="166"/>
      <c r="AH1089" s="166"/>
      <c r="AI1089" s="166"/>
    </row>
    <row r="1090" spans="7:35" x14ac:dyDescent="0.25">
      <c r="G1090" s="165"/>
      <c r="H1090" s="166"/>
      <c r="I1090" s="167"/>
      <c r="J1090" s="167"/>
      <c r="K1090" s="166"/>
      <c r="L1090" s="166"/>
      <c r="M1090" s="166"/>
      <c r="N1090" s="166"/>
      <c r="O1090" s="166"/>
      <c r="P1090" s="166"/>
      <c r="Q1090" s="166"/>
      <c r="R1090" s="166"/>
      <c r="S1090" s="166"/>
      <c r="T1090" s="166"/>
      <c r="U1090" s="166"/>
      <c r="V1090" s="166"/>
      <c r="W1090" s="166"/>
      <c r="X1090" s="166"/>
      <c r="Y1090" s="166"/>
      <c r="Z1090" s="166"/>
      <c r="AA1090" s="166"/>
      <c r="AB1090" s="166"/>
      <c r="AC1090" s="166"/>
      <c r="AD1090" s="166"/>
      <c r="AE1090" s="166"/>
      <c r="AF1090" s="166"/>
      <c r="AG1090" s="166"/>
      <c r="AH1090" s="166"/>
      <c r="AI1090" s="166"/>
    </row>
    <row r="1091" spans="7:35" x14ac:dyDescent="0.25">
      <c r="G1091" s="165"/>
      <c r="H1091" s="166"/>
      <c r="I1091" s="167"/>
      <c r="J1091" s="167"/>
      <c r="K1091" s="166"/>
      <c r="L1091" s="166"/>
      <c r="M1091" s="166"/>
      <c r="N1091" s="166"/>
      <c r="O1091" s="166"/>
      <c r="P1091" s="166"/>
      <c r="Q1091" s="166"/>
      <c r="R1091" s="166"/>
      <c r="S1091" s="166"/>
      <c r="T1091" s="166"/>
      <c r="U1091" s="166"/>
      <c r="V1091" s="166"/>
      <c r="W1091" s="166"/>
      <c r="X1091" s="166"/>
      <c r="Y1091" s="166"/>
      <c r="Z1091" s="166"/>
      <c r="AA1091" s="166"/>
      <c r="AB1091" s="166"/>
      <c r="AC1091" s="166"/>
      <c r="AD1091" s="166"/>
      <c r="AE1091" s="166"/>
      <c r="AF1091" s="166"/>
      <c r="AG1091" s="166"/>
      <c r="AH1091" s="166"/>
      <c r="AI1091" s="166"/>
    </row>
    <row r="1092" spans="7:35" x14ac:dyDescent="0.25">
      <c r="G1092" s="165"/>
      <c r="H1092" s="166"/>
      <c r="I1092" s="167"/>
      <c r="J1092" s="167"/>
      <c r="K1092" s="166"/>
      <c r="L1092" s="166"/>
      <c r="M1092" s="166"/>
      <c r="N1092" s="166"/>
      <c r="O1092" s="166"/>
      <c r="P1092" s="166"/>
      <c r="Q1092" s="166"/>
      <c r="R1092" s="166"/>
      <c r="S1092" s="166"/>
      <c r="T1092" s="166"/>
      <c r="U1092" s="166"/>
      <c r="V1092" s="166"/>
      <c r="W1092" s="166"/>
      <c r="X1092" s="166"/>
      <c r="Y1092" s="166"/>
      <c r="Z1092" s="166"/>
      <c r="AA1092" s="166"/>
      <c r="AB1092" s="166"/>
      <c r="AC1092" s="166"/>
      <c r="AD1092" s="166"/>
      <c r="AE1092" s="166"/>
      <c r="AF1092" s="166"/>
      <c r="AG1092" s="166"/>
      <c r="AH1092" s="166"/>
      <c r="AI1092" s="166"/>
    </row>
    <row r="1093" spans="7:35" x14ac:dyDescent="0.25">
      <c r="G1093" s="165"/>
      <c r="H1093" s="166"/>
      <c r="I1093" s="167"/>
      <c r="J1093" s="167"/>
      <c r="K1093" s="166"/>
      <c r="L1093" s="166"/>
      <c r="M1093" s="166"/>
      <c r="N1093" s="166"/>
      <c r="O1093" s="166"/>
      <c r="P1093" s="166"/>
      <c r="Q1093" s="166"/>
      <c r="R1093" s="166"/>
      <c r="S1093" s="166"/>
      <c r="T1093" s="166"/>
      <c r="U1093" s="166"/>
      <c r="V1093" s="166"/>
      <c r="W1093" s="166"/>
      <c r="X1093" s="166"/>
      <c r="Y1093" s="166"/>
      <c r="Z1093" s="166"/>
      <c r="AA1093" s="166"/>
      <c r="AB1093" s="166"/>
      <c r="AC1093" s="166"/>
      <c r="AD1093" s="166"/>
      <c r="AE1093" s="166"/>
      <c r="AF1093" s="166"/>
      <c r="AG1093" s="166"/>
      <c r="AH1093" s="166"/>
      <c r="AI1093" s="166"/>
    </row>
    <row r="1094" spans="7:35" x14ac:dyDescent="0.25">
      <c r="G1094" s="165"/>
      <c r="H1094" s="166"/>
      <c r="I1094" s="167"/>
      <c r="J1094" s="167"/>
      <c r="K1094" s="166"/>
      <c r="L1094" s="166"/>
      <c r="M1094" s="166"/>
      <c r="N1094" s="166"/>
      <c r="O1094" s="166"/>
      <c r="P1094" s="166"/>
      <c r="Q1094" s="166"/>
      <c r="R1094" s="166"/>
      <c r="S1094" s="166"/>
      <c r="T1094" s="166"/>
      <c r="U1094" s="166"/>
      <c r="V1094" s="166"/>
      <c r="W1094" s="166"/>
      <c r="X1094" s="166"/>
      <c r="Y1094" s="166"/>
      <c r="Z1094" s="166"/>
      <c r="AA1094" s="166"/>
      <c r="AB1094" s="166"/>
      <c r="AC1094" s="166"/>
      <c r="AD1094" s="166"/>
      <c r="AE1094" s="166"/>
      <c r="AF1094" s="166"/>
      <c r="AG1094" s="166"/>
      <c r="AH1094" s="166"/>
      <c r="AI1094" s="166"/>
    </row>
    <row r="1095" spans="7:35" x14ac:dyDescent="0.25">
      <c r="G1095" s="165"/>
      <c r="H1095" s="166"/>
      <c r="I1095" s="167"/>
      <c r="J1095" s="167"/>
      <c r="K1095" s="166"/>
      <c r="L1095" s="166"/>
      <c r="M1095" s="166"/>
      <c r="N1095" s="166"/>
      <c r="O1095" s="166"/>
      <c r="P1095" s="166"/>
      <c r="Q1095" s="166"/>
      <c r="R1095" s="166"/>
      <c r="S1095" s="166"/>
      <c r="T1095" s="166"/>
      <c r="U1095" s="166"/>
      <c r="V1095" s="166"/>
      <c r="W1095" s="166"/>
      <c r="X1095" s="166"/>
      <c r="Y1095" s="166"/>
      <c r="Z1095" s="166"/>
      <c r="AA1095" s="166"/>
      <c r="AB1095" s="166"/>
      <c r="AC1095" s="166"/>
      <c r="AD1095" s="166"/>
      <c r="AE1095" s="166"/>
      <c r="AF1095" s="166"/>
      <c r="AG1095" s="166"/>
      <c r="AH1095" s="166"/>
      <c r="AI1095" s="166"/>
    </row>
    <row r="1096" spans="7:35" x14ac:dyDescent="0.25">
      <c r="G1096" s="165"/>
      <c r="H1096" s="166"/>
      <c r="I1096" s="167"/>
      <c r="J1096" s="167"/>
      <c r="K1096" s="166"/>
      <c r="L1096" s="166"/>
      <c r="M1096" s="166"/>
      <c r="N1096" s="166"/>
      <c r="O1096" s="166"/>
      <c r="P1096" s="166"/>
      <c r="Q1096" s="166"/>
      <c r="R1096" s="166"/>
      <c r="S1096" s="166"/>
      <c r="T1096" s="166"/>
      <c r="U1096" s="166"/>
      <c r="V1096" s="166"/>
      <c r="W1096" s="166"/>
      <c r="X1096" s="166"/>
      <c r="Y1096" s="166"/>
      <c r="Z1096" s="166"/>
      <c r="AA1096" s="166"/>
      <c r="AB1096" s="166"/>
      <c r="AC1096" s="166"/>
      <c r="AD1096" s="166"/>
      <c r="AE1096" s="166"/>
      <c r="AF1096" s="166"/>
      <c r="AG1096" s="166"/>
      <c r="AH1096" s="166"/>
      <c r="AI1096" s="166"/>
    </row>
    <row r="1097" spans="7:35" x14ac:dyDescent="0.25">
      <c r="G1097" s="165"/>
      <c r="H1097" s="166"/>
      <c r="I1097" s="167"/>
      <c r="J1097" s="167"/>
      <c r="K1097" s="166"/>
      <c r="L1097" s="166"/>
      <c r="M1097" s="166"/>
      <c r="N1097" s="166"/>
      <c r="O1097" s="166"/>
      <c r="P1097" s="166"/>
      <c r="Q1097" s="166"/>
      <c r="R1097" s="166"/>
      <c r="S1097" s="166"/>
      <c r="T1097" s="166"/>
      <c r="U1097" s="166"/>
      <c r="V1097" s="166"/>
      <c r="W1097" s="166"/>
      <c r="X1097" s="166"/>
      <c r="Y1097" s="166"/>
      <c r="Z1097" s="166"/>
      <c r="AA1097" s="166"/>
      <c r="AB1097" s="166"/>
      <c r="AC1097" s="166"/>
      <c r="AD1097" s="166"/>
      <c r="AE1097" s="166"/>
      <c r="AF1097" s="166"/>
      <c r="AG1097" s="166"/>
      <c r="AH1097" s="166"/>
      <c r="AI1097" s="166"/>
    </row>
    <row r="1098" spans="7:35" x14ac:dyDescent="0.25">
      <c r="G1098" s="165"/>
      <c r="H1098" s="166"/>
      <c r="I1098" s="167"/>
      <c r="J1098" s="167"/>
      <c r="K1098" s="166"/>
      <c r="L1098" s="166"/>
      <c r="M1098" s="166"/>
      <c r="N1098" s="166"/>
      <c r="O1098" s="166"/>
      <c r="P1098" s="166"/>
      <c r="Q1098" s="166"/>
      <c r="R1098" s="166"/>
      <c r="S1098" s="166"/>
      <c r="T1098" s="166"/>
      <c r="U1098" s="166"/>
      <c r="V1098" s="166"/>
      <c r="W1098" s="166"/>
      <c r="X1098" s="166"/>
      <c r="Y1098" s="166"/>
      <c r="Z1098" s="166"/>
      <c r="AA1098" s="166"/>
      <c r="AB1098" s="166"/>
      <c r="AC1098" s="166"/>
      <c r="AD1098" s="166"/>
      <c r="AE1098" s="166"/>
      <c r="AF1098" s="166"/>
      <c r="AG1098" s="166"/>
      <c r="AH1098" s="166"/>
      <c r="AI1098" s="166"/>
    </row>
    <row r="1099" spans="7:35" x14ac:dyDescent="0.25">
      <c r="G1099" s="165"/>
      <c r="H1099" s="166"/>
      <c r="I1099" s="167"/>
      <c r="J1099" s="167"/>
      <c r="K1099" s="166"/>
      <c r="L1099" s="166"/>
      <c r="M1099" s="166"/>
      <c r="N1099" s="166"/>
      <c r="O1099" s="166"/>
      <c r="P1099" s="166"/>
      <c r="Q1099" s="166"/>
      <c r="R1099" s="166"/>
      <c r="S1099" s="166"/>
      <c r="T1099" s="166"/>
      <c r="U1099" s="166"/>
      <c r="V1099" s="166"/>
      <c r="W1099" s="166"/>
      <c r="X1099" s="166"/>
      <c r="Y1099" s="166"/>
      <c r="Z1099" s="166"/>
      <c r="AA1099" s="166"/>
      <c r="AB1099" s="166"/>
      <c r="AC1099" s="166"/>
      <c r="AD1099" s="166"/>
      <c r="AE1099" s="166"/>
      <c r="AF1099" s="166"/>
      <c r="AG1099" s="166"/>
      <c r="AH1099" s="166"/>
      <c r="AI1099" s="166"/>
    </row>
    <row r="1100" spans="7:35" x14ac:dyDescent="0.25">
      <c r="G1100" s="165"/>
      <c r="H1100" s="166"/>
      <c r="I1100" s="167"/>
      <c r="J1100" s="167"/>
      <c r="K1100" s="166"/>
      <c r="L1100" s="166"/>
      <c r="M1100" s="166"/>
      <c r="N1100" s="166"/>
      <c r="O1100" s="166"/>
      <c r="P1100" s="166"/>
      <c r="Q1100" s="166"/>
      <c r="R1100" s="166"/>
      <c r="S1100" s="166"/>
      <c r="T1100" s="166"/>
      <c r="U1100" s="166"/>
      <c r="V1100" s="166"/>
      <c r="W1100" s="166"/>
      <c r="X1100" s="166"/>
      <c r="Y1100" s="166"/>
      <c r="Z1100" s="166"/>
      <c r="AA1100" s="166"/>
      <c r="AB1100" s="166"/>
      <c r="AC1100" s="166"/>
      <c r="AD1100" s="166"/>
      <c r="AE1100" s="166"/>
      <c r="AF1100" s="166"/>
      <c r="AG1100" s="166"/>
      <c r="AH1100" s="166"/>
      <c r="AI1100" s="166"/>
    </row>
    <row r="1101" spans="7:35" x14ac:dyDescent="0.25">
      <c r="G1101" s="165"/>
      <c r="H1101" s="166"/>
      <c r="I1101" s="167"/>
      <c r="J1101" s="167"/>
      <c r="K1101" s="166"/>
      <c r="L1101" s="166"/>
      <c r="M1101" s="166"/>
      <c r="N1101" s="166"/>
      <c r="O1101" s="166"/>
      <c r="P1101" s="166"/>
      <c r="Q1101" s="166"/>
      <c r="R1101" s="166"/>
      <c r="S1101" s="166"/>
      <c r="T1101" s="166"/>
      <c r="U1101" s="166"/>
      <c r="V1101" s="166"/>
      <c r="W1101" s="166"/>
      <c r="X1101" s="166"/>
      <c r="Y1101" s="166"/>
      <c r="Z1101" s="166"/>
      <c r="AA1101" s="166"/>
      <c r="AB1101" s="166"/>
      <c r="AC1101" s="166"/>
      <c r="AD1101" s="166"/>
      <c r="AE1101" s="166"/>
      <c r="AF1101" s="166"/>
      <c r="AG1101" s="166"/>
      <c r="AH1101" s="166"/>
      <c r="AI1101" s="166"/>
    </row>
    <row r="1102" spans="7:35" x14ac:dyDescent="0.25">
      <c r="G1102" s="165"/>
      <c r="H1102" s="166"/>
      <c r="I1102" s="167"/>
      <c r="J1102" s="167"/>
      <c r="K1102" s="166"/>
      <c r="L1102" s="166"/>
      <c r="M1102" s="166"/>
      <c r="N1102" s="166"/>
      <c r="O1102" s="166"/>
      <c r="P1102" s="166"/>
      <c r="Q1102" s="166"/>
      <c r="R1102" s="166"/>
      <c r="S1102" s="166"/>
      <c r="T1102" s="166"/>
      <c r="U1102" s="166"/>
      <c r="V1102" s="166"/>
      <c r="W1102" s="166"/>
      <c r="X1102" s="166"/>
      <c r="Y1102" s="166"/>
      <c r="Z1102" s="166"/>
      <c r="AA1102" s="166"/>
      <c r="AB1102" s="166"/>
      <c r="AC1102" s="166"/>
      <c r="AD1102" s="166"/>
      <c r="AE1102" s="166"/>
      <c r="AF1102" s="166"/>
      <c r="AG1102" s="166"/>
      <c r="AH1102" s="166"/>
      <c r="AI1102" s="166"/>
    </row>
    <row r="1103" spans="7:35" x14ac:dyDescent="0.25">
      <c r="G1103" s="165"/>
      <c r="H1103" s="166"/>
      <c r="I1103" s="167"/>
      <c r="J1103" s="167"/>
      <c r="K1103" s="166"/>
      <c r="L1103" s="166"/>
      <c r="M1103" s="166"/>
      <c r="N1103" s="166"/>
      <c r="O1103" s="166"/>
      <c r="P1103" s="166"/>
      <c r="Q1103" s="166"/>
      <c r="R1103" s="166"/>
      <c r="S1103" s="166"/>
      <c r="T1103" s="166"/>
      <c r="U1103" s="166"/>
      <c r="V1103" s="166"/>
      <c r="W1103" s="166"/>
      <c r="X1103" s="166"/>
      <c r="Y1103" s="166"/>
      <c r="Z1103" s="166"/>
      <c r="AA1103" s="166"/>
      <c r="AB1103" s="166"/>
      <c r="AC1103" s="166"/>
      <c r="AD1103" s="166"/>
      <c r="AE1103" s="166"/>
      <c r="AF1103" s="166"/>
      <c r="AG1103" s="166"/>
      <c r="AH1103" s="166"/>
      <c r="AI1103" s="166"/>
    </row>
    <row r="1104" spans="7:35" x14ac:dyDescent="0.25">
      <c r="G1104" s="165"/>
      <c r="H1104" s="166"/>
      <c r="I1104" s="167"/>
      <c r="J1104" s="167"/>
      <c r="K1104" s="166"/>
      <c r="L1104" s="166"/>
      <c r="M1104" s="166"/>
      <c r="N1104" s="166"/>
      <c r="O1104" s="166"/>
      <c r="P1104" s="166"/>
      <c r="Q1104" s="166"/>
      <c r="R1104" s="166"/>
      <c r="S1104" s="166"/>
      <c r="T1104" s="166"/>
      <c r="U1104" s="166"/>
      <c r="V1104" s="166"/>
      <c r="W1104" s="166"/>
      <c r="X1104" s="166"/>
      <c r="Y1104" s="166"/>
      <c r="Z1104" s="166"/>
      <c r="AA1104" s="166"/>
      <c r="AB1104" s="166"/>
      <c r="AC1104" s="166"/>
      <c r="AD1104" s="166"/>
      <c r="AE1104" s="166"/>
      <c r="AF1104" s="166"/>
      <c r="AG1104" s="166"/>
      <c r="AH1104" s="166"/>
      <c r="AI1104" s="166"/>
    </row>
    <row r="1105" spans="7:35" x14ac:dyDescent="0.25">
      <c r="G1105" s="165"/>
      <c r="H1105" s="166"/>
      <c r="I1105" s="167"/>
      <c r="J1105" s="167"/>
      <c r="K1105" s="166"/>
      <c r="L1105" s="166"/>
      <c r="M1105" s="166"/>
      <c r="N1105" s="166"/>
      <c r="O1105" s="166"/>
      <c r="P1105" s="166"/>
      <c r="Q1105" s="166"/>
      <c r="R1105" s="166"/>
      <c r="S1105" s="166"/>
      <c r="T1105" s="166"/>
      <c r="U1105" s="166"/>
      <c r="V1105" s="166"/>
      <c r="W1105" s="166"/>
      <c r="X1105" s="166"/>
      <c r="Y1105" s="166"/>
      <c r="Z1105" s="166"/>
      <c r="AA1105" s="166"/>
      <c r="AB1105" s="166"/>
      <c r="AC1105" s="166"/>
      <c r="AD1105" s="166"/>
      <c r="AE1105" s="166"/>
      <c r="AF1105" s="166"/>
      <c r="AG1105" s="166"/>
      <c r="AH1105" s="166"/>
      <c r="AI1105" s="166"/>
    </row>
    <row r="1106" spans="7:35" x14ac:dyDescent="0.25">
      <c r="G1106" s="165"/>
      <c r="H1106" s="166"/>
      <c r="I1106" s="167"/>
      <c r="J1106" s="167"/>
      <c r="K1106" s="166"/>
      <c r="L1106" s="166"/>
      <c r="M1106" s="166"/>
      <c r="N1106" s="166"/>
      <c r="O1106" s="166"/>
      <c r="P1106" s="166"/>
      <c r="Q1106" s="166"/>
      <c r="R1106" s="166"/>
      <c r="S1106" s="166"/>
      <c r="T1106" s="166"/>
      <c r="U1106" s="166"/>
      <c r="V1106" s="166"/>
      <c r="W1106" s="166"/>
      <c r="X1106" s="166"/>
      <c r="Y1106" s="166"/>
      <c r="Z1106" s="166"/>
      <c r="AA1106" s="166"/>
      <c r="AB1106" s="166"/>
      <c r="AC1106" s="166"/>
      <c r="AD1106" s="166"/>
      <c r="AE1106" s="166"/>
      <c r="AF1106" s="166"/>
      <c r="AG1106" s="166"/>
      <c r="AH1106" s="166"/>
      <c r="AI1106" s="166"/>
    </row>
    <row r="1107" spans="7:35" x14ac:dyDescent="0.25">
      <c r="G1107" s="165"/>
      <c r="H1107" s="166"/>
      <c r="I1107" s="167"/>
      <c r="J1107" s="167"/>
      <c r="K1107" s="166"/>
      <c r="L1107" s="166"/>
      <c r="M1107" s="166"/>
      <c r="N1107" s="166"/>
      <c r="O1107" s="166"/>
      <c r="P1107" s="166"/>
      <c r="Q1107" s="166"/>
      <c r="R1107" s="166"/>
      <c r="S1107" s="166"/>
      <c r="T1107" s="166"/>
      <c r="U1107" s="166"/>
      <c r="V1107" s="166"/>
      <c r="W1107" s="166"/>
      <c r="X1107" s="166"/>
      <c r="Y1107" s="166"/>
      <c r="Z1107" s="166"/>
      <c r="AA1107" s="166"/>
      <c r="AB1107" s="166"/>
      <c r="AC1107" s="166"/>
      <c r="AD1107" s="166"/>
      <c r="AE1107" s="166"/>
      <c r="AF1107" s="166"/>
      <c r="AG1107" s="166"/>
      <c r="AH1107" s="166"/>
      <c r="AI1107" s="166"/>
    </row>
    <row r="1108" spans="7:35" x14ac:dyDescent="0.25">
      <c r="G1108" s="165"/>
      <c r="H1108" s="166"/>
      <c r="I1108" s="167"/>
      <c r="J1108" s="167"/>
      <c r="K1108" s="166"/>
      <c r="L1108" s="166"/>
      <c r="M1108" s="166"/>
      <c r="N1108" s="166"/>
      <c r="O1108" s="166"/>
      <c r="P1108" s="166"/>
      <c r="Q1108" s="166"/>
      <c r="R1108" s="166"/>
      <c r="S1108" s="166"/>
      <c r="T1108" s="166"/>
      <c r="U1108" s="166"/>
      <c r="V1108" s="166"/>
      <c r="W1108" s="166"/>
      <c r="X1108" s="166"/>
      <c r="Y1108" s="166"/>
      <c r="Z1108" s="166"/>
      <c r="AA1108" s="166"/>
      <c r="AB1108" s="166"/>
      <c r="AC1108" s="166"/>
      <c r="AD1108" s="166"/>
      <c r="AE1108" s="166"/>
      <c r="AF1108" s="166"/>
      <c r="AG1108" s="166"/>
      <c r="AH1108" s="166"/>
      <c r="AI1108" s="166"/>
    </row>
    <row r="1109" spans="7:35" x14ac:dyDescent="0.25">
      <c r="G1109" s="165"/>
      <c r="H1109" s="166"/>
      <c r="I1109" s="167"/>
      <c r="J1109" s="167"/>
      <c r="K1109" s="166"/>
      <c r="L1109" s="166"/>
      <c r="M1109" s="166"/>
      <c r="N1109" s="166"/>
      <c r="O1109" s="166"/>
      <c r="P1109" s="166"/>
      <c r="Q1109" s="166"/>
      <c r="R1109" s="166"/>
      <c r="S1109" s="166"/>
      <c r="T1109" s="166"/>
      <c r="U1109" s="166"/>
      <c r="V1109" s="166"/>
      <c r="W1109" s="166"/>
      <c r="X1109" s="166"/>
      <c r="Y1109" s="166"/>
      <c r="Z1109" s="166"/>
      <c r="AA1109" s="166"/>
      <c r="AB1109" s="166"/>
      <c r="AC1109" s="166"/>
      <c r="AD1109" s="166"/>
      <c r="AE1109" s="166"/>
      <c r="AF1109" s="166"/>
      <c r="AG1109" s="166"/>
      <c r="AH1109" s="166"/>
      <c r="AI1109" s="166"/>
    </row>
    <row r="1110" spans="7:35" x14ac:dyDescent="0.25">
      <c r="G1110" s="165"/>
      <c r="H1110" s="166"/>
      <c r="I1110" s="167"/>
      <c r="J1110" s="167"/>
      <c r="K1110" s="166"/>
      <c r="L1110" s="166"/>
      <c r="M1110" s="166"/>
      <c r="N1110" s="166"/>
      <c r="O1110" s="166"/>
      <c r="P1110" s="166"/>
      <c r="Q1110" s="166"/>
      <c r="R1110" s="166"/>
      <c r="S1110" s="166"/>
      <c r="T1110" s="166"/>
      <c r="U1110" s="166"/>
      <c r="V1110" s="166"/>
      <c r="W1110" s="166"/>
      <c r="X1110" s="166"/>
      <c r="Y1110" s="166"/>
      <c r="Z1110" s="166"/>
      <c r="AA1110" s="166"/>
      <c r="AB1110" s="166"/>
      <c r="AC1110" s="166"/>
      <c r="AD1110" s="166"/>
      <c r="AE1110" s="166"/>
      <c r="AF1110" s="166"/>
      <c r="AG1110" s="166"/>
      <c r="AH1110" s="166"/>
      <c r="AI1110" s="166"/>
    </row>
    <row r="1111" spans="7:35" x14ac:dyDescent="0.25">
      <c r="G1111" s="165"/>
      <c r="H1111" s="166"/>
      <c r="I1111" s="167"/>
      <c r="J1111" s="167"/>
      <c r="K1111" s="166"/>
      <c r="L1111" s="166"/>
      <c r="M1111" s="166"/>
      <c r="N1111" s="166"/>
      <c r="O1111" s="166"/>
      <c r="P1111" s="166"/>
      <c r="Q1111" s="166"/>
      <c r="R1111" s="166"/>
      <c r="S1111" s="166"/>
      <c r="T1111" s="166"/>
      <c r="U1111" s="166"/>
      <c r="V1111" s="166"/>
      <c r="W1111" s="166"/>
      <c r="X1111" s="166"/>
      <c r="Y1111" s="166"/>
      <c r="Z1111" s="166"/>
      <c r="AA1111" s="166"/>
      <c r="AB1111" s="166"/>
      <c r="AC1111" s="166"/>
      <c r="AD1111" s="166"/>
      <c r="AE1111" s="166"/>
      <c r="AF1111" s="166"/>
      <c r="AG1111" s="166"/>
      <c r="AH1111" s="166"/>
      <c r="AI1111" s="166"/>
    </row>
    <row r="1112" spans="7:35" x14ac:dyDescent="0.25">
      <c r="G1112" s="165"/>
      <c r="H1112" s="166"/>
      <c r="I1112" s="167"/>
      <c r="J1112" s="167"/>
      <c r="K1112" s="166"/>
      <c r="L1112" s="166"/>
      <c r="M1112" s="166"/>
      <c r="N1112" s="166"/>
      <c r="O1112" s="166"/>
      <c r="P1112" s="166"/>
      <c r="Q1112" s="166"/>
      <c r="R1112" s="166"/>
      <c r="S1112" s="166"/>
      <c r="T1112" s="166"/>
      <c r="U1112" s="166"/>
      <c r="V1112" s="166"/>
      <c r="W1112" s="166"/>
      <c r="X1112" s="166"/>
      <c r="Y1112" s="166"/>
      <c r="Z1112" s="166"/>
      <c r="AA1112" s="166"/>
      <c r="AB1112" s="166"/>
      <c r="AC1112" s="166"/>
      <c r="AD1112" s="166"/>
      <c r="AE1112" s="166"/>
      <c r="AF1112" s="166"/>
      <c r="AG1112" s="166"/>
      <c r="AH1112" s="166"/>
      <c r="AI1112" s="166"/>
    </row>
    <row r="1113" spans="7:35" x14ac:dyDescent="0.25">
      <c r="G1113" s="165"/>
      <c r="H1113" s="166"/>
      <c r="I1113" s="167"/>
      <c r="J1113" s="167"/>
      <c r="K1113" s="166"/>
      <c r="L1113" s="166"/>
      <c r="M1113" s="166"/>
      <c r="N1113" s="166"/>
      <c r="O1113" s="166"/>
      <c r="P1113" s="166"/>
      <c r="Q1113" s="166"/>
      <c r="R1113" s="166"/>
      <c r="S1113" s="166"/>
      <c r="T1113" s="166"/>
      <c r="U1113" s="166"/>
      <c r="V1113" s="166"/>
      <c r="W1113" s="166"/>
      <c r="X1113" s="166"/>
      <c r="Y1113" s="166"/>
      <c r="Z1113" s="166"/>
      <c r="AA1113" s="166"/>
      <c r="AB1113" s="166"/>
      <c r="AC1113" s="166"/>
      <c r="AD1113" s="166"/>
      <c r="AE1113" s="166"/>
      <c r="AF1113" s="166"/>
      <c r="AG1113" s="166"/>
      <c r="AH1113" s="166"/>
      <c r="AI1113" s="166"/>
    </row>
    <row r="1114" spans="7:35" x14ac:dyDescent="0.25">
      <c r="G1114" s="165"/>
      <c r="H1114" s="166"/>
      <c r="I1114" s="167"/>
      <c r="J1114" s="167"/>
      <c r="K1114" s="166"/>
      <c r="L1114" s="166"/>
      <c r="M1114" s="166"/>
      <c r="N1114" s="166"/>
      <c r="O1114" s="166"/>
      <c r="P1114" s="166"/>
      <c r="Q1114" s="166"/>
      <c r="R1114" s="166"/>
      <c r="S1114" s="166"/>
      <c r="T1114" s="166"/>
      <c r="U1114" s="166"/>
      <c r="V1114" s="166"/>
      <c r="W1114" s="166"/>
      <c r="X1114" s="166"/>
      <c r="Y1114" s="166"/>
      <c r="Z1114" s="166"/>
      <c r="AA1114" s="166"/>
      <c r="AB1114" s="166"/>
      <c r="AC1114" s="166"/>
      <c r="AD1114" s="166"/>
      <c r="AE1114" s="166"/>
      <c r="AF1114" s="166"/>
      <c r="AG1114" s="166"/>
      <c r="AH1114" s="166"/>
      <c r="AI1114" s="166"/>
    </row>
    <row r="1115" spans="7:35" x14ac:dyDescent="0.25">
      <c r="G1115" s="165"/>
      <c r="H1115" s="166"/>
      <c r="I1115" s="167"/>
      <c r="J1115" s="167"/>
      <c r="K1115" s="166"/>
      <c r="L1115" s="166"/>
      <c r="M1115" s="166"/>
      <c r="N1115" s="166"/>
      <c r="O1115" s="166"/>
      <c r="P1115" s="166"/>
      <c r="Q1115" s="166"/>
      <c r="R1115" s="166"/>
      <c r="S1115" s="166"/>
      <c r="T1115" s="166"/>
      <c r="U1115" s="166"/>
      <c r="V1115" s="166"/>
      <c r="W1115" s="166"/>
      <c r="X1115" s="166"/>
      <c r="Y1115" s="166"/>
      <c r="Z1115" s="166"/>
      <c r="AA1115" s="166"/>
      <c r="AB1115" s="166"/>
      <c r="AC1115" s="166"/>
      <c r="AD1115" s="166"/>
      <c r="AE1115" s="166"/>
      <c r="AF1115" s="166"/>
      <c r="AG1115" s="166"/>
      <c r="AH1115" s="166"/>
      <c r="AI1115" s="166"/>
    </row>
    <row r="1116" spans="7:35" x14ac:dyDescent="0.25">
      <c r="G1116" s="165"/>
      <c r="H1116" s="166"/>
      <c r="I1116" s="167"/>
      <c r="J1116" s="167"/>
      <c r="K1116" s="166"/>
      <c r="L1116" s="166"/>
      <c r="M1116" s="166"/>
      <c r="N1116" s="166"/>
      <c r="O1116" s="166"/>
      <c r="P1116" s="166"/>
      <c r="Q1116" s="166"/>
      <c r="R1116" s="166"/>
      <c r="S1116" s="166"/>
      <c r="T1116" s="166"/>
      <c r="U1116" s="166"/>
      <c r="V1116" s="166"/>
      <c r="W1116" s="166"/>
      <c r="X1116" s="166"/>
      <c r="Y1116" s="166"/>
      <c r="Z1116" s="166"/>
      <c r="AA1116" s="166"/>
      <c r="AB1116" s="166"/>
      <c r="AC1116" s="166"/>
      <c r="AD1116" s="166"/>
      <c r="AE1116" s="166"/>
      <c r="AF1116" s="166"/>
      <c r="AG1116" s="166"/>
      <c r="AH1116" s="166"/>
      <c r="AI1116" s="166"/>
    </row>
    <row r="1117" spans="7:35" x14ac:dyDescent="0.25">
      <c r="G1117" s="165"/>
      <c r="H1117" s="166"/>
      <c r="I1117" s="167"/>
      <c r="J1117" s="167"/>
      <c r="K1117" s="166"/>
      <c r="L1117" s="166"/>
      <c r="M1117" s="166"/>
      <c r="N1117" s="166"/>
      <c r="O1117" s="166"/>
      <c r="P1117" s="166"/>
      <c r="Q1117" s="166"/>
      <c r="R1117" s="166"/>
      <c r="S1117" s="166"/>
      <c r="T1117" s="166"/>
      <c r="U1117" s="166"/>
      <c r="V1117" s="166"/>
      <c r="W1117" s="166"/>
      <c r="X1117" s="166"/>
      <c r="Y1117" s="166"/>
      <c r="Z1117" s="166"/>
      <c r="AA1117" s="166"/>
      <c r="AB1117" s="166"/>
      <c r="AC1117" s="166"/>
      <c r="AD1117" s="166"/>
      <c r="AE1117" s="166"/>
      <c r="AF1117" s="166"/>
      <c r="AG1117" s="166"/>
      <c r="AH1117" s="166"/>
      <c r="AI1117" s="166"/>
    </row>
    <row r="1118" spans="7:35" x14ac:dyDescent="0.25">
      <c r="G1118" s="165"/>
      <c r="H1118" s="166"/>
      <c r="I1118" s="167"/>
      <c r="J1118" s="167"/>
      <c r="K1118" s="166"/>
      <c r="L1118" s="166"/>
      <c r="M1118" s="166"/>
      <c r="N1118" s="166"/>
      <c r="O1118" s="166"/>
      <c r="P1118" s="166"/>
      <c r="Q1118" s="166"/>
      <c r="R1118" s="166"/>
      <c r="S1118" s="166"/>
      <c r="T1118" s="166"/>
      <c r="U1118" s="166"/>
      <c r="V1118" s="166"/>
      <c r="W1118" s="166"/>
      <c r="X1118" s="166"/>
      <c r="Y1118" s="166"/>
      <c r="Z1118" s="166"/>
      <c r="AA1118" s="166"/>
      <c r="AB1118" s="166"/>
      <c r="AC1118" s="166"/>
      <c r="AD1118" s="166"/>
      <c r="AE1118" s="166"/>
      <c r="AF1118" s="166"/>
      <c r="AG1118" s="166"/>
      <c r="AH1118" s="166"/>
      <c r="AI1118" s="166"/>
    </row>
    <row r="1119" spans="7:35" x14ac:dyDescent="0.25">
      <c r="G1119" s="165"/>
      <c r="H1119" s="166"/>
      <c r="I1119" s="167"/>
      <c r="J1119" s="167"/>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row>
    <row r="1120" spans="7:35" x14ac:dyDescent="0.25">
      <c r="G1120" s="165"/>
      <c r="H1120" s="166"/>
      <c r="I1120" s="167"/>
      <c r="J1120" s="167"/>
      <c r="K1120" s="166"/>
      <c r="L1120" s="166"/>
      <c r="M1120" s="166"/>
      <c r="N1120" s="166"/>
      <c r="O1120" s="166"/>
      <c r="P1120" s="166"/>
      <c r="Q1120" s="166"/>
      <c r="R1120" s="166"/>
      <c r="S1120" s="166"/>
      <c r="T1120" s="166"/>
      <c r="U1120" s="166"/>
      <c r="V1120" s="166"/>
      <c r="W1120" s="166"/>
      <c r="X1120" s="166"/>
      <c r="Y1120" s="166"/>
      <c r="Z1120" s="166"/>
      <c r="AA1120" s="166"/>
      <c r="AB1120" s="166"/>
      <c r="AC1120" s="166"/>
      <c r="AD1120" s="166"/>
      <c r="AE1120" s="166"/>
      <c r="AF1120" s="166"/>
      <c r="AG1120" s="166"/>
      <c r="AH1120" s="166"/>
      <c r="AI1120" s="166"/>
    </row>
    <row r="1121" spans="7:35" x14ac:dyDescent="0.25">
      <c r="G1121" s="165"/>
      <c r="H1121" s="166"/>
      <c r="I1121" s="167"/>
      <c r="J1121" s="167"/>
      <c r="K1121" s="166"/>
      <c r="L1121" s="166"/>
      <c r="M1121" s="166"/>
      <c r="N1121" s="166"/>
      <c r="O1121" s="166"/>
      <c r="P1121" s="166"/>
      <c r="Q1121" s="166"/>
      <c r="R1121" s="166"/>
      <c r="S1121" s="166"/>
      <c r="T1121" s="166"/>
      <c r="U1121" s="166"/>
      <c r="V1121" s="166"/>
      <c r="W1121" s="166"/>
      <c r="X1121" s="166"/>
      <c r="Y1121" s="166"/>
      <c r="Z1121" s="166"/>
      <c r="AA1121" s="166"/>
      <c r="AB1121" s="166"/>
      <c r="AC1121" s="166"/>
      <c r="AD1121" s="166"/>
      <c r="AE1121" s="166"/>
      <c r="AF1121" s="166"/>
      <c r="AG1121" s="166"/>
      <c r="AH1121" s="166"/>
      <c r="AI1121" s="166"/>
    </row>
    <row r="1122" spans="7:35" x14ac:dyDescent="0.25">
      <c r="G1122" s="165"/>
      <c r="H1122" s="166"/>
      <c r="I1122" s="167"/>
      <c r="J1122" s="167"/>
      <c r="K1122" s="166"/>
      <c r="L1122" s="166"/>
      <c r="M1122" s="166"/>
      <c r="N1122" s="166"/>
      <c r="O1122" s="166"/>
      <c r="P1122" s="166"/>
      <c r="Q1122" s="166"/>
      <c r="R1122" s="166"/>
      <c r="S1122" s="166"/>
      <c r="T1122" s="166"/>
      <c r="U1122" s="166"/>
      <c r="V1122" s="166"/>
      <c r="W1122" s="166"/>
      <c r="X1122" s="166"/>
      <c r="Y1122" s="166"/>
      <c r="Z1122" s="166"/>
      <c r="AA1122" s="166"/>
      <c r="AB1122" s="166"/>
      <c r="AC1122" s="166"/>
      <c r="AD1122" s="166"/>
      <c r="AE1122" s="166"/>
      <c r="AF1122" s="166"/>
      <c r="AG1122" s="166"/>
      <c r="AH1122" s="166"/>
      <c r="AI1122" s="166"/>
    </row>
    <row r="1123" spans="7:35" x14ac:dyDescent="0.25">
      <c r="G1123" s="165"/>
      <c r="H1123" s="166"/>
      <c r="I1123" s="167"/>
      <c r="J1123" s="167"/>
      <c r="K1123" s="166"/>
      <c r="L1123" s="166"/>
      <c r="M1123" s="166"/>
      <c r="N1123" s="166"/>
      <c r="O1123" s="166"/>
      <c r="P1123" s="166"/>
      <c r="Q1123" s="166"/>
      <c r="R1123" s="166"/>
      <c r="S1123" s="166"/>
      <c r="T1123" s="166"/>
      <c r="U1123" s="166"/>
      <c r="V1123" s="166"/>
      <c r="W1123" s="166"/>
      <c r="X1123" s="166"/>
      <c r="Y1123" s="166"/>
      <c r="Z1123" s="166"/>
      <c r="AA1123" s="166"/>
      <c r="AB1123" s="166"/>
      <c r="AC1123" s="166"/>
      <c r="AD1123" s="166"/>
      <c r="AE1123" s="166"/>
      <c r="AF1123" s="166"/>
      <c r="AG1123" s="166"/>
      <c r="AH1123" s="166"/>
      <c r="AI1123" s="166"/>
    </row>
    <row r="1124" spans="7:35" x14ac:dyDescent="0.25">
      <c r="G1124" s="165"/>
      <c r="H1124" s="166"/>
      <c r="I1124" s="167"/>
      <c r="J1124" s="167"/>
      <c r="K1124" s="166"/>
      <c r="L1124" s="166"/>
      <c r="M1124" s="166"/>
      <c r="N1124" s="166"/>
      <c r="O1124" s="166"/>
      <c r="P1124" s="166"/>
      <c r="Q1124" s="166"/>
      <c r="R1124" s="166"/>
      <c r="S1124" s="166"/>
      <c r="T1124" s="166"/>
      <c r="U1124" s="166"/>
      <c r="V1124" s="166"/>
      <c r="W1124" s="166"/>
      <c r="X1124" s="166"/>
      <c r="Y1124" s="166"/>
      <c r="Z1124" s="166"/>
      <c r="AA1124" s="166"/>
      <c r="AB1124" s="166"/>
      <c r="AC1124" s="166"/>
      <c r="AD1124" s="166"/>
      <c r="AE1124" s="166"/>
      <c r="AF1124" s="166"/>
      <c r="AG1124" s="166"/>
      <c r="AH1124" s="166"/>
      <c r="AI1124" s="166"/>
    </row>
    <row r="1125" spans="7:35" x14ac:dyDescent="0.25">
      <c r="G1125" s="165"/>
      <c r="H1125" s="166"/>
      <c r="I1125" s="167"/>
      <c r="J1125" s="167"/>
      <c r="K1125" s="166"/>
      <c r="L1125" s="166"/>
      <c r="M1125" s="166"/>
      <c r="N1125" s="166"/>
      <c r="O1125" s="166"/>
      <c r="P1125" s="166"/>
      <c r="Q1125" s="166"/>
      <c r="R1125" s="166"/>
      <c r="S1125" s="166"/>
      <c r="T1125" s="166"/>
      <c r="U1125" s="166"/>
      <c r="V1125" s="166"/>
      <c r="W1125" s="166"/>
      <c r="X1125" s="166"/>
      <c r="Y1125" s="166"/>
      <c r="Z1125" s="166"/>
      <c r="AA1125" s="166"/>
      <c r="AB1125" s="166"/>
      <c r="AC1125" s="166"/>
      <c r="AD1125" s="166"/>
      <c r="AE1125" s="166"/>
      <c r="AF1125" s="166"/>
      <c r="AG1125" s="166"/>
      <c r="AH1125" s="166"/>
      <c r="AI1125" s="166"/>
    </row>
    <row r="1126" spans="7:35" x14ac:dyDescent="0.25">
      <c r="G1126" s="165"/>
      <c r="H1126" s="166"/>
      <c r="I1126" s="167"/>
      <c r="J1126" s="167"/>
      <c r="K1126" s="166"/>
      <c r="L1126" s="166"/>
      <c r="M1126" s="166"/>
      <c r="N1126" s="166"/>
      <c r="O1126" s="166"/>
      <c r="P1126" s="166"/>
      <c r="Q1126" s="166"/>
      <c r="R1126" s="166"/>
      <c r="S1126" s="166"/>
      <c r="T1126" s="166"/>
      <c r="U1126" s="166"/>
      <c r="V1126" s="166"/>
      <c r="W1126" s="166"/>
      <c r="X1126" s="166"/>
      <c r="Y1126" s="166"/>
      <c r="Z1126" s="166"/>
      <c r="AA1126" s="166"/>
      <c r="AB1126" s="166"/>
      <c r="AC1126" s="166"/>
      <c r="AD1126" s="166"/>
      <c r="AE1126" s="166"/>
      <c r="AF1126" s="166"/>
      <c r="AG1126" s="166"/>
      <c r="AH1126" s="166"/>
      <c r="AI1126" s="166"/>
    </row>
    <row r="1127" spans="7:35" x14ac:dyDescent="0.25">
      <c r="G1127" s="165"/>
      <c r="H1127" s="166"/>
      <c r="I1127" s="167"/>
      <c r="J1127" s="167"/>
      <c r="K1127" s="166"/>
      <c r="L1127" s="166"/>
      <c r="M1127" s="166"/>
      <c r="N1127" s="166"/>
      <c r="O1127" s="166"/>
      <c r="P1127" s="166"/>
      <c r="Q1127" s="166"/>
      <c r="R1127" s="166"/>
      <c r="S1127" s="166"/>
      <c r="T1127" s="166"/>
      <c r="U1127" s="166"/>
      <c r="V1127" s="166"/>
      <c r="W1127" s="166"/>
      <c r="X1127" s="166"/>
      <c r="Y1127" s="166"/>
      <c r="Z1127" s="166"/>
      <c r="AA1127" s="166"/>
      <c r="AB1127" s="166"/>
      <c r="AC1127" s="166"/>
      <c r="AD1127" s="166"/>
      <c r="AE1127" s="166"/>
      <c r="AF1127" s="166"/>
      <c r="AG1127" s="166"/>
      <c r="AH1127" s="166"/>
      <c r="AI1127" s="166"/>
    </row>
    <row r="1128" spans="7:35" x14ac:dyDescent="0.25">
      <c r="G1128" s="165"/>
      <c r="H1128" s="166"/>
      <c r="I1128" s="167"/>
      <c r="J1128" s="167"/>
      <c r="K1128" s="166"/>
      <c r="L1128" s="166"/>
      <c r="M1128" s="166"/>
      <c r="N1128" s="166"/>
      <c r="O1128" s="166"/>
      <c r="P1128" s="166"/>
      <c r="Q1128" s="166"/>
      <c r="R1128" s="166"/>
      <c r="S1128" s="166"/>
      <c r="T1128" s="166"/>
      <c r="U1128" s="166"/>
      <c r="V1128" s="166"/>
      <c r="W1128" s="166"/>
      <c r="X1128" s="166"/>
      <c r="Y1128" s="166"/>
      <c r="Z1128" s="166"/>
      <c r="AA1128" s="166"/>
      <c r="AB1128" s="166"/>
      <c r="AC1128" s="166"/>
      <c r="AD1128" s="166"/>
      <c r="AE1128" s="166"/>
      <c r="AF1128" s="166"/>
      <c r="AG1128" s="166"/>
      <c r="AH1128" s="166"/>
      <c r="AI1128" s="166"/>
    </row>
    <row r="1129" spans="7:35" x14ac:dyDescent="0.25">
      <c r="G1129" s="165"/>
      <c r="H1129" s="166"/>
      <c r="I1129" s="167"/>
      <c r="J1129" s="167"/>
      <c r="K1129" s="166"/>
      <c r="L1129" s="166"/>
      <c r="M1129" s="166"/>
      <c r="N1129" s="166"/>
      <c r="O1129" s="166"/>
      <c r="P1129" s="166"/>
      <c r="Q1129" s="166"/>
      <c r="R1129" s="166"/>
      <c r="S1129" s="166"/>
      <c r="T1129" s="166"/>
      <c r="U1129" s="166"/>
      <c r="V1129" s="166"/>
      <c r="W1129" s="166"/>
      <c r="X1129" s="166"/>
      <c r="Y1129" s="166"/>
      <c r="Z1129" s="166"/>
      <c r="AA1129" s="166"/>
      <c r="AB1129" s="166"/>
      <c r="AC1129" s="166"/>
      <c r="AD1129" s="166"/>
      <c r="AE1129" s="166"/>
      <c r="AF1129" s="166"/>
      <c r="AG1129" s="166"/>
      <c r="AH1129" s="166"/>
      <c r="AI1129" s="166"/>
    </row>
    <row r="1130" spans="7:35" x14ac:dyDescent="0.25">
      <c r="G1130" s="165"/>
      <c r="H1130" s="166"/>
      <c r="I1130" s="167"/>
      <c r="J1130" s="167"/>
      <c r="K1130" s="166"/>
      <c r="L1130" s="166"/>
      <c r="M1130" s="166"/>
      <c r="N1130" s="166"/>
      <c r="O1130" s="166"/>
      <c r="P1130" s="166"/>
      <c r="Q1130" s="166"/>
      <c r="R1130" s="166"/>
      <c r="S1130" s="166"/>
      <c r="T1130" s="166"/>
      <c r="U1130" s="166"/>
      <c r="V1130" s="166"/>
      <c r="W1130" s="166"/>
      <c r="X1130" s="166"/>
      <c r="Y1130" s="166"/>
      <c r="Z1130" s="166"/>
      <c r="AA1130" s="166"/>
      <c r="AB1130" s="166"/>
      <c r="AC1130" s="166"/>
      <c r="AD1130" s="166"/>
      <c r="AE1130" s="166"/>
      <c r="AF1130" s="166"/>
      <c r="AG1130" s="166"/>
      <c r="AH1130" s="166"/>
      <c r="AI1130" s="166"/>
    </row>
    <row r="1131" spans="7:35" x14ac:dyDescent="0.25">
      <c r="G1131" s="165"/>
      <c r="H1131" s="166"/>
      <c r="I1131" s="167"/>
      <c r="J1131" s="167"/>
      <c r="K1131" s="166"/>
      <c r="L1131" s="166"/>
      <c r="M1131" s="166"/>
      <c r="N1131" s="166"/>
      <c r="O1131" s="166"/>
      <c r="P1131" s="166"/>
      <c r="Q1131" s="166"/>
      <c r="R1131" s="166"/>
      <c r="S1131" s="166"/>
      <c r="T1131" s="166"/>
      <c r="U1131" s="166"/>
      <c r="V1131" s="166"/>
      <c r="W1131" s="166"/>
      <c r="X1131" s="166"/>
      <c r="Y1131" s="166"/>
      <c r="Z1131" s="166"/>
      <c r="AA1131" s="166"/>
      <c r="AB1131" s="166"/>
      <c r="AC1131" s="166"/>
      <c r="AD1131" s="166"/>
      <c r="AE1131" s="166"/>
      <c r="AF1131" s="166"/>
      <c r="AG1131" s="166"/>
      <c r="AH1131" s="166"/>
      <c r="AI1131" s="166"/>
    </row>
    <row r="1132" spans="7:35" x14ac:dyDescent="0.25">
      <c r="G1132" s="165"/>
      <c r="H1132" s="166"/>
      <c r="I1132" s="167"/>
      <c r="J1132" s="167"/>
      <c r="K1132" s="166"/>
      <c r="L1132" s="166"/>
      <c r="M1132" s="166"/>
      <c r="N1132" s="166"/>
      <c r="O1132" s="166"/>
      <c r="P1132" s="166"/>
      <c r="Q1132" s="166"/>
      <c r="R1132" s="166"/>
      <c r="S1132" s="166"/>
      <c r="T1132" s="166"/>
      <c r="U1132" s="166"/>
      <c r="V1132" s="166"/>
      <c r="W1132" s="166"/>
      <c r="X1132" s="166"/>
      <c r="Y1132" s="166"/>
      <c r="Z1132" s="166"/>
      <c r="AA1132" s="166"/>
      <c r="AB1132" s="166"/>
      <c r="AC1132" s="166"/>
      <c r="AD1132" s="166"/>
      <c r="AE1132" s="166"/>
      <c r="AF1132" s="166"/>
      <c r="AG1132" s="166"/>
      <c r="AH1132" s="166"/>
      <c r="AI1132" s="166"/>
    </row>
    <row r="1133" spans="7:35" x14ac:dyDescent="0.25">
      <c r="G1133" s="165"/>
      <c r="H1133" s="166"/>
      <c r="I1133" s="167"/>
      <c r="J1133" s="167"/>
      <c r="K1133" s="166"/>
      <c r="L1133" s="166"/>
      <c r="M1133" s="166"/>
      <c r="N1133" s="166"/>
      <c r="O1133" s="166"/>
      <c r="P1133" s="166"/>
      <c r="Q1133" s="166"/>
      <c r="R1133" s="166"/>
      <c r="S1133" s="166"/>
      <c r="T1133" s="166"/>
      <c r="U1133" s="166"/>
      <c r="V1133" s="166"/>
      <c r="W1133" s="166"/>
      <c r="X1133" s="166"/>
      <c r="Y1133" s="166"/>
      <c r="Z1133" s="166"/>
      <c r="AA1133" s="166"/>
      <c r="AB1133" s="166"/>
      <c r="AC1133" s="166"/>
      <c r="AD1133" s="166"/>
      <c r="AE1133" s="166"/>
      <c r="AF1133" s="166"/>
      <c r="AG1133" s="166"/>
      <c r="AH1133" s="166"/>
      <c r="AI1133" s="166"/>
    </row>
    <row r="1134" spans="7:35" x14ac:dyDescent="0.25">
      <c r="G1134" s="165"/>
      <c r="H1134" s="166"/>
      <c r="I1134" s="167"/>
      <c r="J1134" s="167"/>
      <c r="K1134" s="166"/>
      <c r="L1134" s="166"/>
      <c r="M1134" s="166"/>
      <c r="N1134" s="166"/>
      <c r="O1134" s="166"/>
      <c r="P1134" s="166"/>
      <c r="Q1134" s="166"/>
      <c r="R1134" s="166"/>
      <c r="S1134" s="166"/>
      <c r="T1134" s="166"/>
      <c r="U1134" s="166"/>
      <c r="V1134" s="166"/>
      <c r="W1134" s="166"/>
      <c r="X1134" s="166"/>
      <c r="Y1134" s="166"/>
      <c r="Z1134" s="166"/>
      <c r="AA1134" s="166"/>
      <c r="AB1134" s="166"/>
      <c r="AC1134" s="166"/>
      <c r="AD1134" s="166"/>
      <c r="AE1134" s="166"/>
      <c r="AF1134" s="166"/>
      <c r="AG1134" s="166"/>
      <c r="AH1134" s="166"/>
      <c r="AI1134" s="166"/>
    </row>
    <row r="1135" spans="7:35" x14ac:dyDescent="0.25">
      <c r="G1135" s="165"/>
      <c r="H1135" s="166"/>
      <c r="I1135" s="167"/>
      <c r="J1135" s="167"/>
      <c r="K1135" s="166"/>
      <c r="L1135" s="166"/>
      <c r="M1135" s="166"/>
      <c r="N1135" s="166"/>
      <c r="O1135" s="166"/>
      <c r="P1135" s="166"/>
      <c r="Q1135" s="166"/>
      <c r="R1135" s="166"/>
      <c r="S1135" s="166"/>
      <c r="T1135" s="166"/>
      <c r="U1135" s="166"/>
      <c r="V1135" s="166"/>
      <c r="W1135" s="166"/>
      <c r="X1135" s="166"/>
      <c r="Y1135" s="166"/>
      <c r="Z1135" s="166"/>
      <c r="AA1135" s="166"/>
      <c r="AB1135" s="166"/>
      <c r="AC1135" s="166"/>
      <c r="AD1135" s="166"/>
      <c r="AE1135" s="166"/>
      <c r="AF1135" s="166"/>
      <c r="AG1135" s="166"/>
      <c r="AH1135" s="166"/>
      <c r="AI1135" s="166"/>
    </row>
    <row r="1136" spans="7:35" x14ac:dyDescent="0.25">
      <c r="G1136" s="165"/>
      <c r="H1136" s="166"/>
      <c r="I1136" s="167"/>
      <c r="J1136" s="167"/>
      <c r="K1136" s="166"/>
      <c r="L1136" s="166"/>
      <c r="M1136" s="166"/>
      <c r="N1136" s="166"/>
      <c r="O1136" s="166"/>
      <c r="P1136" s="166"/>
      <c r="Q1136" s="166"/>
      <c r="R1136" s="166"/>
      <c r="S1136" s="166"/>
      <c r="T1136" s="166"/>
      <c r="U1136" s="166"/>
      <c r="V1136" s="166"/>
      <c r="W1136" s="166"/>
      <c r="X1136" s="166"/>
      <c r="Y1136" s="166"/>
      <c r="Z1136" s="166"/>
      <c r="AA1136" s="166"/>
      <c r="AB1136" s="166"/>
      <c r="AC1136" s="166"/>
      <c r="AD1136" s="166"/>
      <c r="AE1136" s="166"/>
      <c r="AF1136" s="166"/>
      <c r="AG1136" s="166"/>
      <c r="AH1136" s="166"/>
      <c r="AI1136" s="166"/>
    </row>
    <row r="1137" spans="7:35" x14ac:dyDescent="0.25">
      <c r="G1137" s="165"/>
      <c r="H1137" s="166"/>
      <c r="I1137" s="167"/>
      <c r="J1137" s="167"/>
      <c r="K1137" s="166"/>
      <c r="L1137" s="166"/>
      <c r="M1137" s="166"/>
      <c r="N1137" s="166"/>
      <c r="O1137" s="166"/>
      <c r="P1137" s="166"/>
      <c r="Q1137" s="166"/>
      <c r="R1137" s="166"/>
      <c r="S1137" s="166"/>
      <c r="T1137" s="166"/>
      <c r="U1137" s="166"/>
      <c r="V1137" s="166"/>
      <c r="W1137" s="166"/>
      <c r="X1137" s="166"/>
      <c r="Y1137" s="166"/>
      <c r="Z1137" s="166"/>
      <c r="AA1137" s="166"/>
      <c r="AB1137" s="166"/>
      <c r="AC1137" s="166"/>
      <c r="AD1137" s="166"/>
      <c r="AE1137" s="166"/>
      <c r="AF1137" s="166"/>
      <c r="AG1137" s="166"/>
      <c r="AH1137" s="166"/>
      <c r="AI1137" s="166"/>
    </row>
    <row r="1138" spans="7:35" x14ac:dyDescent="0.25">
      <c r="G1138" s="165"/>
      <c r="H1138" s="166"/>
      <c r="I1138" s="167"/>
      <c r="J1138" s="167"/>
      <c r="K1138" s="166"/>
      <c r="L1138" s="166"/>
      <c r="M1138" s="166"/>
      <c r="N1138" s="166"/>
      <c r="O1138" s="166"/>
      <c r="P1138" s="166"/>
      <c r="Q1138" s="166"/>
      <c r="R1138" s="166"/>
      <c r="S1138" s="166"/>
      <c r="T1138" s="166"/>
      <c r="U1138" s="166"/>
      <c r="V1138" s="166"/>
      <c r="W1138" s="166"/>
      <c r="X1138" s="166"/>
      <c r="Y1138" s="166"/>
      <c r="Z1138" s="166"/>
      <c r="AA1138" s="166"/>
      <c r="AB1138" s="166"/>
      <c r="AC1138" s="166"/>
      <c r="AD1138" s="166"/>
      <c r="AE1138" s="166"/>
      <c r="AF1138" s="166"/>
      <c r="AG1138" s="166"/>
      <c r="AH1138" s="166"/>
      <c r="AI1138" s="166"/>
    </row>
    <row r="1139" spans="7:35" x14ac:dyDescent="0.25">
      <c r="G1139" s="165"/>
      <c r="H1139" s="166"/>
      <c r="I1139" s="167"/>
      <c r="J1139" s="167"/>
      <c r="K1139" s="166"/>
      <c r="L1139" s="166"/>
      <c r="M1139" s="166"/>
      <c r="N1139" s="166"/>
      <c r="O1139" s="166"/>
      <c r="P1139" s="166"/>
      <c r="Q1139" s="166"/>
      <c r="R1139" s="166"/>
      <c r="S1139" s="166"/>
      <c r="T1139" s="166"/>
      <c r="U1139" s="166"/>
      <c r="V1139" s="166"/>
      <c r="W1139" s="166"/>
      <c r="X1139" s="166"/>
      <c r="Y1139" s="166"/>
      <c r="Z1139" s="166"/>
      <c r="AA1139" s="166"/>
      <c r="AB1139" s="166"/>
      <c r="AC1139" s="166"/>
      <c r="AD1139" s="166"/>
      <c r="AE1139" s="166"/>
      <c r="AF1139" s="166"/>
      <c r="AG1139" s="166"/>
      <c r="AH1139" s="166"/>
      <c r="AI1139" s="166"/>
    </row>
    <row r="1140" spans="7:35" x14ac:dyDescent="0.25">
      <c r="G1140" s="165"/>
      <c r="H1140" s="166"/>
      <c r="I1140" s="167"/>
      <c r="J1140" s="167"/>
      <c r="K1140" s="166"/>
      <c r="L1140" s="166"/>
      <c r="M1140" s="166"/>
      <c r="N1140" s="166"/>
      <c r="O1140" s="166"/>
      <c r="P1140" s="166"/>
      <c r="Q1140" s="166"/>
      <c r="R1140" s="166"/>
      <c r="S1140" s="166"/>
      <c r="T1140" s="166"/>
      <c r="U1140" s="166"/>
      <c r="V1140" s="166"/>
      <c r="W1140" s="166"/>
      <c r="X1140" s="166"/>
      <c r="Y1140" s="166"/>
      <c r="Z1140" s="166"/>
      <c r="AA1140" s="166"/>
      <c r="AB1140" s="166"/>
      <c r="AC1140" s="166"/>
      <c r="AD1140" s="166"/>
      <c r="AE1140" s="166"/>
      <c r="AF1140" s="166"/>
      <c r="AG1140" s="166"/>
      <c r="AH1140" s="166"/>
      <c r="AI1140" s="166"/>
    </row>
    <row r="1141" spans="7:35" x14ac:dyDescent="0.25">
      <c r="G1141" s="165"/>
      <c r="H1141" s="166"/>
      <c r="I1141" s="167"/>
      <c r="J1141" s="167"/>
      <c r="K1141" s="166"/>
      <c r="L1141" s="166"/>
      <c r="M1141" s="166"/>
      <c r="N1141" s="166"/>
      <c r="O1141" s="166"/>
      <c r="P1141" s="166"/>
      <c r="Q1141" s="166"/>
      <c r="R1141" s="166"/>
      <c r="S1141" s="166"/>
      <c r="T1141" s="166"/>
      <c r="U1141" s="166"/>
      <c r="V1141" s="166"/>
      <c r="W1141" s="166"/>
      <c r="X1141" s="166"/>
      <c r="Y1141" s="166"/>
      <c r="Z1141" s="166"/>
      <c r="AA1141" s="166"/>
      <c r="AB1141" s="166"/>
      <c r="AC1141" s="166"/>
      <c r="AD1141" s="166"/>
      <c r="AE1141" s="166"/>
      <c r="AF1141" s="166"/>
      <c r="AG1141" s="166"/>
      <c r="AH1141" s="166"/>
      <c r="AI1141" s="166"/>
    </row>
    <row r="1142" spans="7:35" x14ac:dyDescent="0.25">
      <c r="G1142" s="165"/>
      <c r="H1142" s="166"/>
      <c r="I1142" s="167"/>
      <c r="J1142" s="167"/>
      <c r="K1142" s="166"/>
      <c r="L1142" s="166"/>
      <c r="M1142" s="166"/>
      <c r="N1142" s="166"/>
      <c r="O1142" s="166"/>
      <c r="P1142" s="166"/>
      <c r="Q1142" s="166"/>
      <c r="R1142" s="166"/>
      <c r="S1142" s="166"/>
      <c r="T1142" s="166"/>
      <c r="U1142" s="166"/>
      <c r="V1142" s="166"/>
      <c r="W1142" s="166"/>
      <c r="X1142" s="166"/>
      <c r="Y1142" s="166"/>
      <c r="Z1142" s="166"/>
      <c r="AA1142" s="166"/>
      <c r="AB1142" s="166"/>
      <c r="AC1142" s="166"/>
      <c r="AD1142" s="166"/>
      <c r="AE1142" s="166"/>
      <c r="AF1142" s="166"/>
      <c r="AG1142" s="166"/>
      <c r="AH1142" s="166"/>
      <c r="AI1142" s="166"/>
    </row>
    <row r="1143" spans="7:35" x14ac:dyDescent="0.25">
      <c r="G1143" s="165"/>
      <c r="H1143" s="166"/>
      <c r="I1143" s="167"/>
      <c r="J1143" s="167"/>
      <c r="K1143" s="166"/>
      <c r="L1143" s="166"/>
      <c r="M1143" s="166"/>
      <c r="N1143" s="166"/>
      <c r="O1143" s="166"/>
      <c r="P1143" s="166"/>
      <c r="Q1143" s="166"/>
      <c r="R1143" s="166"/>
      <c r="S1143" s="166"/>
      <c r="T1143" s="166"/>
      <c r="U1143" s="166"/>
      <c r="V1143" s="166"/>
      <c r="W1143" s="166"/>
      <c r="X1143" s="166"/>
      <c r="Y1143" s="166"/>
      <c r="Z1143" s="166"/>
      <c r="AA1143" s="166"/>
      <c r="AB1143" s="166"/>
      <c r="AC1143" s="166"/>
      <c r="AD1143" s="166"/>
      <c r="AE1143" s="166"/>
      <c r="AF1143" s="166"/>
      <c r="AG1143" s="166"/>
      <c r="AH1143" s="166"/>
      <c r="AI1143" s="166"/>
    </row>
    <row r="1144" spans="7:35" x14ac:dyDescent="0.25">
      <c r="G1144" s="165"/>
      <c r="H1144" s="166"/>
      <c r="I1144" s="167"/>
      <c r="J1144" s="167"/>
      <c r="K1144" s="166"/>
      <c r="L1144" s="166"/>
      <c r="M1144" s="166"/>
      <c r="N1144" s="166"/>
      <c r="O1144" s="166"/>
      <c r="P1144" s="166"/>
      <c r="Q1144" s="166"/>
      <c r="R1144" s="166"/>
      <c r="S1144" s="166"/>
      <c r="T1144" s="166"/>
      <c r="U1144" s="166"/>
      <c r="V1144" s="166"/>
      <c r="W1144" s="166"/>
      <c r="X1144" s="166"/>
      <c r="Y1144" s="166"/>
      <c r="Z1144" s="166"/>
      <c r="AA1144" s="166"/>
      <c r="AB1144" s="166"/>
      <c r="AC1144" s="166"/>
      <c r="AD1144" s="166"/>
      <c r="AE1144" s="166"/>
      <c r="AF1144" s="166"/>
      <c r="AG1144" s="166"/>
      <c r="AH1144" s="166"/>
      <c r="AI1144" s="166"/>
    </row>
    <row r="1145" spans="7:35" x14ac:dyDescent="0.25">
      <c r="G1145" s="165"/>
      <c r="H1145" s="166"/>
      <c r="I1145" s="167"/>
      <c r="J1145" s="167"/>
      <c r="K1145" s="166"/>
      <c r="L1145" s="166"/>
      <c r="M1145" s="166"/>
      <c r="N1145" s="166"/>
      <c r="O1145" s="166"/>
      <c r="P1145" s="166"/>
      <c r="Q1145" s="166"/>
      <c r="R1145" s="166"/>
      <c r="S1145" s="166"/>
      <c r="T1145" s="166"/>
      <c r="U1145" s="166"/>
      <c r="V1145" s="166"/>
      <c r="W1145" s="166"/>
      <c r="X1145" s="166"/>
      <c r="Y1145" s="166"/>
      <c r="Z1145" s="166"/>
      <c r="AA1145" s="166"/>
      <c r="AB1145" s="166"/>
      <c r="AC1145" s="166"/>
      <c r="AD1145" s="166"/>
      <c r="AE1145" s="166"/>
      <c r="AF1145" s="166"/>
      <c r="AG1145" s="166"/>
      <c r="AH1145" s="166"/>
      <c r="AI1145" s="166"/>
    </row>
    <row r="1146" spans="7:35" x14ac:dyDescent="0.25">
      <c r="G1146" s="165"/>
      <c r="H1146" s="166"/>
      <c r="I1146" s="167"/>
      <c r="J1146" s="167"/>
      <c r="K1146" s="166"/>
      <c r="L1146" s="166"/>
      <c r="M1146" s="166"/>
      <c r="N1146" s="166"/>
      <c r="O1146" s="166"/>
      <c r="P1146" s="166"/>
      <c r="Q1146" s="166"/>
      <c r="R1146" s="166"/>
      <c r="S1146" s="166"/>
      <c r="T1146" s="166"/>
      <c r="U1146" s="166"/>
      <c r="V1146" s="166"/>
      <c r="W1146" s="166"/>
      <c r="X1146" s="166"/>
      <c r="Y1146" s="166"/>
      <c r="Z1146" s="166"/>
      <c r="AA1146" s="166"/>
      <c r="AB1146" s="166"/>
      <c r="AC1146" s="166"/>
      <c r="AD1146" s="166"/>
      <c r="AE1146" s="166"/>
      <c r="AF1146" s="166"/>
      <c r="AG1146" s="166"/>
      <c r="AH1146" s="166"/>
      <c r="AI1146" s="166"/>
    </row>
    <row r="1147" spans="7:35" x14ac:dyDescent="0.25">
      <c r="G1147" s="165"/>
      <c r="H1147" s="166"/>
      <c r="I1147" s="167"/>
      <c r="J1147" s="167"/>
      <c r="K1147" s="166"/>
      <c r="L1147" s="166"/>
      <c r="M1147" s="166"/>
      <c r="N1147" s="166"/>
      <c r="O1147" s="166"/>
      <c r="P1147" s="166"/>
      <c r="Q1147" s="166"/>
      <c r="R1147" s="166"/>
      <c r="S1147" s="166"/>
      <c r="T1147" s="166"/>
      <c r="U1147" s="166"/>
      <c r="V1147" s="166"/>
      <c r="W1147" s="166"/>
      <c r="X1147" s="166"/>
      <c r="Y1147" s="166"/>
      <c r="Z1147" s="166"/>
      <c r="AA1147" s="166"/>
      <c r="AB1147" s="166"/>
      <c r="AC1147" s="166"/>
      <c r="AD1147" s="166"/>
      <c r="AE1147" s="166"/>
      <c r="AF1147" s="166"/>
      <c r="AG1147" s="166"/>
      <c r="AH1147" s="166"/>
      <c r="AI1147" s="166"/>
    </row>
    <row r="1148" spans="7:35" x14ac:dyDescent="0.25">
      <c r="G1148" s="165"/>
      <c r="H1148" s="166"/>
      <c r="I1148" s="167"/>
      <c r="J1148" s="167"/>
      <c r="K1148" s="166"/>
      <c r="L1148" s="166"/>
      <c r="M1148" s="166"/>
      <c r="N1148" s="166"/>
      <c r="O1148" s="166"/>
      <c r="P1148" s="166"/>
      <c r="Q1148" s="166"/>
      <c r="R1148" s="166"/>
      <c r="S1148" s="166"/>
      <c r="T1148" s="166"/>
      <c r="U1148" s="166"/>
      <c r="V1148" s="166"/>
      <c r="W1148" s="166"/>
      <c r="X1148" s="166"/>
      <c r="Y1148" s="166"/>
      <c r="Z1148" s="166"/>
      <c r="AA1148" s="166"/>
      <c r="AB1148" s="166"/>
      <c r="AC1148" s="166"/>
      <c r="AD1148" s="166"/>
      <c r="AE1148" s="166"/>
      <c r="AF1148" s="166"/>
      <c r="AG1148" s="166"/>
      <c r="AH1148" s="166"/>
      <c r="AI1148" s="166"/>
    </row>
    <row r="1149" spans="7:35" x14ac:dyDescent="0.25">
      <c r="G1149" s="165"/>
      <c r="H1149" s="166"/>
      <c r="I1149" s="167"/>
      <c r="J1149" s="167"/>
      <c r="K1149" s="166"/>
      <c r="L1149" s="166"/>
      <c r="M1149" s="166"/>
      <c r="N1149" s="166"/>
      <c r="O1149" s="166"/>
      <c r="P1149" s="166"/>
      <c r="Q1149" s="166"/>
      <c r="R1149" s="166"/>
      <c r="S1149" s="166"/>
      <c r="T1149" s="166"/>
      <c r="U1149" s="166"/>
      <c r="V1149" s="166"/>
      <c r="W1149" s="166"/>
      <c r="X1149" s="166"/>
      <c r="Y1149" s="166"/>
      <c r="Z1149" s="166"/>
      <c r="AA1149" s="166"/>
      <c r="AB1149" s="166"/>
      <c r="AC1149" s="166"/>
      <c r="AD1149" s="166"/>
      <c r="AE1149" s="166"/>
      <c r="AF1149" s="166"/>
      <c r="AG1149" s="166"/>
      <c r="AH1149" s="166"/>
      <c r="AI1149" s="166"/>
    </row>
    <row r="1150" spans="7:35" x14ac:dyDescent="0.25">
      <c r="G1150" s="165"/>
      <c r="H1150" s="166"/>
      <c r="I1150" s="167"/>
      <c r="J1150" s="167"/>
      <c r="K1150" s="166"/>
      <c r="L1150" s="166"/>
      <c r="M1150" s="166"/>
      <c r="N1150" s="166"/>
      <c r="O1150" s="166"/>
      <c r="P1150" s="166"/>
      <c r="Q1150" s="166"/>
      <c r="R1150" s="166"/>
      <c r="S1150" s="166"/>
      <c r="T1150" s="166"/>
      <c r="U1150" s="166"/>
      <c r="V1150" s="166"/>
      <c r="W1150" s="166"/>
      <c r="X1150" s="166"/>
      <c r="Y1150" s="166"/>
      <c r="Z1150" s="166"/>
      <c r="AA1150" s="166"/>
      <c r="AB1150" s="166"/>
      <c r="AC1150" s="166"/>
      <c r="AD1150" s="166"/>
      <c r="AE1150" s="166"/>
      <c r="AF1150" s="166"/>
      <c r="AG1150" s="166"/>
      <c r="AH1150" s="166"/>
      <c r="AI1150" s="166"/>
    </row>
    <row r="1151" spans="7:35" x14ac:dyDescent="0.25">
      <c r="G1151" s="165"/>
      <c r="H1151" s="166"/>
      <c r="I1151" s="167"/>
      <c r="J1151" s="167"/>
      <c r="K1151" s="166"/>
      <c r="L1151" s="166"/>
      <c r="M1151" s="166"/>
      <c r="N1151" s="166"/>
      <c r="O1151" s="166"/>
      <c r="P1151" s="166"/>
      <c r="Q1151" s="166"/>
      <c r="R1151" s="166"/>
      <c r="S1151" s="166"/>
      <c r="T1151" s="166"/>
      <c r="U1151" s="166"/>
      <c r="V1151" s="166"/>
      <c r="W1151" s="166"/>
      <c r="X1151" s="166"/>
      <c r="Y1151" s="166"/>
      <c r="Z1151" s="166"/>
      <c r="AA1151" s="166"/>
      <c r="AB1151" s="166"/>
      <c r="AC1151" s="166"/>
      <c r="AD1151" s="166"/>
      <c r="AE1151" s="166"/>
      <c r="AF1151" s="166"/>
      <c r="AG1151" s="166"/>
      <c r="AH1151" s="166"/>
      <c r="AI1151" s="166"/>
    </row>
    <row r="1152" spans="7:35" x14ac:dyDescent="0.25">
      <c r="G1152" s="165"/>
      <c r="H1152" s="166"/>
      <c r="I1152" s="167"/>
      <c r="J1152" s="167"/>
      <c r="K1152" s="166"/>
      <c r="L1152" s="166"/>
      <c r="M1152" s="166"/>
      <c r="N1152" s="166"/>
      <c r="O1152" s="166"/>
      <c r="P1152" s="166"/>
      <c r="Q1152" s="166"/>
      <c r="R1152" s="166"/>
      <c r="S1152" s="166"/>
      <c r="T1152" s="166"/>
      <c r="U1152" s="166"/>
      <c r="V1152" s="166"/>
      <c r="W1152" s="166"/>
      <c r="X1152" s="166"/>
      <c r="Y1152" s="166"/>
      <c r="Z1152" s="166"/>
      <c r="AA1152" s="166"/>
      <c r="AB1152" s="166"/>
      <c r="AC1152" s="166"/>
      <c r="AD1152" s="166"/>
      <c r="AE1152" s="166"/>
      <c r="AF1152" s="166"/>
      <c r="AG1152" s="166"/>
      <c r="AH1152" s="166"/>
      <c r="AI1152" s="166"/>
    </row>
    <row r="1153" spans="7:35" x14ac:dyDescent="0.25">
      <c r="G1153" s="165"/>
      <c r="H1153" s="166"/>
      <c r="I1153" s="167"/>
      <c r="J1153" s="167"/>
      <c r="K1153" s="166"/>
      <c r="L1153" s="166"/>
      <c r="M1153" s="166"/>
      <c r="N1153" s="166"/>
      <c r="O1153" s="166"/>
      <c r="P1153" s="166"/>
      <c r="Q1153" s="166"/>
      <c r="R1153" s="166"/>
      <c r="S1153" s="166"/>
      <c r="T1153" s="166"/>
      <c r="U1153" s="166"/>
      <c r="V1153" s="166"/>
      <c r="W1153" s="166"/>
      <c r="X1153" s="166"/>
      <c r="Y1153" s="166"/>
      <c r="Z1153" s="166"/>
      <c r="AA1153" s="166"/>
      <c r="AB1153" s="166"/>
      <c r="AC1153" s="166"/>
      <c r="AD1153" s="166"/>
      <c r="AE1153" s="166"/>
      <c r="AF1153" s="166"/>
      <c r="AG1153" s="166"/>
      <c r="AH1153" s="166"/>
      <c r="AI1153" s="166"/>
    </row>
    <row r="1154" spans="7:35" x14ac:dyDescent="0.25">
      <c r="G1154" s="165"/>
      <c r="H1154" s="166"/>
      <c r="I1154" s="167"/>
      <c r="J1154" s="167"/>
      <c r="K1154" s="166"/>
      <c r="L1154" s="166"/>
      <c r="M1154" s="166"/>
      <c r="N1154" s="166"/>
      <c r="O1154" s="166"/>
      <c r="P1154" s="166"/>
      <c r="Q1154" s="166"/>
      <c r="R1154" s="166"/>
      <c r="S1154" s="166"/>
      <c r="T1154" s="166"/>
      <c r="U1154" s="166"/>
      <c r="V1154" s="166"/>
      <c r="W1154" s="166"/>
      <c r="X1154" s="166"/>
      <c r="Y1154" s="166"/>
      <c r="Z1154" s="166"/>
      <c r="AA1154" s="166"/>
      <c r="AB1154" s="166"/>
      <c r="AC1154" s="166"/>
      <c r="AD1154" s="166"/>
      <c r="AE1154" s="166"/>
      <c r="AF1154" s="166"/>
      <c r="AG1154" s="166"/>
      <c r="AH1154" s="166"/>
      <c r="AI1154" s="166"/>
    </row>
    <row r="1155" spans="7:35" x14ac:dyDescent="0.25">
      <c r="G1155" s="165"/>
      <c r="H1155" s="166"/>
      <c r="I1155" s="167"/>
      <c r="J1155" s="167"/>
      <c r="K1155" s="166"/>
      <c r="L1155" s="166"/>
      <c r="M1155" s="166"/>
      <c r="N1155" s="166"/>
      <c r="O1155" s="166"/>
      <c r="P1155" s="166"/>
      <c r="Q1155" s="166"/>
      <c r="R1155" s="166"/>
      <c r="S1155" s="166"/>
      <c r="T1155" s="166"/>
      <c r="U1155" s="166"/>
      <c r="V1155" s="166"/>
      <c r="W1155" s="166"/>
      <c r="X1155" s="166"/>
      <c r="Y1155" s="166"/>
      <c r="Z1155" s="166"/>
      <c r="AA1155" s="166"/>
      <c r="AB1155" s="166"/>
      <c r="AC1155" s="166"/>
      <c r="AD1155" s="166"/>
      <c r="AE1155" s="166"/>
      <c r="AF1155" s="166"/>
      <c r="AG1155" s="166"/>
      <c r="AH1155" s="166"/>
      <c r="AI1155" s="166"/>
    </row>
    <row r="1156" spans="7:35" x14ac:dyDescent="0.25">
      <c r="G1156" s="165"/>
      <c r="H1156" s="166"/>
      <c r="I1156" s="167"/>
      <c r="J1156" s="167"/>
      <c r="K1156" s="166"/>
      <c r="L1156" s="166"/>
      <c r="M1156" s="166"/>
      <c r="N1156" s="166"/>
      <c r="O1156" s="166"/>
      <c r="P1156" s="166"/>
      <c r="Q1156" s="166"/>
      <c r="R1156" s="166"/>
      <c r="S1156" s="166"/>
      <c r="T1156" s="166"/>
      <c r="U1156" s="166"/>
      <c r="V1156" s="166"/>
      <c r="W1156" s="166"/>
      <c r="X1156" s="166"/>
      <c r="Y1156" s="166"/>
      <c r="Z1156" s="166"/>
      <c r="AA1156" s="166"/>
      <c r="AB1156" s="166"/>
      <c r="AC1156" s="166"/>
      <c r="AD1156" s="166"/>
      <c r="AE1156" s="166"/>
      <c r="AF1156" s="166"/>
      <c r="AG1156" s="166"/>
      <c r="AH1156" s="166"/>
      <c r="AI1156" s="166"/>
    </row>
    <row r="1157" spans="7:35" x14ac:dyDescent="0.25">
      <c r="G1157" s="165"/>
      <c r="H1157" s="166"/>
      <c r="I1157" s="167"/>
      <c r="J1157" s="167"/>
      <c r="K1157" s="166"/>
      <c r="L1157" s="166"/>
      <c r="M1157" s="166"/>
      <c r="N1157" s="166"/>
      <c r="O1157" s="166"/>
      <c r="P1157" s="166"/>
      <c r="Q1157" s="166"/>
      <c r="R1157" s="166"/>
      <c r="S1157" s="166"/>
      <c r="T1157" s="166"/>
      <c r="U1157" s="166"/>
      <c r="V1157" s="166"/>
      <c r="W1157" s="166"/>
      <c r="X1157" s="166"/>
      <c r="Y1157" s="166"/>
      <c r="Z1157" s="166"/>
      <c r="AA1157" s="166"/>
      <c r="AB1157" s="166"/>
      <c r="AC1157" s="166"/>
      <c r="AD1157" s="166"/>
      <c r="AE1157" s="166"/>
      <c r="AF1157" s="166"/>
      <c r="AG1157" s="166"/>
      <c r="AH1157" s="166"/>
      <c r="AI1157" s="166"/>
    </row>
    <row r="1158" spans="7:35" x14ac:dyDescent="0.25">
      <c r="G1158" s="165"/>
      <c r="H1158" s="166"/>
      <c r="I1158" s="167"/>
      <c r="J1158" s="167"/>
      <c r="K1158" s="166"/>
      <c r="L1158" s="166"/>
      <c r="M1158" s="166"/>
      <c r="N1158" s="166"/>
      <c r="O1158" s="166"/>
      <c r="P1158" s="166"/>
      <c r="Q1158" s="166"/>
      <c r="R1158" s="166"/>
      <c r="S1158" s="166"/>
      <c r="T1158" s="166"/>
      <c r="U1158" s="166"/>
      <c r="V1158" s="166"/>
      <c r="W1158" s="166"/>
      <c r="X1158" s="166"/>
      <c r="Y1158" s="166"/>
      <c r="Z1158" s="166"/>
      <c r="AA1158" s="166"/>
      <c r="AB1158" s="166"/>
      <c r="AC1158" s="166"/>
      <c r="AD1158" s="166"/>
      <c r="AE1158" s="166"/>
      <c r="AF1158" s="166"/>
      <c r="AG1158" s="166"/>
      <c r="AH1158" s="166"/>
      <c r="AI1158" s="166"/>
    </row>
    <row r="1159" spans="7:35" x14ac:dyDescent="0.25">
      <c r="G1159" s="165"/>
      <c r="H1159" s="166"/>
      <c r="I1159" s="167"/>
      <c r="J1159" s="167"/>
      <c r="K1159" s="166"/>
      <c r="L1159" s="166"/>
      <c r="M1159" s="166"/>
      <c r="N1159" s="166"/>
      <c r="O1159" s="166"/>
      <c r="P1159" s="166"/>
      <c r="Q1159" s="166"/>
      <c r="R1159" s="166"/>
      <c r="S1159" s="166"/>
      <c r="T1159" s="166"/>
      <c r="U1159" s="166"/>
      <c r="V1159" s="166"/>
      <c r="W1159" s="166"/>
      <c r="X1159" s="166"/>
      <c r="Y1159" s="166"/>
      <c r="Z1159" s="166"/>
      <c r="AA1159" s="166"/>
      <c r="AB1159" s="166"/>
      <c r="AC1159" s="166"/>
      <c r="AD1159" s="166"/>
      <c r="AE1159" s="166"/>
      <c r="AF1159" s="166"/>
      <c r="AG1159" s="166"/>
      <c r="AH1159" s="166"/>
      <c r="AI1159" s="166"/>
    </row>
    <row r="1160" spans="7:35" x14ac:dyDescent="0.25">
      <c r="G1160" s="165"/>
      <c r="H1160" s="166"/>
      <c r="I1160" s="167"/>
      <c r="J1160" s="167"/>
      <c r="K1160" s="166"/>
      <c r="L1160" s="166"/>
      <c r="M1160" s="166"/>
      <c r="N1160" s="166"/>
      <c r="O1160" s="166"/>
      <c r="P1160" s="166"/>
      <c r="Q1160" s="166"/>
      <c r="R1160" s="166"/>
      <c r="S1160" s="166"/>
      <c r="T1160" s="166"/>
      <c r="U1160" s="166"/>
      <c r="V1160" s="166"/>
      <c r="W1160" s="166"/>
      <c r="X1160" s="166"/>
      <c r="Y1160" s="166"/>
      <c r="Z1160" s="166"/>
      <c r="AA1160" s="166"/>
      <c r="AB1160" s="166"/>
      <c r="AC1160" s="166"/>
      <c r="AD1160" s="166"/>
      <c r="AE1160" s="166"/>
      <c r="AF1160" s="166"/>
      <c r="AG1160" s="166"/>
      <c r="AH1160" s="166"/>
      <c r="AI1160" s="166"/>
    </row>
    <row r="1161" spans="7:35" x14ac:dyDescent="0.25">
      <c r="G1161" s="165"/>
      <c r="H1161" s="166"/>
      <c r="I1161" s="167"/>
      <c r="J1161" s="167"/>
      <c r="K1161" s="166"/>
      <c r="L1161" s="166"/>
      <c r="M1161" s="166"/>
      <c r="N1161" s="166"/>
      <c r="O1161" s="166"/>
      <c r="P1161" s="166"/>
      <c r="Q1161" s="166"/>
      <c r="R1161" s="166"/>
      <c r="S1161" s="166"/>
      <c r="T1161" s="166"/>
      <c r="U1161" s="166"/>
      <c r="V1161" s="166"/>
      <c r="W1161" s="166"/>
      <c r="X1161" s="166"/>
      <c r="Y1161" s="166"/>
      <c r="Z1161" s="166"/>
      <c r="AA1161" s="166"/>
      <c r="AB1161" s="166"/>
      <c r="AC1161" s="166"/>
      <c r="AD1161" s="166"/>
      <c r="AE1161" s="166"/>
      <c r="AF1161" s="166"/>
      <c r="AG1161" s="166"/>
      <c r="AH1161" s="166"/>
      <c r="AI1161" s="166"/>
    </row>
    <row r="1162" spans="7:35" x14ac:dyDescent="0.25">
      <c r="G1162" s="165"/>
      <c r="H1162" s="166"/>
      <c r="I1162" s="167"/>
      <c r="J1162" s="167"/>
      <c r="K1162" s="166"/>
      <c r="L1162" s="166"/>
      <c r="M1162" s="166"/>
      <c r="N1162" s="166"/>
      <c r="O1162" s="166"/>
      <c r="P1162" s="166"/>
      <c r="Q1162" s="166"/>
      <c r="R1162" s="166"/>
      <c r="S1162" s="166"/>
      <c r="T1162" s="166"/>
      <c r="U1162" s="166"/>
      <c r="V1162" s="166"/>
      <c r="W1162" s="166"/>
      <c r="X1162" s="166"/>
      <c r="Y1162" s="166"/>
      <c r="Z1162" s="166"/>
      <c r="AA1162" s="166"/>
      <c r="AB1162" s="166"/>
      <c r="AC1162" s="166"/>
      <c r="AD1162" s="166"/>
      <c r="AE1162" s="166"/>
      <c r="AF1162" s="166"/>
      <c r="AG1162" s="166"/>
      <c r="AH1162" s="166"/>
      <c r="AI1162" s="166"/>
    </row>
    <row r="1163" spans="7:35" x14ac:dyDescent="0.25">
      <c r="G1163" s="165"/>
      <c r="H1163" s="166"/>
      <c r="I1163" s="167"/>
      <c r="J1163" s="167"/>
      <c r="K1163" s="166"/>
      <c r="L1163" s="166"/>
      <c r="M1163" s="166"/>
      <c r="N1163" s="166"/>
      <c r="O1163" s="166"/>
      <c r="P1163" s="166"/>
      <c r="Q1163" s="166"/>
      <c r="R1163" s="166"/>
      <c r="S1163" s="166"/>
      <c r="T1163" s="166"/>
      <c r="U1163" s="166"/>
      <c r="V1163" s="166"/>
      <c r="W1163" s="166"/>
      <c r="X1163" s="166"/>
      <c r="Y1163" s="166"/>
      <c r="Z1163" s="166"/>
      <c r="AA1163" s="166"/>
      <c r="AB1163" s="166"/>
      <c r="AC1163" s="166"/>
      <c r="AD1163" s="166"/>
      <c r="AE1163" s="166"/>
      <c r="AF1163" s="166"/>
      <c r="AG1163" s="166"/>
      <c r="AH1163" s="166"/>
      <c r="AI1163" s="166"/>
    </row>
    <row r="1164" spans="7:35" x14ac:dyDescent="0.25">
      <c r="G1164" s="165"/>
      <c r="H1164" s="166"/>
      <c r="I1164" s="167"/>
      <c r="J1164" s="167"/>
      <c r="K1164" s="166"/>
      <c r="L1164" s="166"/>
      <c r="M1164" s="166"/>
      <c r="N1164" s="166"/>
      <c r="O1164" s="166"/>
      <c r="P1164" s="166"/>
      <c r="Q1164" s="166"/>
      <c r="R1164" s="166"/>
      <c r="S1164" s="166"/>
      <c r="T1164" s="166"/>
      <c r="U1164" s="166"/>
      <c r="V1164" s="166"/>
      <c r="W1164" s="166"/>
      <c r="X1164" s="166"/>
      <c r="Y1164" s="166"/>
      <c r="Z1164" s="166"/>
      <c r="AA1164" s="166"/>
      <c r="AB1164" s="166"/>
      <c r="AC1164" s="166"/>
      <c r="AD1164" s="166"/>
      <c r="AE1164" s="166"/>
      <c r="AF1164" s="166"/>
      <c r="AG1164" s="166"/>
      <c r="AH1164" s="166"/>
      <c r="AI1164" s="166"/>
    </row>
    <row r="1165" spans="7:35" x14ac:dyDescent="0.25">
      <c r="G1165" s="165"/>
      <c r="H1165" s="166"/>
      <c r="I1165" s="167"/>
      <c r="J1165" s="167"/>
      <c r="K1165" s="166"/>
      <c r="L1165" s="166"/>
      <c r="M1165" s="166"/>
      <c r="N1165" s="166"/>
      <c r="O1165" s="166"/>
      <c r="P1165" s="166"/>
      <c r="Q1165" s="166"/>
      <c r="R1165" s="166"/>
      <c r="S1165" s="166"/>
      <c r="T1165" s="166"/>
      <c r="U1165" s="166"/>
      <c r="V1165" s="166"/>
      <c r="W1165" s="166"/>
      <c r="X1165" s="166"/>
      <c r="Y1165" s="166"/>
      <c r="Z1165" s="166"/>
      <c r="AA1165" s="166"/>
      <c r="AB1165" s="166"/>
      <c r="AC1165" s="166"/>
      <c r="AD1165" s="166"/>
      <c r="AE1165" s="166"/>
      <c r="AF1165" s="166"/>
      <c r="AG1165" s="166"/>
      <c r="AH1165" s="166"/>
      <c r="AI1165" s="166"/>
    </row>
    <row r="1166" spans="7:35" x14ac:dyDescent="0.25">
      <c r="G1166" s="165"/>
      <c r="H1166" s="166"/>
      <c r="I1166" s="167"/>
      <c r="J1166" s="167"/>
      <c r="K1166" s="166"/>
      <c r="L1166" s="166"/>
      <c r="M1166" s="166"/>
      <c r="N1166" s="166"/>
      <c r="O1166" s="166"/>
      <c r="P1166" s="166"/>
      <c r="Q1166" s="166"/>
      <c r="R1166" s="166"/>
      <c r="S1166" s="166"/>
      <c r="T1166" s="166"/>
      <c r="U1166" s="166"/>
      <c r="V1166" s="166"/>
      <c r="W1166" s="166"/>
      <c r="X1166" s="166"/>
      <c r="Y1166" s="166"/>
      <c r="Z1166" s="166"/>
      <c r="AA1166" s="166"/>
      <c r="AB1166" s="166"/>
      <c r="AC1166" s="166"/>
      <c r="AD1166" s="166"/>
      <c r="AE1166" s="166"/>
      <c r="AF1166" s="166"/>
      <c r="AG1166" s="166"/>
      <c r="AH1166" s="166"/>
      <c r="AI1166" s="166"/>
    </row>
    <row r="1167" spans="7:35" x14ac:dyDescent="0.25">
      <c r="G1167" s="165"/>
      <c r="H1167" s="166"/>
      <c r="I1167" s="167"/>
      <c r="J1167" s="167"/>
      <c r="K1167" s="166"/>
      <c r="L1167" s="166"/>
      <c r="M1167" s="166"/>
      <c r="N1167" s="166"/>
      <c r="O1167" s="166"/>
      <c r="P1167" s="166"/>
      <c r="Q1167" s="166"/>
      <c r="R1167" s="166"/>
      <c r="S1167" s="166"/>
      <c r="T1167" s="166"/>
      <c r="U1167" s="166"/>
      <c r="V1167" s="166"/>
      <c r="W1167" s="166"/>
      <c r="X1167" s="166"/>
      <c r="Y1167" s="166"/>
      <c r="Z1167" s="166"/>
      <c r="AA1167" s="166"/>
      <c r="AB1167" s="166"/>
      <c r="AC1167" s="166"/>
      <c r="AD1167" s="166"/>
      <c r="AE1167" s="166"/>
      <c r="AF1167" s="166"/>
      <c r="AG1167" s="166"/>
      <c r="AH1167" s="166"/>
      <c r="AI1167" s="166"/>
    </row>
    <row r="1168" spans="7:35" x14ac:dyDescent="0.25">
      <c r="G1168" s="165"/>
      <c r="H1168" s="166"/>
      <c r="I1168" s="167"/>
      <c r="J1168" s="167"/>
      <c r="K1168" s="166"/>
      <c r="L1168" s="166"/>
      <c r="M1168" s="166"/>
      <c r="N1168" s="166"/>
      <c r="O1168" s="166"/>
      <c r="P1168" s="166"/>
      <c r="Q1168" s="166"/>
      <c r="R1168" s="166"/>
      <c r="S1168" s="166"/>
      <c r="T1168" s="166"/>
      <c r="U1168" s="166"/>
      <c r="V1168" s="166"/>
      <c r="W1168" s="166"/>
      <c r="X1168" s="166"/>
      <c r="Y1168" s="166"/>
      <c r="Z1168" s="166"/>
      <c r="AA1168" s="166"/>
      <c r="AB1168" s="166"/>
      <c r="AC1168" s="166"/>
      <c r="AD1168" s="166"/>
      <c r="AE1168" s="166"/>
      <c r="AF1168" s="166"/>
      <c r="AG1168" s="166"/>
      <c r="AH1168" s="166"/>
      <c r="AI1168" s="166"/>
    </row>
    <row r="1169" spans="7:35" x14ac:dyDescent="0.25">
      <c r="G1169" s="165"/>
      <c r="H1169" s="166"/>
      <c r="I1169" s="167"/>
      <c r="J1169" s="167"/>
      <c r="K1169" s="166"/>
      <c r="L1169" s="166"/>
      <c r="M1169" s="166"/>
      <c r="N1169" s="166"/>
      <c r="O1169" s="166"/>
      <c r="P1169" s="166"/>
      <c r="Q1169" s="166"/>
      <c r="R1169" s="166"/>
      <c r="S1169" s="166"/>
      <c r="T1169" s="166"/>
      <c r="U1169" s="166"/>
      <c r="V1169" s="166"/>
      <c r="W1169" s="166"/>
      <c r="X1169" s="166"/>
      <c r="Y1169" s="166"/>
      <c r="Z1169" s="166"/>
      <c r="AA1169" s="166"/>
      <c r="AB1169" s="166"/>
      <c r="AC1169" s="166"/>
      <c r="AD1169" s="166"/>
      <c r="AE1169" s="166"/>
      <c r="AF1169" s="166"/>
      <c r="AG1169" s="166"/>
      <c r="AH1169" s="166"/>
      <c r="AI1169" s="166"/>
    </row>
    <row r="1170" spans="7:35" x14ac:dyDescent="0.25">
      <c r="G1170" s="165"/>
      <c r="H1170" s="166"/>
      <c r="I1170" s="167"/>
      <c r="J1170" s="167"/>
      <c r="K1170" s="166"/>
      <c r="L1170" s="166"/>
      <c r="M1170" s="166"/>
      <c r="N1170" s="166"/>
      <c r="O1170" s="166"/>
      <c r="P1170" s="166"/>
      <c r="Q1170" s="166"/>
      <c r="R1170" s="166"/>
      <c r="S1170" s="166"/>
      <c r="T1170" s="166"/>
      <c r="U1170" s="166"/>
      <c r="V1170" s="166"/>
      <c r="W1170" s="166"/>
      <c r="X1170" s="166"/>
      <c r="Y1170" s="166"/>
      <c r="Z1170" s="166"/>
      <c r="AA1170" s="166"/>
      <c r="AB1170" s="166"/>
      <c r="AC1170" s="166"/>
      <c r="AD1170" s="166"/>
      <c r="AE1170" s="166"/>
      <c r="AF1170" s="166"/>
      <c r="AG1170" s="166"/>
      <c r="AH1170" s="166"/>
      <c r="AI1170" s="166"/>
    </row>
    <row r="1171" spans="7:35" x14ac:dyDescent="0.25">
      <c r="G1171" s="165"/>
      <c r="H1171" s="166"/>
      <c r="I1171" s="167"/>
      <c r="J1171" s="167"/>
      <c r="K1171" s="166"/>
      <c r="L1171" s="166"/>
      <c r="M1171" s="166"/>
      <c r="N1171" s="166"/>
      <c r="O1171" s="166"/>
      <c r="P1171" s="166"/>
      <c r="Q1171" s="166"/>
      <c r="R1171" s="166"/>
      <c r="S1171" s="166"/>
      <c r="T1171" s="166"/>
      <c r="U1171" s="166"/>
      <c r="V1171" s="166"/>
      <c r="W1171" s="166"/>
      <c r="X1171" s="166"/>
      <c r="Y1171" s="166"/>
      <c r="Z1171" s="166"/>
      <c r="AA1171" s="166"/>
      <c r="AB1171" s="166"/>
      <c r="AC1171" s="166"/>
      <c r="AD1171" s="166"/>
      <c r="AE1171" s="166"/>
      <c r="AF1171" s="166"/>
      <c r="AG1171" s="166"/>
      <c r="AH1171" s="166"/>
      <c r="AI1171" s="166"/>
    </row>
    <row r="1172" spans="7:35" x14ac:dyDescent="0.25">
      <c r="G1172" s="165"/>
      <c r="H1172" s="166"/>
      <c r="I1172" s="167"/>
      <c r="J1172" s="167"/>
      <c r="K1172" s="166"/>
      <c r="L1172" s="166"/>
      <c r="M1172" s="166"/>
      <c r="N1172" s="166"/>
      <c r="O1172" s="166"/>
      <c r="P1172" s="166"/>
      <c r="Q1172" s="166"/>
      <c r="R1172" s="166"/>
      <c r="S1172" s="166"/>
      <c r="T1172" s="166"/>
      <c r="U1172" s="166"/>
      <c r="V1172" s="166"/>
      <c r="W1172" s="166"/>
      <c r="X1172" s="166"/>
      <c r="Y1172" s="166"/>
      <c r="Z1172" s="166"/>
      <c r="AA1172" s="166"/>
      <c r="AB1172" s="166"/>
      <c r="AC1172" s="166"/>
      <c r="AD1172" s="166"/>
      <c r="AE1172" s="166"/>
      <c r="AF1172" s="166"/>
      <c r="AG1172" s="166"/>
      <c r="AH1172" s="166"/>
      <c r="AI1172" s="166"/>
    </row>
    <row r="1173" spans="7:35" x14ac:dyDescent="0.25">
      <c r="G1173" s="165"/>
      <c r="H1173" s="166"/>
      <c r="I1173" s="167"/>
      <c r="J1173" s="167"/>
      <c r="K1173" s="166"/>
      <c r="L1173" s="166"/>
      <c r="M1173" s="166"/>
      <c r="N1173" s="166"/>
      <c r="O1173" s="166"/>
      <c r="P1173" s="166"/>
      <c r="Q1173" s="166"/>
      <c r="R1173" s="166"/>
      <c r="S1173" s="166"/>
      <c r="T1173" s="166"/>
      <c r="U1173" s="166"/>
      <c r="V1173" s="166"/>
      <c r="W1173" s="166"/>
      <c r="X1173" s="166"/>
      <c r="Y1173" s="166"/>
      <c r="Z1173" s="166"/>
      <c r="AA1173" s="166"/>
      <c r="AB1173" s="166"/>
      <c r="AC1173" s="166"/>
      <c r="AD1173" s="166"/>
      <c r="AE1173" s="166"/>
      <c r="AF1173" s="166"/>
      <c r="AG1173" s="166"/>
      <c r="AH1173" s="166"/>
      <c r="AI1173" s="166"/>
    </row>
    <row r="1174" spans="7:35" x14ac:dyDescent="0.25">
      <c r="G1174" s="165"/>
      <c r="H1174" s="166"/>
      <c r="I1174" s="167"/>
      <c r="J1174" s="167"/>
      <c r="K1174" s="166"/>
      <c r="L1174" s="166"/>
      <c r="M1174" s="166"/>
      <c r="N1174" s="166"/>
      <c r="O1174" s="166"/>
      <c r="P1174" s="166"/>
      <c r="Q1174" s="166"/>
      <c r="R1174" s="166"/>
      <c r="S1174" s="166"/>
      <c r="T1174" s="166"/>
      <c r="U1174" s="166"/>
      <c r="V1174" s="166"/>
      <c r="W1174" s="166"/>
      <c r="X1174" s="166"/>
      <c r="Y1174" s="166"/>
      <c r="Z1174" s="166"/>
      <c r="AA1174" s="166"/>
      <c r="AB1174" s="166"/>
      <c r="AC1174" s="166"/>
      <c r="AD1174" s="166"/>
      <c r="AE1174" s="166"/>
      <c r="AF1174" s="166"/>
      <c r="AG1174" s="166"/>
      <c r="AH1174" s="166"/>
      <c r="AI1174" s="166"/>
    </row>
    <row r="1175" spans="7:35" x14ac:dyDescent="0.25">
      <c r="G1175" s="165"/>
      <c r="H1175" s="166"/>
      <c r="I1175" s="167"/>
      <c r="J1175" s="167"/>
      <c r="K1175" s="166"/>
      <c r="L1175" s="166"/>
      <c r="M1175" s="166"/>
      <c r="N1175" s="166"/>
      <c r="O1175" s="166"/>
      <c r="P1175" s="166"/>
      <c r="Q1175" s="166"/>
      <c r="R1175" s="166"/>
      <c r="S1175" s="166"/>
      <c r="T1175" s="166"/>
      <c r="U1175" s="166"/>
      <c r="V1175" s="166"/>
      <c r="W1175" s="166"/>
      <c r="X1175" s="166"/>
      <c r="Y1175" s="166"/>
      <c r="Z1175" s="166"/>
      <c r="AA1175" s="166"/>
      <c r="AB1175" s="166"/>
      <c r="AC1175" s="166"/>
      <c r="AD1175" s="166"/>
      <c r="AE1175" s="166"/>
      <c r="AF1175" s="166"/>
      <c r="AG1175" s="166"/>
      <c r="AH1175" s="166"/>
      <c r="AI1175" s="166"/>
    </row>
    <row r="1176" spans="7:35" x14ac:dyDescent="0.25">
      <c r="G1176" s="165"/>
      <c r="H1176" s="166"/>
      <c r="I1176" s="167"/>
      <c r="J1176" s="167"/>
      <c r="K1176" s="166"/>
      <c r="L1176" s="166"/>
      <c r="M1176" s="166"/>
      <c r="N1176" s="166"/>
      <c r="O1176" s="166"/>
      <c r="P1176" s="166"/>
      <c r="Q1176" s="166"/>
      <c r="R1176" s="166"/>
      <c r="S1176" s="166"/>
      <c r="T1176" s="166"/>
      <c r="U1176" s="166"/>
      <c r="V1176" s="166"/>
      <c r="W1176" s="166"/>
      <c r="X1176" s="166"/>
      <c r="Y1176" s="166"/>
      <c r="Z1176" s="166"/>
      <c r="AA1176" s="166"/>
      <c r="AB1176" s="166"/>
      <c r="AC1176" s="166"/>
      <c r="AD1176" s="166"/>
      <c r="AE1176" s="166"/>
      <c r="AF1176" s="166"/>
      <c r="AG1176" s="166"/>
      <c r="AH1176" s="166"/>
      <c r="AI1176" s="166"/>
    </row>
    <row r="1177" spans="7:35" x14ac:dyDescent="0.25">
      <c r="G1177" s="165"/>
      <c r="H1177" s="166"/>
      <c r="I1177" s="167"/>
      <c r="J1177" s="167"/>
      <c r="K1177" s="166"/>
      <c r="L1177" s="166"/>
      <c r="M1177" s="166"/>
      <c r="N1177" s="166"/>
      <c r="O1177" s="166"/>
      <c r="P1177" s="166"/>
      <c r="Q1177" s="166"/>
      <c r="R1177" s="166"/>
      <c r="S1177" s="166"/>
      <c r="T1177" s="166"/>
      <c r="U1177" s="166"/>
      <c r="V1177" s="166"/>
      <c r="W1177" s="166"/>
      <c r="X1177" s="166"/>
      <c r="Y1177" s="166"/>
      <c r="Z1177" s="166"/>
      <c r="AA1177" s="166"/>
      <c r="AB1177" s="166"/>
      <c r="AC1177" s="166"/>
      <c r="AD1177" s="166"/>
      <c r="AE1177" s="166"/>
      <c r="AF1177" s="166"/>
      <c r="AG1177" s="166"/>
      <c r="AH1177" s="166"/>
      <c r="AI1177" s="166"/>
    </row>
    <row r="1178" spans="7:35" x14ac:dyDescent="0.25">
      <c r="G1178" s="165"/>
      <c r="H1178" s="166"/>
      <c r="I1178" s="167"/>
      <c r="J1178" s="167"/>
      <c r="K1178" s="166"/>
      <c r="L1178" s="166"/>
      <c r="M1178" s="166"/>
      <c r="N1178" s="166"/>
      <c r="O1178" s="166"/>
      <c r="P1178" s="166"/>
      <c r="Q1178" s="166"/>
      <c r="R1178" s="166"/>
      <c r="S1178" s="166"/>
      <c r="T1178" s="166"/>
      <c r="U1178" s="166"/>
      <c r="V1178" s="166"/>
      <c r="W1178" s="166"/>
      <c r="X1178" s="166"/>
      <c r="Y1178" s="166"/>
      <c r="Z1178" s="166"/>
      <c r="AA1178" s="166"/>
      <c r="AB1178" s="166"/>
      <c r="AC1178" s="166"/>
      <c r="AD1178" s="166"/>
      <c r="AE1178" s="166"/>
      <c r="AF1178" s="166"/>
      <c r="AG1178" s="166"/>
      <c r="AH1178" s="166"/>
      <c r="AI1178" s="166"/>
    </row>
    <row r="1179" spans="7:35" x14ac:dyDescent="0.25">
      <c r="G1179" s="165"/>
      <c r="H1179" s="166"/>
      <c r="I1179" s="167"/>
      <c r="J1179" s="167"/>
      <c r="K1179" s="166"/>
      <c r="L1179" s="166"/>
      <c r="M1179" s="166"/>
      <c r="N1179" s="166"/>
      <c r="O1179" s="166"/>
      <c r="P1179" s="166"/>
      <c r="Q1179" s="166"/>
      <c r="R1179" s="166"/>
      <c r="S1179" s="166"/>
      <c r="T1179" s="166"/>
      <c r="U1179" s="166"/>
      <c r="V1179" s="166"/>
      <c r="W1179" s="166"/>
      <c r="X1179" s="166"/>
      <c r="Y1179" s="166"/>
      <c r="Z1179" s="166"/>
      <c r="AA1179" s="166"/>
      <c r="AB1179" s="166"/>
      <c r="AC1179" s="166"/>
      <c r="AD1179" s="166"/>
      <c r="AE1179" s="166"/>
      <c r="AF1179" s="166"/>
      <c r="AG1179" s="166"/>
      <c r="AH1179" s="166"/>
      <c r="AI1179" s="166"/>
    </row>
    <row r="1180" spans="7:35" x14ac:dyDescent="0.25">
      <c r="G1180" s="165"/>
      <c r="H1180" s="166"/>
      <c r="I1180" s="167"/>
      <c r="J1180" s="167"/>
      <c r="K1180" s="166"/>
      <c r="L1180" s="166"/>
      <c r="M1180" s="166"/>
      <c r="N1180" s="166"/>
      <c r="O1180" s="166"/>
      <c r="P1180" s="166"/>
      <c r="Q1180" s="166"/>
      <c r="R1180" s="166"/>
      <c r="S1180" s="166"/>
      <c r="T1180" s="166"/>
      <c r="U1180" s="166"/>
      <c r="V1180" s="166"/>
      <c r="W1180" s="166"/>
      <c r="X1180" s="166"/>
      <c r="Y1180" s="166"/>
      <c r="Z1180" s="166"/>
      <c r="AA1180" s="166"/>
      <c r="AB1180" s="166"/>
      <c r="AC1180" s="166"/>
      <c r="AD1180" s="166"/>
      <c r="AE1180" s="166"/>
      <c r="AF1180" s="166"/>
      <c r="AG1180" s="166"/>
      <c r="AH1180" s="166"/>
      <c r="AI1180" s="166"/>
    </row>
    <row r="1181" spans="7:35" x14ac:dyDescent="0.25">
      <c r="G1181" s="165"/>
      <c r="H1181" s="166"/>
      <c r="I1181" s="167"/>
      <c r="J1181" s="167"/>
      <c r="K1181" s="166"/>
      <c r="L1181" s="166"/>
      <c r="M1181" s="166"/>
      <c r="N1181" s="166"/>
      <c r="O1181" s="166"/>
      <c r="P1181" s="166"/>
      <c r="Q1181" s="166"/>
      <c r="R1181" s="166"/>
      <c r="S1181" s="166"/>
      <c r="T1181" s="166"/>
      <c r="U1181" s="166"/>
      <c r="V1181" s="166"/>
      <c r="W1181" s="166"/>
      <c r="X1181" s="166"/>
      <c r="Y1181" s="166"/>
      <c r="Z1181" s="166"/>
      <c r="AA1181" s="166"/>
      <c r="AB1181" s="166"/>
      <c r="AC1181" s="166"/>
      <c r="AD1181" s="166"/>
      <c r="AE1181" s="166"/>
      <c r="AF1181" s="166"/>
      <c r="AG1181" s="166"/>
      <c r="AH1181" s="166"/>
      <c r="AI1181" s="166"/>
    </row>
    <row r="1182" spans="7:35" x14ac:dyDescent="0.25">
      <c r="G1182" s="165"/>
      <c r="H1182" s="166"/>
      <c r="I1182" s="167"/>
      <c r="J1182" s="167"/>
      <c r="K1182" s="166"/>
      <c r="L1182" s="166"/>
      <c r="M1182" s="166"/>
      <c r="N1182" s="166"/>
      <c r="O1182" s="166"/>
      <c r="P1182" s="166"/>
      <c r="Q1182" s="166"/>
      <c r="R1182" s="166"/>
      <c r="S1182" s="166"/>
      <c r="T1182" s="166"/>
      <c r="U1182" s="166"/>
      <c r="V1182" s="166"/>
      <c r="W1182" s="166"/>
      <c r="X1182" s="166"/>
      <c r="Y1182" s="166"/>
      <c r="Z1182" s="166"/>
      <c r="AA1182" s="166"/>
      <c r="AB1182" s="166"/>
      <c r="AC1182" s="166"/>
      <c r="AD1182" s="166"/>
      <c r="AE1182" s="166"/>
      <c r="AF1182" s="166"/>
      <c r="AG1182" s="166"/>
      <c r="AH1182" s="166"/>
      <c r="AI1182" s="166"/>
    </row>
    <row r="1183" spans="7:35" x14ac:dyDescent="0.25">
      <c r="G1183" s="165"/>
      <c r="H1183" s="166"/>
      <c r="I1183" s="167"/>
      <c r="J1183" s="167"/>
      <c r="K1183" s="166"/>
      <c r="L1183" s="166"/>
      <c r="M1183" s="166"/>
      <c r="N1183" s="166"/>
      <c r="O1183" s="166"/>
      <c r="P1183" s="166"/>
      <c r="Q1183" s="166"/>
      <c r="R1183" s="166"/>
      <c r="S1183" s="166"/>
      <c r="T1183" s="166"/>
      <c r="U1183" s="166"/>
      <c r="V1183" s="166"/>
      <c r="W1183" s="166"/>
      <c r="X1183" s="166"/>
      <c r="Y1183" s="166"/>
      <c r="Z1183" s="166"/>
      <c r="AA1183" s="166"/>
      <c r="AB1183" s="166"/>
      <c r="AC1183" s="166"/>
      <c r="AD1183" s="166"/>
      <c r="AE1183" s="166"/>
      <c r="AF1183" s="166"/>
      <c r="AG1183" s="166"/>
      <c r="AH1183" s="166"/>
      <c r="AI1183" s="166"/>
    </row>
    <row r="1184" spans="7:35" x14ac:dyDescent="0.25">
      <c r="G1184" s="165"/>
      <c r="H1184" s="166"/>
      <c r="I1184" s="167"/>
      <c r="J1184" s="167"/>
      <c r="K1184" s="166"/>
      <c r="L1184" s="166"/>
      <c r="M1184" s="166"/>
      <c r="N1184" s="166"/>
      <c r="O1184" s="166"/>
      <c r="P1184" s="166"/>
      <c r="Q1184" s="166"/>
      <c r="R1184" s="166"/>
      <c r="S1184" s="166"/>
      <c r="T1184" s="166"/>
      <c r="U1184" s="166"/>
      <c r="V1184" s="166"/>
      <c r="W1184" s="166"/>
      <c r="X1184" s="166"/>
      <c r="Y1184" s="166"/>
      <c r="Z1184" s="166"/>
      <c r="AA1184" s="166"/>
      <c r="AB1184" s="166"/>
      <c r="AC1184" s="166"/>
      <c r="AD1184" s="166"/>
      <c r="AE1184" s="166"/>
      <c r="AF1184" s="166"/>
      <c r="AG1184" s="166"/>
      <c r="AH1184" s="166"/>
      <c r="AI1184" s="166"/>
    </row>
    <row r="1185" spans="7:35" x14ac:dyDescent="0.25">
      <c r="G1185" s="165"/>
      <c r="H1185" s="166"/>
      <c r="I1185" s="167"/>
      <c r="J1185" s="167"/>
      <c r="K1185" s="166"/>
      <c r="L1185" s="166"/>
      <c r="M1185" s="166"/>
      <c r="N1185" s="166"/>
      <c r="O1185" s="166"/>
      <c r="P1185" s="166"/>
      <c r="Q1185" s="166"/>
      <c r="R1185" s="166"/>
      <c r="S1185" s="166"/>
      <c r="T1185" s="166"/>
      <c r="U1185" s="166"/>
      <c r="V1185" s="166"/>
      <c r="W1185" s="166"/>
      <c r="X1185" s="166"/>
      <c r="Y1185" s="166"/>
      <c r="Z1185" s="166"/>
      <c r="AA1185" s="166"/>
      <c r="AB1185" s="166"/>
      <c r="AC1185" s="166"/>
      <c r="AD1185" s="166"/>
      <c r="AE1185" s="166"/>
      <c r="AF1185" s="166"/>
      <c r="AG1185" s="166"/>
      <c r="AH1185" s="166"/>
      <c r="AI1185" s="166"/>
    </row>
    <row r="1186" spans="7:35" x14ac:dyDescent="0.25">
      <c r="G1186" s="165"/>
      <c r="H1186" s="166"/>
      <c r="I1186" s="167"/>
      <c r="J1186" s="167"/>
      <c r="K1186" s="166"/>
      <c r="L1186" s="166"/>
      <c r="M1186" s="166"/>
      <c r="N1186" s="166"/>
      <c r="O1186" s="166"/>
      <c r="P1186" s="166"/>
      <c r="Q1186" s="166"/>
      <c r="R1186" s="166"/>
      <c r="S1186" s="166"/>
      <c r="T1186" s="166"/>
      <c r="U1186" s="166"/>
      <c r="V1186" s="166"/>
      <c r="W1186" s="166"/>
      <c r="X1186" s="166"/>
      <c r="Y1186" s="166"/>
      <c r="Z1186" s="166"/>
      <c r="AA1186" s="166"/>
      <c r="AB1186" s="166"/>
      <c r="AC1186" s="166"/>
      <c r="AD1186" s="166"/>
      <c r="AE1186" s="166"/>
      <c r="AF1186" s="166"/>
      <c r="AG1186" s="166"/>
      <c r="AH1186" s="166"/>
      <c r="AI1186" s="166"/>
    </row>
    <row r="1187" spans="7:35" x14ac:dyDescent="0.25">
      <c r="G1187" s="165"/>
      <c r="H1187" s="166"/>
      <c r="I1187" s="167"/>
      <c r="J1187" s="167"/>
      <c r="K1187" s="166"/>
      <c r="L1187" s="166"/>
      <c r="M1187" s="166"/>
      <c r="N1187" s="166"/>
      <c r="O1187" s="166"/>
      <c r="P1187" s="166"/>
      <c r="Q1187" s="166"/>
      <c r="R1187" s="166"/>
      <c r="S1187" s="166"/>
      <c r="T1187" s="166"/>
      <c r="U1187" s="166"/>
      <c r="V1187" s="166"/>
      <c r="W1187" s="166"/>
      <c r="X1187" s="166"/>
      <c r="Y1187" s="166"/>
      <c r="Z1187" s="166"/>
      <c r="AA1187" s="166"/>
      <c r="AB1187" s="166"/>
      <c r="AC1187" s="166"/>
      <c r="AD1187" s="166"/>
      <c r="AE1187" s="166"/>
      <c r="AF1187" s="166"/>
      <c r="AG1187" s="166"/>
      <c r="AH1187" s="166"/>
      <c r="AI1187" s="166"/>
    </row>
    <row r="1188" spans="7:35" x14ac:dyDescent="0.25">
      <c r="G1188" s="165"/>
      <c r="H1188" s="166"/>
      <c r="I1188" s="167"/>
      <c r="J1188" s="167"/>
      <c r="K1188" s="166"/>
      <c r="L1188" s="166"/>
      <c r="M1188" s="166"/>
      <c r="N1188" s="166"/>
      <c r="O1188" s="166"/>
      <c r="P1188" s="166"/>
      <c r="Q1188" s="166"/>
      <c r="R1188" s="166"/>
      <c r="S1188" s="166"/>
      <c r="T1188" s="166"/>
      <c r="U1188" s="166"/>
      <c r="V1188" s="166"/>
      <c r="W1188" s="166"/>
      <c r="X1188" s="166"/>
      <c r="Y1188" s="166"/>
      <c r="Z1188" s="166"/>
      <c r="AA1188" s="166"/>
      <c r="AB1188" s="166"/>
      <c r="AC1188" s="166"/>
      <c r="AD1188" s="166"/>
      <c r="AE1188" s="166"/>
      <c r="AF1188" s="166"/>
      <c r="AG1188" s="166"/>
      <c r="AH1188" s="166"/>
      <c r="AI1188" s="166"/>
    </row>
    <row r="1189" spans="7:35" x14ac:dyDescent="0.25">
      <c r="G1189" s="165"/>
      <c r="H1189" s="166"/>
      <c r="I1189" s="167"/>
      <c r="J1189" s="167"/>
      <c r="K1189" s="166"/>
      <c r="L1189" s="166"/>
      <c r="M1189" s="166"/>
      <c r="N1189" s="166"/>
      <c r="O1189" s="166"/>
      <c r="P1189" s="166"/>
      <c r="Q1189" s="166"/>
      <c r="R1189" s="166"/>
      <c r="S1189" s="166"/>
      <c r="T1189" s="166"/>
      <c r="U1189" s="166"/>
      <c r="V1189" s="166"/>
      <c r="W1189" s="166"/>
      <c r="X1189" s="166"/>
      <c r="Y1189" s="166"/>
      <c r="Z1189" s="166"/>
      <c r="AA1189" s="166"/>
      <c r="AB1189" s="166"/>
      <c r="AC1189" s="166"/>
      <c r="AD1189" s="166"/>
      <c r="AE1189" s="166"/>
      <c r="AF1189" s="166"/>
      <c r="AG1189" s="166"/>
      <c r="AH1189" s="166"/>
      <c r="AI1189" s="166"/>
    </row>
    <row r="1190" spans="7:35" x14ac:dyDescent="0.25">
      <c r="G1190" s="165"/>
      <c r="H1190" s="166"/>
      <c r="I1190" s="167"/>
      <c r="J1190" s="167"/>
      <c r="K1190" s="166"/>
      <c r="L1190" s="166"/>
      <c r="M1190" s="166"/>
      <c r="N1190" s="166"/>
      <c r="O1190" s="166"/>
      <c r="P1190" s="166"/>
      <c r="Q1190" s="166"/>
      <c r="R1190" s="166"/>
      <c r="S1190" s="166"/>
      <c r="T1190" s="166"/>
      <c r="U1190" s="166"/>
      <c r="V1190" s="166"/>
      <c r="W1190" s="166"/>
      <c r="X1190" s="166"/>
      <c r="Y1190" s="166"/>
      <c r="Z1190" s="166"/>
      <c r="AA1190" s="166"/>
      <c r="AB1190" s="166"/>
      <c r="AC1190" s="166"/>
      <c r="AD1190" s="166"/>
      <c r="AE1190" s="166"/>
      <c r="AF1190" s="166"/>
      <c r="AG1190" s="166"/>
      <c r="AH1190" s="166"/>
      <c r="AI1190" s="166"/>
    </row>
    <row r="1191" spans="7:35" x14ac:dyDescent="0.25">
      <c r="G1191" s="165"/>
      <c r="H1191" s="166"/>
      <c r="I1191" s="167"/>
      <c r="J1191" s="167"/>
      <c r="K1191" s="166"/>
      <c r="L1191" s="166"/>
      <c r="M1191" s="166"/>
      <c r="N1191" s="166"/>
      <c r="O1191" s="166"/>
      <c r="P1191" s="166"/>
      <c r="Q1191" s="166"/>
      <c r="R1191" s="166"/>
      <c r="S1191" s="166"/>
      <c r="T1191" s="166"/>
      <c r="U1191" s="166"/>
      <c r="V1191" s="166"/>
      <c r="W1191" s="166"/>
      <c r="X1191" s="166"/>
      <c r="Y1191" s="166"/>
      <c r="Z1191" s="166"/>
      <c r="AA1191" s="166"/>
      <c r="AB1191" s="166"/>
      <c r="AC1191" s="166"/>
      <c r="AD1191" s="166"/>
      <c r="AE1191" s="166"/>
      <c r="AF1191" s="166"/>
      <c r="AG1191" s="166"/>
      <c r="AH1191" s="166"/>
      <c r="AI1191" s="166"/>
    </row>
    <row r="1192" spans="7:35" x14ac:dyDescent="0.25">
      <c r="G1192" s="165"/>
      <c r="H1192" s="166"/>
      <c r="I1192" s="167"/>
      <c r="J1192" s="167"/>
      <c r="K1192" s="166"/>
      <c r="L1192" s="166"/>
      <c r="M1192" s="166"/>
      <c r="N1192" s="166"/>
      <c r="O1192" s="166"/>
      <c r="P1192" s="166"/>
      <c r="Q1192" s="166"/>
      <c r="R1192" s="166"/>
      <c r="S1192" s="166"/>
      <c r="T1192" s="166"/>
      <c r="U1192" s="166"/>
      <c r="V1192" s="166"/>
      <c r="W1192" s="166"/>
      <c r="X1192" s="166"/>
      <c r="Y1192" s="166"/>
      <c r="Z1192" s="166"/>
      <c r="AA1192" s="166"/>
      <c r="AB1192" s="166"/>
      <c r="AC1192" s="166"/>
      <c r="AD1192" s="166"/>
      <c r="AE1192" s="166"/>
      <c r="AF1192" s="166"/>
      <c r="AG1192" s="166"/>
      <c r="AH1192" s="166"/>
      <c r="AI1192" s="166"/>
    </row>
    <row r="1193" spans="7:35" x14ac:dyDescent="0.25">
      <c r="G1193" s="165"/>
      <c r="H1193" s="166"/>
      <c r="I1193" s="167"/>
      <c r="J1193" s="167"/>
      <c r="K1193" s="166"/>
      <c r="L1193" s="166"/>
      <c r="M1193" s="166"/>
      <c r="N1193" s="166"/>
      <c r="O1193" s="166"/>
      <c r="P1193" s="166"/>
      <c r="Q1193" s="166"/>
      <c r="R1193" s="166"/>
      <c r="S1193" s="166"/>
      <c r="T1193" s="166"/>
      <c r="U1193" s="166"/>
      <c r="V1193" s="166"/>
      <c r="W1193" s="166"/>
      <c r="X1193" s="166"/>
      <c r="Y1193" s="166"/>
      <c r="Z1193" s="166"/>
      <c r="AA1193" s="166"/>
      <c r="AB1193" s="166"/>
      <c r="AC1193" s="166"/>
      <c r="AD1193" s="166"/>
      <c r="AE1193" s="166"/>
      <c r="AF1193" s="166"/>
      <c r="AG1193" s="166"/>
      <c r="AH1193" s="166"/>
      <c r="AI1193" s="166"/>
    </row>
    <row r="1194" spans="7:35" x14ac:dyDescent="0.25">
      <c r="G1194" s="165"/>
      <c r="H1194" s="166"/>
      <c r="I1194" s="167"/>
      <c r="J1194" s="167"/>
      <c r="K1194" s="166"/>
      <c r="L1194" s="166"/>
      <c r="M1194" s="166"/>
      <c r="N1194" s="166"/>
      <c r="O1194" s="166"/>
      <c r="P1194" s="166"/>
      <c r="Q1194" s="166"/>
      <c r="R1194" s="166"/>
      <c r="S1194" s="166"/>
      <c r="T1194" s="166"/>
      <c r="U1194" s="166"/>
      <c r="V1194" s="166"/>
      <c r="W1194" s="166"/>
      <c r="X1194" s="166"/>
      <c r="Y1194" s="166"/>
      <c r="Z1194" s="166"/>
      <c r="AA1194" s="166"/>
      <c r="AB1194" s="166"/>
      <c r="AC1194" s="166"/>
      <c r="AD1194" s="166"/>
      <c r="AE1194" s="166"/>
      <c r="AF1194" s="166"/>
      <c r="AG1194" s="166"/>
      <c r="AH1194" s="166"/>
      <c r="AI1194" s="166"/>
    </row>
    <row r="1195" spans="7:35" x14ac:dyDescent="0.25">
      <c r="G1195" s="165"/>
      <c r="H1195" s="166"/>
      <c r="I1195" s="167"/>
      <c r="J1195" s="167"/>
      <c r="K1195" s="166"/>
      <c r="L1195" s="166"/>
      <c r="M1195" s="166"/>
      <c r="N1195" s="166"/>
      <c r="O1195" s="166"/>
      <c r="P1195" s="166"/>
      <c r="Q1195" s="166"/>
      <c r="R1195" s="166"/>
      <c r="S1195" s="166"/>
      <c r="T1195" s="166"/>
      <c r="U1195" s="166"/>
      <c r="V1195" s="166"/>
      <c r="W1195" s="166"/>
      <c r="X1195" s="166"/>
      <c r="Y1195" s="166"/>
      <c r="Z1195" s="166"/>
      <c r="AA1195" s="166"/>
      <c r="AB1195" s="166"/>
      <c r="AC1195" s="166"/>
      <c r="AD1195" s="166"/>
      <c r="AE1195" s="166"/>
      <c r="AF1195" s="166"/>
      <c r="AG1195" s="166"/>
      <c r="AH1195" s="166"/>
      <c r="AI1195" s="166"/>
    </row>
    <row r="1196" spans="7:35" x14ac:dyDescent="0.25">
      <c r="G1196" s="165"/>
      <c r="H1196" s="166"/>
      <c r="I1196" s="167"/>
      <c r="J1196" s="167"/>
      <c r="K1196" s="166"/>
      <c r="L1196" s="166"/>
      <c r="M1196" s="166"/>
      <c r="N1196" s="166"/>
      <c r="O1196" s="166"/>
      <c r="P1196" s="166"/>
      <c r="Q1196" s="166"/>
      <c r="R1196" s="166"/>
      <c r="S1196" s="166"/>
      <c r="T1196" s="166"/>
      <c r="U1196" s="166"/>
      <c r="V1196" s="166"/>
      <c r="W1196" s="166"/>
      <c r="X1196" s="166"/>
      <c r="Y1196" s="166"/>
      <c r="Z1196" s="166"/>
      <c r="AA1196" s="166"/>
      <c r="AB1196" s="166"/>
      <c r="AC1196" s="166"/>
      <c r="AD1196" s="166"/>
      <c r="AE1196" s="166"/>
      <c r="AF1196" s="166"/>
      <c r="AG1196" s="166"/>
      <c r="AH1196" s="166"/>
      <c r="AI1196" s="166"/>
    </row>
    <row r="1197" spans="7:35" x14ac:dyDescent="0.25">
      <c r="G1197" s="165"/>
      <c r="H1197" s="166"/>
      <c r="I1197" s="167"/>
      <c r="J1197" s="167"/>
      <c r="K1197" s="166"/>
      <c r="L1197" s="166"/>
      <c r="M1197" s="166"/>
      <c r="N1197" s="166"/>
      <c r="O1197" s="166"/>
      <c r="P1197" s="166"/>
      <c r="Q1197" s="166"/>
      <c r="R1197" s="166"/>
      <c r="S1197" s="166"/>
      <c r="T1197" s="166"/>
      <c r="U1197" s="166"/>
      <c r="V1197" s="166"/>
      <c r="W1197" s="166"/>
      <c r="X1197" s="166"/>
      <c r="Y1197" s="166"/>
      <c r="Z1197" s="166"/>
      <c r="AA1197" s="166"/>
      <c r="AB1197" s="166"/>
      <c r="AC1197" s="166"/>
      <c r="AD1197" s="166"/>
      <c r="AE1197" s="166"/>
      <c r="AF1197" s="166"/>
      <c r="AG1197" s="166"/>
      <c r="AH1197" s="166"/>
      <c r="AI1197" s="166"/>
    </row>
    <row r="1198" spans="7:35" x14ac:dyDescent="0.25">
      <c r="G1198" s="165"/>
      <c r="H1198" s="166"/>
      <c r="I1198" s="167"/>
      <c r="J1198" s="167"/>
      <c r="K1198" s="166"/>
      <c r="L1198" s="166"/>
      <c r="M1198" s="166"/>
      <c r="N1198" s="166"/>
      <c r="O1198" s="166"/>
      <c r="P1198" s="166"/>
      <c r="Q1198" s="166"/>
      <c r="R1198" s="166"/>
      <c r="S1198" s="166"/>
      <c r="T1198" s="166"/>
      <c r="U1198" s="166"/>
      <c r="V1198" s="166"/>
      <c r="W1198" s="166"/>
      <c r="X1198" s="166"/>
      <c r="Y1198" s="166"/>
      <c r="Z1198" s="166"/>
      <c r="AA1198" s="166"/>
      <c r="AB1198" s="166"/>
      <c r="AC1198" s="166"/>
      <c r="AD1198" s="166"/>
      <c r="AE1198" s="166"/>
      <c r="AF1198" s="166"/>
      <c r="AG1198" s="166"/>
      <c r="AH1198" s="166"/>
      <c r="AI1198" s="166"/>
    </row>
    <row r="1199" spans="7:35" x14ac:dyDescent="0.25">
      <c r="G1199" s="165"/>
      <c r="H1199" s="166"/>
      <c r="I1199" s="167"/>
      <c r="J1199" s="167"/>
      <c r="K1199" s="166"/>
      <c r="L1199" s="166"/>
      <c r="M1199" s="166"/>
      <c r="N1199" s="166"/>
      <c r="O1199" s="166"/>
      <c r="P1199" s="166"/>
      <c r="Q1199" s="166"/>
      <c r="R1199" s="166"/>
      <c r="S1199" s="166"/>
      <c r="T1199" s="166"/>
      <c r="U1199" s="166"/>
      <c r="V1199" s="166"/>
      <c r="W1199" s="166"/>
      <c r="X1199" s="166"/>
      <c r="Y1199" s="166"/>
      <c r="Z1199" s="166"/>
      <c r="AA1199" s="166"/>
      <c r="AB1199" s="166"/>
      <c r="AC1199" s="166"/>
      <c r="AD1199" s="166"/>
      <c r="AE1199" s="166"/>
      <c r="AF1199" s="166"/>
      <c r="AG1199" s="166"/>
      <c r="AH1199" s="166"/>
      <c r="AI1199" s="166"/>
    </row>
    <row r="1200" spans="7:35" x14ac:dyDescent="0.25">
      <c r="G1200" s="165"/>
      <c r="H1200" s="166"/>
      <c r="I1200" s="167"/>
      <c r="J1200" s="167"/>
      <c r="K1200" s="166"/>
      <c r="L1200" s="166"/>
      <c r="M1200" s="166"/>
      <c r="N1200" s="166"/>
      <c r="O1200" s="166"/>
      <c r="P1200" s="166"/>
      <c r="Q1200" s="166"/>
      <c r="R1200" s="166"/>
      <c r="S1200" s="166"/>
      <c r="T1200" s="166"/>
      <c r="U1200" s="166"/>
      <c r="V1200" s="166"/>
      <c r="W1200" s="166"/>
      <c r="X1200" s="166"/>
      <c r="Y1200" s="166"/>
      <c r="Z1200" s="166"/>
      <c r="AA1200" s="166"/>
      <c r="AB1200" s="166"/>
      <c r="AC1200" s="166"/>
      <c r="AD1200" s="166"/>
      <c r="AE1200" s="166"/>
      <c r="AF1200" s="166"/>
      <c r="AG1200" s="166"/>
      <c r="AH1200" s="166"/>
      <c r="AI1200" s="166"/>
    </row>
    <row r="1201" spans="7:35" x14ac:dyDescent="0.25">
      <c r="G1201" s="165"/>
      <c r="H1201" s="166"/>
      <c r="I1201" s="167"/>
      <c r="J1201" s="167"/>
      <c r="K1201" s="166"/>
      <c r="L1201" s="166"/>
      <c r="M1201" s="166"/>
      <c r="N1201" s="166"/>
      <c r="O1201" s="166"/>
      <c r="P1201" s="166"/>
      <c r="Q1201" s="166"/>
      <c r="R1201" s="166"/>
      <c r="S1201" s="166"/>
      <c r="T1201" s="166"/>
      <c r="U1201" s="166"/>
      <c r="V1201" s="166"/>
      <c r="W1201" s="166"/>
      <c r="X1201" s="166"/>
      <c r="Y1201" s="166"/>
      <c r="Z1201" s="166"/>
      <c r="AA1201" s="166"/>
      <c r="AB1201" s="166"/>
      <c r="AC1201" s="166"/>
      <c r="AD1201" s="166"/>
      <c r="AE1201" s="166"/>
      <c r="AF1201" s="166"/>
      <c r="AG1201" s="166"/>
      <c r="AH1201" s="166"/>
      <c r="AI1201" s="166"/>
    </row>
    <row r="1202" spans="7:35" x14ac:dyDescent="0.25">
      <c r="G1202" s="165"/>
      <c r="H1202" s="166"/>
      <c r="I1202" s="167"/>
      <c r="J1202" s="167"/>
      <c r="K1202" s="166"/>
      <c r="L1202" s="166"/>
      <c r="M1202" s="166"/>
      <c r="N1202" s="166"/>
      <c r="O1202" s="166"/>
      <c r="P1202" s="166"/>
      <c r="Q1202" s="166"/>
      <c r="R1202" s="166"/>
      <c r="S1202" s="166"/>
      <c r="T1202" s="166"/>
      <c r="U1202" s="166"/>
      <c r="V1202" s="166"/>
      <c r="W1202" s="166"/>
      <c r="X1202" s="166"/>
      <c r="Y1202" s="166"/>
      <c r="Z1202" s="166"/>
      <c r="AA1202" s="166"/>
      <c r="AB1202" s="166"/>
      <c r="AC1202" s="166"/>
      <c r="AD1202" s="166"/>
      <c r="AE1202" s="166"/>
      <c r="AF1202" s="166"/>
      <c r="AG1202" s="166"/>
      <c r="AH1202" s="166"/>
      <c r="AI1202" s="166"/>
    </row>
    <row r="1203" spans="7:35" x14ac:dyDescent="0.25">
      <c r="G1203" s="165"/>
      <c r="H1203" s="166"/>
      <c r="I1203" s="167"/>
      <c r="J1203" s="167"/>
      <c r="K1203" s="166"/>
      <c r="L1203" s="166"/>
      <c r="M1203" s="166"/>
      <c r="N1203" s="166"/>
      <c r="O1203" s="166"/>
      <c r="P1203" s="166"/>
      <c r="Q1203" s="166"/>
      <c r="R1203" s="166"/>
      <c r="S1203" s="166"/>
      <c r="T1203" s="166"/>
      <c r="U1203" s="166"/>
      <c r="V1203" s="166"/>
      <c r="W1203" s="166"/>
      <c r="X1203" s="166"/>
      <c r="Y1203" s="166"/>
      <c r="Z1203" s="166"/>
      <c r="AA1203" s="166"/>
      <c r="AB1203" s="166"/>
      <c r="AC1203" s="166"/>
      <c r="AD1203" s="166"/>
      <c r="AE1203" s="166"/>
      <c r="AF1203" s="166"/>
      <c r="AG1203" s="166"/>
      <c r="AH1203" s="166"/>
      <c r="AI1203" s="166"/>
    </row>
    <row r="1204" spans="7:35" x14ac:dyDescent="0.25">
      <c r="G1204" s="165"/>
      <c r="H1204" s="166"/>
      <c r="I1204" s="167"/>
      <c r="J1204" s="167"/>
      <c r="K1204" s="166"/>
      <c r="L1204" s="166"/>
      <c r="M1204" s="166"/>
      <c r="N1204" s="166"/>
      <c r="O1204" s="166"/>
      <c r="P1204" s="166"/>
      <c r="Q1204" s="166"/>
      <c r="R1204" s="166"/>
      <c r="S1204" s="166"/>
      <c r="T1204" s="166"/>
      <c r="U1204" s="166"/>
      <c r="V1204" s="166"/>
      <c r="W1204" s="166"/>
      <c r="X1204" s="166"/>
      <c r="Y1204" s="166"/>
      <c r="Z1204" s="166"/>
      <c r="AA1204" s="166"/>
      <c r="AB1204" s="166"/>
      <c r="AC1204" s="166"/>
      <c r="AD1204" s="166"/>
      <c r="AE1204" s="166"/>
      <c r="AF1204" s="166"/>
      <c r="AG1204" s="166"/>
      <c r="AH1204" s="166"/>
      <c r="AI1204" s="166"/>
    </row>
    <row r="1205" spans="7:35" x14ac:dyDescent="0.25">
      <c r="G1205" s="165"/>
      <c r="H1205" s="166"/>
      <c r="I1205" s="167"/>
      <c r="J1205" s="167"/>
      <c r="K1205" s="166"/>
      <c r="L1205" s="166"/>
      <c r="M1205" s="166"/>
      <c r="N1205" s="166"/>
      <c r="O1205" s="166"/>
      <c r="P1205" s="166"/>
      <c r="Q1205" s="166"/>
      <c r="R1205" s="166"/>
      <c r="S1205" s="166"/>
      <c r="T1205" s="166"/>
      <c r="U1205" s="166"/>
      <c r="V1205" s="166"/>
      <c r="W1205" s="166"/>
      <c r="X1205" s="166"/>
      <c r="Y1205" s="166"/>
      <c r="Z1205" s="166"/>
      <c r="AA1205" s="166"/>
      <c r="AB1205" s="166"/>
      <c r="AC1205" s="166"/>
      <c r="AD1205" s="166"/>
      <c r="AE1205" s="166"/>
      <c r="AF1205" s="166"/>
      <c r="AG1205" s="166"/>
      <c r="AH1205" s="166"/>
      <c r="AI1205" s="166"/>
    </row>
    <row r="1206" spans="7:35" x14ac:dyDescent="0.25">
      <c r="G1206" s="165"/>
      <c r="H1206" s="166"/>
      <c r="I1206" s="167"/>
      <c r="J1206" s="167"/>
      <c r="K1206" s="166"/>
      <c r="L1206" s="166"/>
      <c r="M1206" s="166"/>
      <c r="N1206" s="166"/>
      <c r="O1206" s="166"/>
      <c r="P1206" s="166"/>
      <c r="Q1206" s="166"/>
      <c r="R1206" s="166"/>
      <c r="S1206" s="166"/>
      <c r="T1206" s="166"/>
      <c r="U1206" s="166"/>
      <c r="V1206" s="166"/>
      <c r="W1206" s="166"/>
      <c r="X1206" s="166"/>
      <c r="Y1206" s="166"/>
      <c r="Z1206" s="166"/>
      <c r="AA1206" s="166"/>
      <c r="AB1206" s="166"/>
      <c r="AC1206" s="166"/>
      <c r="AD1206" s="166"/>
      <c r="AE1206" s="166"/>
      <c r="AF1206" s="166"/>
      <c r="AG1206" s="166"/>
      <c r="AH1206" s="166"/>
      <c r="AI1206" s="166"/>
    </row>
    <row r="1207" spans="7:35" x14ac:dyDescent="0.25">
      <c r="G1207" s="165"/>
      <c r="H1207" s="166"/>
      <c r="I1207" s="167"/>
      <c r="J1207" s="167"/>
      <c r="K1207" s="166"/>
      <c r="L1207" s="166"/>
      <c r="M1207" s="166"/>
      <c r="N1207" s="166"/>
      <c r="O1207" s="166"/>
      <c r="P1207" s="166"/>
      <c r="Q1207" s="166"/>
      <c r="R1207" s="166"/>
      <c r="S1207" s="166"/>
      <c r="T1207" s="166"/>
      <c r="U1207" s="166"/>
      <c r="V1207" s="166"/>
      <c r="W1207" s="166"/>
      <c r="X1207" s="166"/>
      <c r="Y1207" s="166"/>
      <c r="Z1207" s="166"/>
      <c r="AA1207" s="166"/>
      <c r="AB1207" s="166"/>
      <c r="AC1207" s="166"/>
      <c r="AD1207" s="166"/>
      <c r="AE1207" s="166"/>
      <c r="AF1207" s="166"/>
      <c r="AG1207" s="166"/>
      <c r="AH1207" s="166"/>
      <c r="AI1207" s="166"/>
    </row>
    <row r="1208" spans="7:35" x14ac:dyDescent="0.25">
      <c r="G1208" s="165"/>
      <c r="H1208" s="166"/>
      <c r="I1208" s="167"/>
      <c r="J1208" s="167"/>
      <c r="K1208" s="166"/>
      <c r="L1208" s="166"/>
      <c r="M1208" s="166"/>
      <c r="N1208" s="166"/>
      <c r="O1208" s="166"/>
      <c r="P1208" s="166"/>
      <c r="Q1208" s="166"/>
      <c r="R1208" s="166"/>
      <c r="S1208" s="166"/>
      <c r="T1208" s="166"/>
      <c r="U1208" s="166"/>
      <c r="V1208" s="166"/>
      <c r="W1208" s="166"/>
      <c r="X1208" s="166"/>
      <c r="Y1208" s="166"/>
      <c r="Z1208" s="166"/>
      <c r="AA1208" s="166"/>
      <c r="AB1208" s="166"/>
      <c r="AC1208" s="166"/>
      <c r="AD1208" s="166"/>
      <c r="AE1208" s="166"/>
      <c r="AF1208" s="166"/>
      <c r="AG1208" s="166"/>
      <c r="AH1208" s="166"/>
      <c r="AI1208" s="166"/>
    </row>
    <row r="1209" spans="7:35" x14ac:dyDescent="0.25">
      <c r="G1209" s="165"/>
      <c r="H1209" s="166"/>
      <c r="I1209" s="167"/>
      <c r="J1209" s="167"/>
      <c r="K1209" s="166"/>
      <c r="L1209" s="166"/>
      <c r="M1209" s="166"/>
      <c r="N1209" s="166"/>
      <c r="O1209" s="166"/>
      <c r="P1209" s="166"/>
      <c r="Q1209" s="166"/>
      <c r="R1209" s="166"/>
      <c r="S1209" s="166"/>
      <c r="T1209" s="166"/>
      <c r="U1209" s="166"/>
      <c r="V1209" s="166"/>
      <c r="W1209" s="166"/>
      <c r="X1209" s="166"/>
      <c r="Y1209" s="166"/>
      <c r="Z1209" s="166"/>
      <c r="AA1209" s="166"/>
      <c r="AB1209" s="166"/>
      <c r="AC1209" s="166"/>
      <c r="AD1209" s="166"/>
      <c r="AE1209" s="166"/>
      <c r="AF1209" s="166"/>
      <c r="AG1209" s="166"/>
      <c r="AH1209" s="166"/>
      <c r="AI1209" s="166"/>
    </row>
    <row r="1210" spans="7:35" x14ac:dyDescent="0.25">
      <c r="G1210" s="165"/>
      <c r="H1210" s="166"/>
      <c r="I1210" s="167"/>
      <c r="J1210" s="167"/>
      <c r="K1210" s="166"/>
      <c r="L1210" s="166"/>
      <c r="M1210" s="166"/>
      <c r="N1210" s="166"/>
      <c r="O1210" s="166"/>
      <c r="P1210" s="166"/>
      <c r="Q1210" s="166"/>
      <c r="R1210" s="166"/>
      <c r="S1210" s="166"/>
      <c r="T1210" s="166"/>
      <c r="U1210" s="166"/>
      <c r="V1210" s="166"/>
      <c r="W1210" s="166"/>
      <c r="X1210" s="166"/>
      <c r="Y1210" s="166"/>
      <c r="Z1210" s="166"/>
      <c r="AA1210" s="166"/>
      <c r="AB1210" s="166"/>
      <c r="AC1210" s="166"/>
      <c r="AD1210" s="166"/>
      <c r="AE1210" s="166"/>
      <c r="AF1210" s="166"/>
      <c r="AG1210" s="166"/>
      <c r="AH1210" s="166"/>
      <c r="AI1210" s="166"/>
    </row>
    <row r="1211" spans="7:35" x14ac:dyDescent="0.25">
      <c r="G1211" s="165"/>
      <c r="H1211" s="166"/>
      <c r="I1211" s="167"/>
      <c r="J1211" s="167"/>
      <c r="K1211" s="166"/>
      <c r="L1211" s="166"/>
      <c r="M1211" s="166"/>
      <c r="N1211" s="166"/>
      <c r="O1211" s="166"/>
      <c r="P1211" s="166"/>
      <c r="Q1211" s="166"/>
      <c r="R1211" s="166"/>
      <c r="S1211" s="166"/>
      <c r="T1211" s="166"/>
      <c r="U1211" s="166"/>
      <c r="V1211" s="166"/>
      <c r="W1211" s="166"/>
      <c r="X1211" s="166"/>
      <c r="Y1211" s="166"/>
      <c r="Z1211" s="166"/>
      <c r="AA1211" s="166"/>
      <c r="AB1211" s="166"/>
      <c r="AC1211" s="166"/>
      <c r="AD1211" s="166"/>
      <c r="AE1211" s="166"/>
      <c r="AF1211" s="166"/>
      <c r="AG1211" s="166"/>
      <c r="AH1211" s="166"/>
      <c r="AI1211" s="166"/>
    </row>
    <row r="1212" spans="7:35" x14ac:dyDescent="0.25">
      <c r="G1212" s="165"/>
      <c r="H1212" s="166"/>
      <c r="I1212" s="167"/>
      <c r="J1212" s="167"/>
      <c r="K1212" s="166"/>
      <c r="L1212" s="166"/>
      <c r="M1212" s="166"/>
      <c r="N1212" s="166"/>
      <c r="O1212" s="166"/>
      <c r="P1212" s="166"/>
      <c r="Q1212" s="166"/>
      <c r="R1212" s="166"/>
      <c r="S1212" s="166"/>
      <c r="T1212" s="166"/>
      <c r="U1212" s="166"/>
      <c r="V1212" s="166"/>
      <c r="W1212" s="166"/>
      <c r="X1212" s="166"/>
      <c r="Y1212" s="166"/>
      <c r="Z1212" s="166"/>
      <c r="AA1212" s="166"/>
      <c r="AB1212" s="166"/>
      <c r="AC1212" s="166"/>
      <c r="AD1212" s="166"/>
      <c r="AE1212" s="166"/>
      <c r="AF1212" s="166"/>
      <c r="AG1212" s="166"/>
      <c r="AH1212" s="166"/>
      <c r="AI1212" s="166"/>
    </row>
    <row r="1213" spans="7:35" x14ac:dyDescent="0.25">
      <c r="G1213" s="165"/>
      <c r="H1213" s="166"/>
      <c r="I1213" s="167"/>
      <c r="J1213" s="167"/>
      <c r="K1213" s="166"/>
      <c r="L1213" s="166"/>
      <c r="M1213" s="166"/>
      <c r="N1213" s="166"/>
      <c r="O1213" s="166"/>
      <c r="P1213" s="166"/>
      <c r="Q1213" s="166"/>
      <c r="R1213" s="166"/>
      <c r="S1213" s="166"/>
      <c r="T1213" s="166"/>
      <c r="U1213" s="166"/>
      <c r="V1213" s="166"/>
      <c r="W1213" s="166"/>
      <c r="X1213" s="166"/>
      <c r="Y1213" s="166"/>
      <c r="Z1213" s="166"/>
      <c r="AA1213" s="166"/>
      <c r="AB1213" s="166"/>
      <c r="AC1213" s="166"/>
      <c r="AD1213" s="166"/>
      <c r="AE1213" s="166"/>
      <c r="AF1213" s="166"/>
      <c r="AG1213" s="166"/>
      <c r="AH1213" s="166"/>
      <c r="AI1213" s="166"/>
    </row>
    <row r="1214" spans="7:35" x14ac:dyDescent="0.25">
      <c r="G1214" s="165"/>
      <c r="H1214" s="166"/>
      <c r="I1214" s="167"/>
      <c r="J1214" s="167"/>
      <c r="K1214" s="166"/>
      <c r="L1214" s="166"/>
      <c r="M1214" s="166"/>
      <c r="N1214" s="166"/>
      <c r="O1214" s="166"/>
      <c r="P1214" s="166"/>
      <c r="Q1214" s="166"/>
      <c r="R1214" s="166"/>
      <c r="S1214" s="166"/>
      <c r="T1214" s="166"/>
      <c r="U1214" s="166"/>
      <c r="V1214" s="166"/>
      <c r="W1214" s="166"/>
      <c r="X1214" s="166"/>
      <c r="Y1214" s="166"/>
      <c r="Z1214" s="166"/>
      <c r="AA1214" s="166"/>
      <c r="AB1214" s="166"/>
      <c r="AC1214" s="166"/>
      <c r="AD1214" s="166"/>
      <c r="AE1214" s="166"/>
      <c r="AF1214" s="166"/>
      <c r="AG1214" s="166"/>
      <c r="AH1214" s="166"/>
      <c r="AI1214" s="166"/>
    </row>
    <row r="1215" spans="7:35" x14ac:dyDescent="0.25">
      <c r="G1215" s="165"/>
      <c r="H1215" s="166"/>
      <c r="I1215" s="167"/>
      <c r="J1215" s="167"/>
      <c r="K1215" s="166"/>
      <c r="L1215" s="166"/>
      <c r="M1215" s="166"/>
      <c r="N1215" s="166"/>
      <c r="O1215" s="166"/>
      <c r="P1215" s="166"/>
      <c r="Q1215" s="166"/>
      <c r="R1215" s="166"/>
      <c r="S1215" s="166"/>
      <c r="T1215" s="166"/>
      <c r="U1215" s="166"/>
      <c r="V1215" s="166"/>
      <c r="W1215" s="166"/>
      <c r="X1215" s="166"/>
      <c r="Y1215" s="166"/>
      <c r="Z1215" s="166"/>
      <c r="AA1215" s="166"/>
      <c r="AB1215" s="166"/>
      <c r="AC1215" s="166"/>
      <c r="AD1215" s="166"/>
      <c r="AE1215" s="166"/>
      <c r="AF1215" s="166"/>
      <c r="AG1215" s="166"/>
      <c r="AH1215" s="166"/>
      <c r="AI1215" s="166"/>
    </row>
    <row r="1216" spans="7:35" x14ac:dyDescent="0.25">
      <c r="G1216" s="165"/>
      <c r="H1216" s="166"/>
      <c r="I1216" s="167"/>
      <c r="J1216" s="167"/>
      <c r="K1216" s="166"/>
      <c r="L1216" s="166"/>
      <c r="M1216" s="166"/>
      <c r="N1216" s="166"/>
      <c r="O1216" s="166"/>
      <c r="P1216" s="166"/>
      <c r="Q1216" s="166"/>
      <c r="R1216" s="166"/>
      <c r="S1216" s="166"/>
      <c r="T1216" s="166"/>
      <c r="U1216" s="166"/>
      <c r="V1216" s="166"/>
      <c r="W1216" s="166"/>
      <c r="X1216" s="166"/>
      <c r="Y1216" s="166"/>
      <c r="Z1216" s="166"/>
      <c r="AA1216" s="166"/>
      <c r="AB1216" s="166"/>
      <c r="AC1216" s="166"/>
      <c r="AD1216" s="166"/>
      <c r="AE1216" s="166"/>
      <c r="AF1216" s="166"/>
      <c r="AG1216" s="166"/>
      <c r="AH1216" s="166"/>
      <c r="AI1216" s="166"/>
    </row>
    <row r="1217" spans="7:35" x14ac:dyDescent="0.25">
      <c r="G1217" s="165"/>
      <c r="H1217" s="166"/>
      <c r="I1217" s="167"/>
      <c r="J1217" s="167"/>
      <c r="K1217" s="166"/>
      <c r="L1217" s="166"/>
      <c r="M1217" s="166"/>
      <c r="N1217" s="166"/>
      <c r="O1217" s="166"/>
      <c r="P1217" s="166"/>
      <c r="Q1217" s="166"/>
      <c r="R1217" s="166"/>
      <c r="S1217" s="166"/>
      <c r="T1217" s="166"/>
      <c r="U1217" s="166"/>
      <c r="V1217" s="166"/>
      <c r="W1217" s="166"/>
      <c r="X1217" s="166"/>
      <c r="Y1217" s="166"/>
      <c r="Z1217" s="166"/>
      <c r="AA1217" s="166"/>
      <c r="AB1217" s="166"/>
      <c r="AC1217" s="166"/>
      <c r="AD1217" s="166"/>
      <c r="AE1217" s="166"/>
      <c r="AF1217" s="166"/>
      <c r="AG1217" s="166"/>
      <c r="AH1217" s="166"/>
      <c r="AI1217" s="166"/>
    </row>
    <row r="1218" spans="7:35" x14ac:dyDescent="0.25">
      <c r="G1218" s="165"/>
      <c r="H1218" s="166"/>
      <c r="I1218" s="167"/>
      <c r="J1218" s="167"/>
      <c r="K1218" s="166"/>
      <c r="L1218" s="166"/>
      <c r="M1218" s="166"/>
      <c r="N1218" s="166"/>
      <c r="O1218" s="166"/>
      <c r="P1218" s="166"/>
      <c r="Q1218" s="166"/>
      <c r="R1218" s="166"/>
      <c r="S1218" s="166"/>
      <c r="T1218" s="166"/>
      <c r="U1218" s="166"/>
      <c r="V1218" s="166"/>
      <c r="W1218" s="166"/>
      <c r="X1218" s="166"/>
      <c r="Y1218" s="166"/>
      <c r="Z1218" s="166"/>
      <c r="AA1218" s="166"/>
      <c r="AB1218" s="166"/>
      <c r="AC1218" s="166"/>
      <c r="AD1218" s="166"/>
      <c r="AE1218" s="166"/>
      <c r="AF1218" s="166"/>
      <c r="AG1218" s="166"/>
      <c r="AH1218" s="166"/>
      <c r="AI1218" s="166"/>
    </row>
    <row r="1219" spans="7:35" x14ac:dyDescent="0.25">
      <c r="G1219" s="165"/>
      <c r="H1219" s="166"/>
      <c r="I1219" s="167"/>
      <c r="J1219" s="167"/>
      <c r="K1219" s="166"/>
      <c r="L1219" s="166"/>
      <c r="M1219" s="166"/>
      <c r="N1219" s="166"/>
      <c r="O1219" s="166"/>
      <c r="P1219" s="166"/>
      <c r="Q1219" s="166"/>
      <c r="R1219" s="166"/>
      <c r="S1219" s="166"/>
      <c r="T1219" s="166"/>
      <c r="U1219" s="166"/>
      <c r="V1219" s="166"/>
      <c r="W1219" s="166"/>
      <c r="X1219" s="166"/>
      <c r="Y1219" s="166"/>
      <c r="Z1219" s="166"/>
      <c r="AA1219" s="166"/>
      <c r="AB1219" s="166"/>
      <c r="AC1219" s="166"/>
      <c r="AD1219" s="166"/>
      <c r="AE1219" s="166"/>
      <c r="AF1219" s="166"/>
      <c r="AG1219" s="166"/>
      <c r="AH1219" s="166"/>
      <c r="AI1219" s="166"/>
    </row>
    <row r="1220" spans="7:35" x14ac:dyDescent="0.25">
      <c r="G1220" s="165"/>
      <c r="H1220" s="166"/>
      <c r="I1220" s="167"/>
      <c r="J1220" s="167"/>
      <c r="K1220" s="166"/>
      <c r="L1220" s="166"/>
      <c r="M1220" s="166"/>
      <c r="N1220" s="166"/>
      <c r="O1220" s="166"/>
      <c r="P1220" s="166"/>
      <c r="Q1220" s="166"/>
      <c r="R1220" s="166"/>
      <c r="S1220" s="166"/>
      <c r="T1220" s="166"/>
      <c r="U1220" s="166"/>
      <c r="V1220" s="166"/>
      <c r="W1220" s="166"/>
      <c r="X1220" s="166"/>
      <c r="Y1220" s="166"/>
      <c r="Z1220" s="166"/>
      <c r="AA1220" s="166"/>
      <c r="AB1220" s="166"/>
      <c r="AC1220" s="166"/>
      <c r="AD1220" s="166"/>
      <c r="AE1220" s="166"/>
      <c r="AF1220" s="166"/>
      <c r="AG1220" s="166"/>
      <c r="AH1220" s="166"/>
      <c r="AI1220" s="166"/>
    </row>
    <row r="1221" spans="7:35" x14ac:dyDescent="0.25">
      <c r="G1221" s="165"/>
      <c r="H1221" s="166"/>
      <c r="I1221" s="167"/>
      <c r="J1221" s="167"/>
      <c r="K1221" s="166"/>
      <c r="L1221" s="166"/>
      <c r="M1221" s="166"/>
      <c r="N1221" s="166"/>
      <c r="O1221" s="166"/>
      <c r="P1221" s="166"/>
      <c r="Q1221" s="166"/>
      <c r="R1221" s="166"/>
      <c r="S1221" s="166"/>
      <c r="T1221" s="166"/>
      <c r="U1221" s="166"/>
      <c r="V1221" s="166"/>
      <c r="W1221" s="166"/>
      <c r="X1221" s="166"/>
      <c r="Y1221" s="166"/>
      <c r="Z1221" s="166"/>
      <c r="AA1221" s="166"/>
      <c r="AB1221" s="166"/>
      <c r="AC1221" s="166"/>
      <c r="AD1221" s="166"/>
      <c r="AE1221" s="166"/>
      <c r="AF1221" s="166"/>
      <c r="AG1221" s="166"/>
      <c r="AH1221" s="166"/>
      <c r="AI1221" s="166"/>
    </row>
    <row r="1222" spans="7:35" x14ac:dyDescent="0.25">
      <c r="G1222" s="165"/>
      <c r="H1222" s="166"/>
      <c r="I1222" s="167"/>
      <c r="J1222" s="167"/>
      <c r="K1222" s="166"/>
      <c r="L1222" s="166"/>
      <c r="M1222" s="166"/>
      <c r="N1222" s="166"/>
      <c r="O1222" s="166"/>
      <c r="P1222" s="166"/>
      <c r="Q1222" s="166"/>
      <c r="R1222" s="166"/>
      <c r="S1222" s="166"/>
      <c r="T1222" s="166"/>
      <c r="U1222" s="166"/>
      <c r="V1222" s="166"/>
      <c r="W1222" s="166"/>
      <c r="X1222" s="166"/>
      <c r="Y1222" s="166"/>
      <c r="Z1222" s="166"/>
      <c r="AA1222" s="166"/>
      <c r="AB1222" s="166"/>
      <c r="AC1222" s="166"/>
      <c r="AD1222" s="166"/>
      <c r="AE1222" s="166"/>
      <c r="AF1222" s="166"/>
      <c r="AG1222" s="166"/>
      <c r="AH1222" s="166"/>
      <c r="AI1222" s="166"/>
    </row>
    <row r="1223" spans="7:35" x14ac:dyDescent="0.25">
      <c r="G1223" s="165"/>
      <c r="H1223" s="166"/>
      <c r="I1223" s="167"/>
      <c r="J1223" s="167"/>
      <c r="K1223" s="166"/>
      <c r="L1223" s="166"/>
      <c r="M1223" s="166"/>
      <c r="N1223" s="166"/>
      <c r="O1223" s="166"/>
      <c r="P1223" s="166"/>
      <c r="Q1223" s="166"/>
      <c r="R1223" s="166"/>
      <c r="S1223" s="166"/>
      <c r="T1223" s="166"/>
      <c r="U1223" s="166"/>
      <c r="V1223" s="166"/>
      <c r="W1223" s="166"/>
      <c r="X1223" s="166"/>
      <c r="Y1223" s="166"/>
      <c r="Z1223" s="166"/>
      <c r="AA1223" s="166"/>
      <c r="AB1223" s="166"/>
      <c r="AC1223" s="166"/>
      <c r="AD1223" s="166"/>
      <c r="AE1223" s="166"/>
      <c r="AF1223" s="166"/>
      <c r="AG1223" s="166"/>
      <c r="AH1223" s="166"/>
      <c r="AI1223" s="166"/>
    </row>
    <row r="1224" spans="7:35" x14ac:dyDescent="0.25">
      <c r="G1224" s="165"/>
      <c r="H1224" s="166"/>
      <c r="I1224" s="167"/>
      <c r="J1224" s="167"/>
      <c r="K1224" s="166"/>
      <c r="L1224" s="166"/>
      <c r="M1224" s="166"/>
      <c r="N1224" s="166"/>
      <c r="O1224" s="166"/>
      <c r="P1224" s="166"/>
      <c r="Q1224" s="166"/>
      <c r="R1224" s="166"/>
      <c r="S1224" s="166"/>
      <c r="T1224" s="166"/>
      <c r="U1224" s="166"/>
      <c r="V1224" s="166"/>
      <c r="W1224" s="166"/>
      <c r="X1224" s="166"/>
      <c r="Y1224" s="166"/>
      <c r="Z1224" s="166"/>
      <c r="AA1224" s="166"/>
      <c r="AB1224" s="166"/>
      <c r="AC1224" s="166"/>
      <c r="AD1224" s="166"/>
      <c r="AE1224" s="166"/>
      <c r="AF1224" s="166"/>
      <c r="AG1224" s="166"/>
      <c r="AH1224" s="166"/>
      <c r="AI1224" s="166"/>
    </row>
    <row r="1225" spans="7:35" x14ac:dyDescent="0.25">
      <c r="G1225" s="165"/>
      <c r="H1225" s="166"/>
      <c r="I1225" s="167"/>
      <c r="J1225" s="167"/>
      <c r="K1225" s="166"/>
      <c r="L1225" s="166"/>
      <c r="M1225" s="166"/>
      <c r="N1225" s="166"/>
      <c r="O1225" s="166"/>
      <c r="P1225" s="166"/>
      <c r="Q1225" s="166"/>
      <c r="R1225" s="166"/>
      <c r="S1225" s="166"/>
      <c r="T1225" s="166"/>
      <c r="U1225" s="166"/>
      <c r="V1225" s="166"/>
      <c r="W1225" s="166"/>
      <c r="X1225" s="166"/>
      <c r="Y1225" s="166"/>
      <c r="Z1225" s="166"/>
      <c r="AA1225" s="166"/>
      <c r="AB1225" s="166"/>
      <c r="AC1225" s="166"/>
      <c r="AD1225" s="166"/>
      <c r="AE1225" s="166"/>
      <c r="AF1225" s="166"/>
      <c r="AG1225" s="166"/>
      <c r="AH1225" s="166"/>
      <c r="AI1225" s="166"/>
    </row>
    <row r="1226" spans="7:35" x14ac:dyDescent="0.25">
      <c r="G1226" s="165"/>
      <c r="H1226" s="166"/>
      <c r="I1226" s="167"/>
      <c r="J1226" s="167"/>
      <c r="K1226" s="166"/>
      <c r="L1226" s="166"/>
      <c r="M1226" s="166"/>
      <c r="N1226" s="166"/>
      <c r="O1226" s="166"/>
      <c r="P1226" s="166"/>
      <c r="Q1226" s="166"/>
      <c r="R1226" s="166"/>
      <c r="S1226" s="166"/>
      <c r="T1226" s="166"/>
      <c r="U1226" s="166"/>
      <c r="V1226" s="166"/>
      <c r="W1226" s="166"/>
      <c r="X1226" s="166"/>
      <c r="Y1226" s="166"/>
      <c r="Z1226" s="166"/>
      <c r="AA1226" s="166"/>
      <c r="AB1226" s="166"/>
      <c r="AC1226" s="166"/>
      <c r="AD1226" s="166"/>
      <c r="AE1226" s="166"/>
      <c r="AF1226" s="166"/>
      <c r="AG1226" s="166"/>
      <c r="AH1226" s="166"/>
      <c r="AI1226" s="166"/>
    </row>
    <row r="1227" spans="7:35" x14ac:dyDescent="0.25">
      <c r="G1227" s="165"/>
      <c r="H1227" s="166"/>
      <c r="I1227" s="167"/>
      <c r="J1227" s="167"/>
      <c r="K1227" s="166"/>
      <c r="L1227" s="166"/>
      <c r="M1227" s="166"/>
      <c r="N1227" s="166"/>
      <c r="O1227" s="166"/>
      <c r="P1227" s="166"/>
      <c r="Q1227" s="166"/>
      <c r="R1227" s="166"/>
      <c r="S1227" s="166"/>
      <c r="T1227" s="166"/>
      <c r="U1227" s="166"/>
      <c r="V1227" s="166"/>
      <c r="W1227" s="166"/>
      <c r="X1227" s="166"/>
      <c r="Y1227" s="166"/>
      <c r="Z1227" s="166"/>
      <c r="AA1227" s="166"/>
      <c r="AB1227" s="166"/>
      <c r="AC1227" s="166"/>
      <c r="AD1227" s="166"/>
      <c r="AE1227" s="166"/>
      <c r="AF1227" s="166"/>
      <c r="AG1227" s="166"/>
      <c r="AH1227" s="166"/>
      <c r="AI1227" s="166"/>
    </row>
    <row r="1228" spans="7:35" x14ac:dyDescent="0.25">
      <c r="G1228" s="165"/>
      <c r="H1228" s="166"/>
      <c r="I1228" s="167"/>
      <c r="J1228" s="167"/>
      <c r="K1228" s="166"/>
      <c r="L1228" s="166"/>
      <c r="M1228" s="166"/>
      <c r="N1228" s="166"/>
      <c r="O1228" s="166"/>
      <c r="P1228" s="166"/>
      <c r="Q1228" s="166"/>
      <c r="R1228" s="166"/>
      <c r="S1228" s="166"/>
      <c r="T1228" s="166"/>
      <c r="U1228" s="166"/>
      <c r="V1228" s="166"/>
      <c r="W1228" s="166"/>
      <c r="X1228" s="166"/>
      <c r="Y1228" s="166"/>
      <c r="Z1228" s="166"/>
      <c r="AA1228" s="166"/>
      <c r="AB1228" s="166"/>
      <c r="AC1228" s="166"/>
      <c r="AD1228" s="166"/>
      <c r="AE1228" s="166"/>
      <c r="AF1228" s="166"/>
      <c r="AG1228" s="166"/>
      <c r="AH1228" s="166"/>
      <c r="AI1228" s="166"/>
    </row>
    <row r="1229" spans="7:35" x14ac:dyDescent="0.25">
      <c r="G1229" s="165"/>
      <c r="H1229" s="166"/>
      <c r="I1229" s="167"/>
      <c r="J1229" s="167"/>
      <c r="K1229" s="166"/>
      <c r="L1229" s="166"/>
      <c r="M1229" s="166"/>
      <c r="N1229" s="166"/>
      <c r="O1229" s="166"/>
      <c r="P1229" s="166"/>
      <c r="Q1229" s="166"/>
      <c r="R1229" s="166"/>
      <c r="S1229" s="166"/>
      <c r="T1229" s="166"/>
      <c r="U1229" s="166"/>
      <c r="V1229" s="166"/>
      <c r="W1229" s="166"/>
      <c r="X1229" s="166"/>
      <c r="Y1229" s="166"/>
      <c r="Z1229" s="166"/>
      <c r="AA1229" s="166"/>
      <c r="AB1229" s="166"/>
      <c r="AC1229" s="166"/>
      <c r="AD1229" s="166"/>
      <c r="AE1229" s="166"/>
      <c r="AF1229" s="166"/>
      <c r="AG1229" s="166"/>
      <c r="AH1229" s="166"/>
      <c r="AI1229" s="166"/>
    </row>
    <row r="1230" spans="7:35" x14ac:dyDescent="0.25">
      <c r="G1230" s="165"/>
      <c r="H1230" s="166"/>
      <c r="I1230" s="167"/>
      <c r="J1230" s="167"/>
      <c r="K1230" s="166"/>
      <c r="L1230" s="166"/>
      <c r="M1230" s="166"/>
      <c r="N1230" s="166"/>
      <c r="O1230" s="166"/>
      <c r="P1230" s="166"/>
      <c r="Q1230" s="166"/>
      <c r="R1230" s="166"/>
      <c r="S1230" s="166"/>
      <c r="T1230" s="166"/>
      <c r="U1230" s="166"/>
      <c r="V1230" s="166"/>
      <c r="W1230" s="166"/>
      <c r="X1230" s="166"/>
      <c r="Y1230" s="166"/>
      <c r="Z1230" s="166"/>
      <c r="AA1230" s="166"/>
      <c r="AB1230" s="166"/>
      <c r="AC1230" s="166"/>
      <c r="AD1230" s="166"/>
      <c r="AE1230" s="166"/>
      <c r="AF1230" s="166"/>
      <c r="AG1230" s="166"/>
      <c r="AH1230" s="166"/>
      <c r="AI1230" s="166"/>
    </row>
    <row r="1231" spans="7:35" x14ac:dyDescent="0.25">
      <c r="G1231" s="165"/>
      <c r="H1231" s="166"/>
      <c r="I1231" s="167"/>
      <c r="J1231" s="167"/>
      <c r="K1231" s="166"/>
      <c r="L1231" s="166"/>
      <c r="M1231" s="166"/>
      <c r="N1231" s="166"/>
      <c r="O1231" s="166"/>
      <c r="P1231" s="166"/>
      <c r="Q1231" s="166"/>
      <c r="R1231" s="166"/>
      <c r="S1231" s="166"/>
      <c r="T1231" s="166"/>
      <c r="U1231" s="166"/>
      <c r="V1231" s="166"/>
      <c r="W1231" s="166"/>
      <c r="X1231" s="166"/>
      <c r="Y1231" s="166"/>
      <c r="Z1231" s="166"/>
      <c r="AA1231" s="166"/>
      <c r="AB1231" s="166"/>
      <c r="AC1231" s="166"/>
      <c r="AD1231" s="166"/>
      <c r="AE1231" s="166"/>
      <c r="AF1231" s="166"/>
      <c r="AG1231" s="166"/>
      <c r="AH1231" s="166"/>
      <c r="AI1231" s="166"/>
    </row>
    <row r="1232" spans="7:35" x14ac:dyDescent="0.25">
      <c r="G1232" s="165"/>
      <c r="H1232" s="166"/>
      <c r="I1232" s="167"/>
      <c r="J1232" s="167"/>
      <c r="K1232" s="166"/>
      <c r="L1232" s="166"/>
      <c r="M1232" s="166"/>
      <c r="N1232" s="166"/>
      <c r="O1232" s="166"/>
      <c r="P1232" s="166"/>
      <c r="Q1232" s="166"/>
      <c r="R1232" s="166"/>
      <c r="S1232" s="166"/>
      <c r="T1232" s="166"/>
      <c r="U1232" s="166"/>
      <c r="V1232" s="166"/>
      <c r="W1232" s="166"/>
      <c r="X1232" s="166"/>
      <c r="Y1232" s="166"/>
      <c r="Z1232" s="166"/>
      <c r="AA1232" s="166"/>
      <c r="AB1232" s="166"/>
      <c r="AC1232" s="166"/>
      <c r="AD1232" s="166"/>
      <c r="AE1232" s="166"/>
      <c r="AF1232" s="166"/>
      <c r="AG1232" s="166"/>
      <c r="AH1232" s="166"/>
      <c r="AI1232" s="166"/>
    </row>
    <row r="1233" spans="7:35" x14ac:dyDescent="0.25">
      <c r="G1233" s="165"/>
      <c r="H1233" s="166"/>
      <c r="I1233" s="167"/>
      <c r="J1233" s="167"/>
      <c r="K1233" s="166"/>
      <c r="L1233" s="166"/>
      <c r="M1233" s="166"/>
      <c r="N1233" s="166"/>
      <c r="O1233" s="166"/>
      <c r="P1233" s="166"/>
      <c r="Q1233" s="166"/>
      <c r="R1233" s="166"/>
      <c r="S1233" s="166"/>
      <c r="T1233" s="166"/>
      <c r="U1233" s="166"/>
      <c r="V1233" s="166"/>
      <c r="W1233" s="166"/>
      <c r="X1233" s="166"/>
      <c r="Y1233" s="166"/>
      <c r="Z1233" s="166"/>
      <c r="AA1233" s="166"/>
      <c r="AB1233" s="166"/>
      <c r="AC1233" s="166"/>
      <c r="AD1233" s="166"/>
      <c r="AE1233" s="166"/>
      <c r="AF1233" s="166"/>
      <c r="AG1233" s="166"/>
      <c r="AH1233" s="166"/>
      <c r="AI1233" s="166"/>
    </row>
    <row r="1234" spans="7:35" x14ac:dyDescent="0.25">
      <c r="G1234" s="165"/>
      <c r="H1234" s="166"/>
      <c r="I1234" s="167"/>
      <c r="J1234" s="167"/>
      <c r="K1234" s="166"/>
      <c r="L1234" s="166"/>
      <c r="M1234" s="166"/>
      <c r="N1234" s="166"/>
      <c r="O1234" s="166"/>
      <c r="P1234" s="166"/>
      <c r="Q1234" s="166"/>
      <c r="R1234" s="166"/>
      <c r="S1234" s="166"/>
      <c r="T1234" s="166"/>
      <c r="U1234" s="166"/>
      <c r="V1234" s="166"/>
      <c r="W1234" s="166"/>
      <c r="X1234" s="166"/>
      <c r="Y1234" s="166"/>
      <c r="Z1234" s="166"/>
      <c r="AA1234" s="166"/>
      <c r="AB1234" s="166"/>
      <c r="AC1234" s="166"/>
      <c r="AD1234" s="166"/>
      <c r="AE1234" s="166"/>
      <c r="AF1234" s="166"/>
      <c r="AG1234" s="166"/>
      <c r="AH1234" s="166"/>
      <c r="AI1234" s="166"/>
    </row>
    <row r="1235" spans="7:35" x14ac:dyDescent="0.25">
      <c r="G1235" s="165"/>
      <c r="H1235" s="166"/>
      <c r="I1235" s="167"/>
      <c r="J1235" s="167"/>
      <c r="K1235" s="166"/>
      <c r="L1235" s="166"/>
      <c r="M1235" s="166"/>
      <c r="N1235" s="166"/>
      <c r="O1235" s="166"/>
      <c r="P1235" s="166"/>
      <c r="Q1235" s="166"/>
      <c r="R1235" s="166"/>
      <c r="S1235" s="166"/>
      <c r="T1235" s="166"/>
      <c r="U1235" s="166"/>
      <c r="V1235" s="166"/>
      <c r="W1235" s="166"/>
      <c r="X1235" s="166"/>
      <c r="Y1235" s="166"/>
      <c r="Z1235" s="166"/>
      <c r="AA1235" s="166"/>
      <c r="AB1235" s="166"/>
      <c r="AC1235" s="166"/>
      <c r="AD1235" s="166"/>
      <c r="AE1235" s="166"/>
      <c r="AF1235" s="166"/>
      <c r="AG1235" s="166"/>
      <c r="AH1235" s="166"/>
      <c r="AI1235" s="166"/>
    </row>
    <row r="1236" spans="7:35" x14ac:dyDescent="0.25">
      <c r="G1236" s="165"/>
      <c r="H1236" s="166"/>
      <c r="I1236" s="167"/>
      <c r="J1236" s="167"/>
      <c r="K1236" s="166"/>
      <c r="L1236" s="166"/>
      <c r="M1236" s="166"/>
      <c r="N1236" s="166"/>
      <c r="O1236" s="166"/>
      <c r="P1236" s="166"/>
      <c r="Q1236" s="166"/>
      <c r="R1236" s="166"/>
      <c r="S1236" s="166"/>
      <c r="T1236" s="166"/>
      <c r="U1236" s="166"/>
      <c r="V1236" s="166"/>
      <c r="W1236" s="166"/>
      <c r="X1236" s="166"/>
      <c r="Y1236" s="166"/>
      <c r="Z1236" s="166"/>
      <c r="AA1236" s="166"/>
      <c r="AB1236" s="166"/>
      <c r="AC1236" s="166"/>
      <c r="AD1236" s="166"/>
      <c r="AE1236" s="166"/>
      <c r="AF1236" s="166"/>
      <c r="AG1236" s="166"/>
      <c r="AH1236" s="166"/>
      <c r="AI1236" s="166"/>
    </row>
    <row r="1237" spans="7:35" x14ac:dyDescent="0.25">
      <c r="G1237" s="165"/>
      <c r="H1237" s="166"/>
      <c r="I1237" s="167"/>
      <c r="J1237" s="167"/>
      <c r="K1237" s="166"/>
      <c r="L1237" s="166"/>
      <c r="M1237" s="166"/>
      <c r="N1237" s="166"/>
      <c r="O1237" s="166"/>
      <c r="P1237" s="166"/>
      <c r="Q1237" s="166"/>
      <c r="R1237" s="166"/>
      <c r="S1237" s="166"/>
      <c r="T1237" s="166"/>
      <c r="U1237" s="166"/>
      <c r="V1237" s="166"/>
      <c r="W1237" s="166"/>
      <c r="X1237" s="166"/>
      <c r="Y1237" s="166"/>
      <c r="Z1237" s="166"/>
      <c r="AA1237" s="166"/>
      <c r="AB1237" s="166"/>
      <c r="AC1237" s="166"/>
      <c r="AD1237" s="166"/>
      <c r="AE1237" s="166"/>
      <c r="AF1237" s="166"/>
      <c r="AG1237" s="166"/>
      <c r="AH1237" s="166"/>
      <c r="AI1237" s="166"/>
    </row>
    <row r="1238" spans="7:35" x14ac:dyDescent="0.25">
      <c r="G1238" s="165"/>
      <c r="H1238" s="166"/>
      <c r="I1238" s="167"/>
      <c r="J1238" s="167"/>
      <c r="K1238" s="166"/>
      <c r="L1238" s="166"/>
      <c r="M1238" s="166"/>
      <c r="N1238" s="166"/>
      <c r="O1238" s="166"/>
      <c r="P1238" s="166"/>
      <c r="Q1238" s="166"/>
      <c r="R1238" s="166"/>
      <c r="S1238" s="166"/>
      <c r="T1238" s="166"/>
      <c r="U1238" s="166"/>
      <c r="V1238" s="166"/>
      <c r="W1238" s="166"/>
      <c r="X1238" s="166"/>
      <c r="Y1238" s="166"/>
      <c r="Z1238" s="166"/>
      <c r="AA1238" s="166"/>
      <c r="AB1238" s="166"/>
      <c r="AC1238" s="166"/>
      <c r="AD1238" s="166"/>
      <c r="AE1238" s="166"/>
      <c r="AF1238" s="166"/>
      <c r="AG1238" s="166"/>
      <c r="AH1238" s="166"/>
      <c r="AI1238" s="166"/>
    </row>
    <row r="1239" spans="7:35" x14ac:dyDescent="0.25">
      <c r="G1239" s="165"/>
      <c r="H1239" s="166"/>
      <c r="I1239" s="167"/>
      <c r="J1239" s="167"/>
      <c r="K1239" s="166"/>
      <c r="L1239" s="166"/>
      <c r="M1239" s="166"/>
      <c r="N1239" s="166"/>
      <c r="O1239" s="166"/>
      <c r="P1239" s="166"/>
      <c r="Q1239" s="166"/>
      <c r="R1239" s="166"/>
      <c r="S1239" s="166"/>
      <c r="T1239" s="166"/>
      <c r="U1239" s="166"/>
      <c r="V1239" s="166"/>
      <c r="W1239" s="166"/>
      <c r="X1239" s="166"/>
      <c r="Y1239" s="166"/>
      <c r="Z1239" s="166"/>
      <c r="AA1239" s="166"/>
      <c r="AB1239" s="166"/>
      <c r="AC1239" s="166"/>
      <c r="AD1239" s="166"/>
      <c r="AE1239" s="166"/>
      <c r="AF1239" s="166"/>
      <c r="AG1239" s="166"/>
      <c r="AH1239" s="166"/>
      <c r="AI1239" s="166"/>
    </row>
    <row r="1240" spans="7:35" x14ac:dyDescent="0.25">
      <c r="G1240" s="165"/>
      <c r="H1240" s="166"/>
      <c r="I1240" s="167"/>
      <c r="J1240" s="167"/>
      <c r="K1240" s="166"/>
      <c r="L1240" s="166"/>
      <c r="M1240" s="166"/>
      <c r="N1240" s="166"/>
      <c r="O1240" s="166"/>
      <c r="P1240" s="166"/>
      <c r="Q1240" s="166"/>
      <c r="R1240" s="166"/>
      <c r="S1240" s="166"/>
      <c r="T1240" s="166"/>
      <c r="U1240" s="166"/>
      <c r="V1240" s="166"/>
      <c r="W1240" s="166"/>
      <c r="X1240" s="166"/>
      <c r="Y1240" s="166"/>
      <c r="Z1240" s="166"/>
      <c r="AA1240" s="166"/>
      <c r="AB1240" s="166"/>
      <c r="AC1240" s="166"/>
      <c r="AD1240" s="166"/>
      <c r="AE1240" s="166"/>
      <c r="AF1240" s="166"/>
      <c r="AG1240" s="166"/>
      <c r="AH1240" s="166"/>
      <c r="AI1240" s="166"/>
    </row>
    <row r="1241" spans="7:35" x14ac:dyDescent="0.25">
      <c r="G1241" s="165"/>
      <c r="H1241" s="166"/>
      <c r="I1241" s="167"/>
      <c r="J1241" s="167"/>
      <c r="K1241" s="166"/>
      <c r="L1241" s="166"/>
      <c r="M1241" s="166"/>
      <c r="N1241" s="166"/>
      <c r="O1241" s="166"/>
      <c r="P1241" s="166"/>
      <c r="Q1241" s="166"/>
      <c r="R1241" s="166"/>
      <c r="S1241" s="166"/>
      <c r="T1241" s="166"/>
      <c r="U1241" s="166"/>
      <c r="V1241" s="166"/>
      <c r="W1241" s="166"/>
      <c r="X1241" s="166"/>
      <c r="Y1241" s="166"/>
      <c r="Z1241" s="166"/>
      <c r="AA1241" s="166"/>
      <c r="AB1241" s="166"/>
      <c r="AC1241" s="166"/>
      <c r="AD1241" s="166"/>
      <c r="AE1241" s="166"/>
      <c r="AF1241" s="166"/>
      <c r="AG1241" s="166"/>
      <c r="AH1241" s="166"/>
      <c r="AI1241" s="166"/>
    </row>
    <row r="1242" spans="7:35" x14ac:dyDescent="0.25">
      <c r="G1242" s="165"/>
      <c r="H1242" s="166"/>
      <c r="I1242" s="167"/>
      <c r="J1242" s="167"/>
      <c r="K1242" s="166"/>
      <c r="L1242" s="166"/>
      <c r="M1242" s="166"/>
      <c r="N1242" s="166"/>
      <c r="O1242" s="166"/>
      <c r="P1242" s="166"/>
      <c r="Q1242" s="166"/>
      <c r="R1242" s="166"/>
      <c r="S1242" s="166"/>
      <c r="T1242" s="166"/>
      <c r="U1242" s="166"/>
      <c r="V1242" s="166"/>
      <c r="W1242" s="166"/>
      <c r="X1242" s="166"/>
      <c r="Y1242" s="166"/>
      <c r="Z1242" s="166"/>
      <c r="AA1242" s="166"/>
      <c r="AB1242" s="166"/>
      <c r="AC1242" s="166"/>
      <c r="AD1242" s="166"/>
      <c r="AE1242" s="166"/>
      <c r="AF1242" s="166"/>
      <c r="AG1242" s="166"/>
      <c r="AH1242" s="166"/>
      <c r="AI1242" s="166"/>
    </row>
    <row r="1243" spans="7:35" x14ac:dyDescent="0.25">
      <c r="G1243" s="165"/>
      <c r="H1243" s="166"/>
      <c r="I1243" s="167"/>
      <c r="J1243" s="167"/>
      <c r="K1243" s="166"/>
      <c r="L1243" s="166"/>
      <c r="M1243" s="166"/>
      <c r="N1243" s="166"/>
      <c r="O1243" s="166"/>
      <c r="P1243" s="166"/>
      <c r="Q1243" s="166"/>
      <c r="R1243" s="166"/>
      <c r="S1243" s="166"/>
      <c r="T1243" s="166"/>
      <c r="U1243" s="166"/>
      <c r="V1243" s="166"/>
      <c r="W1243" s="166"/>
      <c r="X1243" s="166"/>
      <c r="Y1243" s="166"/>
      <c r="Z1243" s="166"/>
      <c r="AA1243" s="166"/>
      <c r="AB1243" s="166"/>
      <c r="AC1243" s="166"/>
      <c r="AD1243" s="166"/>
      <c r="AE1243" s="166"/>
      <c r="AF1243" s="166"/>
      <c r="AG1243" s="166"/>
      <c r="AH1243" s="166"/>
      <c r="AI1243" s="166"/>
    </row>
    <row r="1244" spans="7:35" x14ac:dyDescent="0.25">
      <c r="G1244" s="165"/>
      <c r="H1244" s="166"/>
      <c r="I1244" s="167"/>
      <c r="J1244" s="167"/>
      <c r="K1244" s="166"/>
      <c r="L1244" s="166"/>
      <c r="M1244" s="166"/>
      <c r="N1244" s="166"/>
      <c r="O1244" s="166"/>
      <c r="P1244" s="166"/>
      <c r="Q1244" s="166"/>
      <c r="R1244" s="166"/>
      <c r="S1244" s="166"/>
      <c r="T1244" s="166"/>
      <c r="U1244" s="166"/>
      <c r="V1244" s="166"/>
      <c r="W1244" s="166"/>
      <c r="X1244" s="166"/>
      <c r="Y1244" s="166"/>
      <c r="Z1244" s="166"/>
      <c r="AA1244" s="166"/>
      <c r="AB1244" s="166"/>
      <c r="AC1244" s="166"/>
      <c r="AD1244" s="166"/>
      <c r="AE1244" s="166"/>
      <c r="AF1244" s="166"/>
      <c r="AG1244" s="166"/>
      <c r="AH1244" s="166"/>
      <c r="AI1244" s="166"/>
    </row>
    <row r="1245" spans="7:35" x14ac:dyDescent="0.25">
      <c r="G1245" s="165"/>
      <c r="H1245" s="166"/>
      <c r="I1245" s="167"/>
      <c r="J1245" s="167"/>
      <c r="K1245" s="166"/>
      <c r="L1245" s="166"/>
      <c r="M1245" s="166"/>
      <c r="N1245" s="166"/>
      <c r="O1245" s="166"/>
      <c r="P1245" s="166"/>
      <c r="Q1245" s="166"/>
      <c r="R1245" s="166"/>
      <c r="S1245" s="166"/>
      <c r="T1245" s="166"/>
      <c r="U1245" s="166"/>
      <c r="V1245" s="166"/>
      <c r="W1245" s="166"/>
      <c r="X1245" s="166"/>
      <c r="Y1245" s="166"/>
      <c r="Z1245" s="166"/>
      <c r="AA1245" s="166"/>
      <c r="AB1245" s="166"/>
      <c r="AC1245" s="166"/>
      <c r="AD1245" s="166"/>
      <c r="AE1245" s="166"/>
      <c r="AF1245" s="166"/>
      <c r="AG1245" s="166"/>
      <c r="AH1245" s="166"/>
      <c r="AI1245" s="166"/>
    </row>
    <row r="1246" spans="7:35" x14ac:dyDescent="0.25">
      <c r="G1246" s="165"/>
      <c r="H1246" s="166"/>
      <c r="I1246" s="167"/>
      <c r="J1246" s="167"/>
      <c r="K1246" s="166"/>
      <c r="L1246" s="166"/>
      <c r="M1246" s="166"/>
      <c r="N1246" s="166"/>
      <c r="O1246" s="166"/>
      <c r="P1246" s="166"/>
      <c r="Q1246" s="166"/>
      <c r="R1246" s="166"/>
      <c r="S1246" s="166"/>
      <c r="T1246" s="166"/>
      <c r="U1246" s="166"/>
      <c r="V1246" s="166"/>
      <c r="W1246" s="166"/>
      <c r="X1246" s="166"/>
      <c r="Y1246" s="166"/>
      <c r="Z1246" s="166"/>
      <c r="AA1246" s="166"/>
      <c r="AB1246" s="166"/>
      <c r="AC1246" s="166"/>
      <c r="AD1246" s="166"/>
      <c r="AE1246" s="166"/>
      <c r="AF1246" s="166"/>
      <c r="AG1246" s="166"/>
      <c r="AH1246" s="166"/>
      <c r="AI1246" s="166"/>
    </row>
    <row r="1247" spans="7:35" x14ac:dyDescent="0.25">
      <c r="G1247" s="165"/>
      <c r="H1247" s="166"/>
      <c r="I1247" s="167"/>
      <c r="J1247" s="167"/>
      <c r="K1247" s="166"/>
      <c r="L1247" s="166"/>
      <c r="M1247" s="166"/>
      <c r="N1247" s="166"/>
      <c r="O1247" s="166"/>
      <c r="P1247" s="166"/>
      <c r="Q1247" s="166"/>
      <c r="R1247" s="166"/>
      <c r="S1247" s="166"/>
      <c r="T1247" s="166"/>
      <c r="U1247" s="166"/>
      <c r="V1247" s="166"/>
      <c r="W1247" s="166"/>
      <c r="X1247" s="166"/>
      <c r="Y1247" s="166"/>
      <c r="Z1247" s="166"/>
      <c r="AA1247" s="166"/>
      <c r="AB1247" s="166"/>
      <c r="AC1247" s="166"/>
      <c r="AD1247" s="166"/>
      <c r="AE1247" s="166"/>
      <c r="AF1247" s="166"/>
      <c r="AG1247" s="166"/>
      <c r="AH1247" s="166"/>
      <c r="AI1247" s="166"/>
    </row>
    <row r="1248" spans="7:35" x14ac:dyDescent="0.25">
      <c r="G1248" s="165"/>
      <c r="H1248" s="166"/>
      <c r="I1248" s="167"/>
      <c r="J1248" s="167"/>
      <c r="K1248" s="166"/>
      <c r="L1248" s="166"/>
      <c r="M1248" s="166"/>
      <c r="N1248" s="166"/>
      <c r="O1248" s="166"/>
      <c r="P1248" s="166"/>
      <c r="Q1248" s="166"/>
      <c r="R1248" s="166"/>
      <c r="S1248" s="166"/>
      <c r="T1248" s="166"/>
      <c r="U1248" s="166"/>
      <c r="V1248" s="166"/>
      <c r="W1248" s="166"/>
      <c r="X1248" s="166"/>
      <c r="Y1248" s="166"/>
      <c r="Z1248" s="166"/>
      <c r="AA1248" s="166"/>
      <c r="AB1248" s="166"/>
      <c r="AC1248" s="166"/>
      <c r="AD1248" s="166"/>
      <c r="AE1248" s="166"/>
      <c r="AF1248" s="166"/>
      <c r="AG1248" s="166"/>
      <c r="AH1248" s="166"/>
      <c r="AI1248" s="166"/>
    </row>
    <row r="1249" spans="7:35" x14ac:dyDescent="0.25">
      <c r="G1249" s="165"/>
      <c r="H1249" s="166"/>
      <c r="I1249" s="167"/>
      <c r="J1249" s="167"/>
      <c r="K1249" s="166"/>
      <c r="L1249" s="166"/>
      <c r="M1249" s="166"/>
      <c r="N1249" s="166"/>
      <c r="O1249" s="166"/>
      <c r="P1249" s="166"/>
      <c r="Q1249" s="166"/>
      <c r="R1249" s="166"/>
      <c r="S1249" s="166"/>
      <c r="T1249" s="166"/>
      <c r="U1249" s="166"/>
      <c r="V1249" s="166"/>
      <c r="W1249" s="166"/>
      <c r="X1249" s="166"/>
      <c r="Y1249" s="166"/>
      <c r="Z1249" s="166"/>
      <c r="AA1249" s="166"/>
      <c r="AB1249" s="166"/>
      <c r="AC1249" s="166"/>
      <c r="AD1249" s="166"/>
      <c r="AE1249" s="166"/>
      <c r="AF1249" s="166"/>
      <c r="AG1249" s="166"/>
      <c r="AH1249" s="166"/>
      <c r="AI1249" s="166"/>
    </row>
    <row r="1250" spans="7:35" x14ac:dyDescent="0.25">
      <c r="G1250" s="165"/>
      <c r="H1250" s="166"/>
      <c r="I1250" s="167"/>
      <c r="J1250" s="167"/>
      <c r="K1250" s="166"/>
      <c r="L1250" s="166"/>
      <c r="M1250" s="166"/>
      <c r="N1250" s="166"/>
      <c r="O1250" s="166"/>
      <c r="P1250" s="166"/>
      <c r="Q1250" s="166"/>
      <c r="R1250" s="166"/>
      <c r="S1250" s="166"/>
      <c r="T1250" s="166"/>
      <c r="U1250" s="166"/>
      <c r="V1250" s="166"/>
      <c r="W1250" s="166"/>
      <c r="X1250" s="166"/>
      <c r="Y1250" s="166"/>
      <c r="Z1250" s="166"/>
      <c r="AA1250" s="166"/>
      <c r="AB1250" s="166"/>
      <c r="AC1250" s="166"/>
      <c r="AD1250" s="166"/>
      <c r="AE1250" s="166"/>
      <c r="AF1250" s="166"/>
      <c r="AG1250" s="166"/>
      <c r="AH1250" s="166"/>
      <c r="AI1250" s="166"/>
    </row>
    <row r="1251" spans="7:35" x14ac:dyDescent="0.25">
      <c r="G1251" s="165"/>
      <c r="H1251" s="166"/>
      <c r="I1251" s="167"/>
      <c r="J1251" s="167"/>
      <c r="K1251" s="166"/>
      <c r="L1251" s="166"/>
      <c r="M1251" s="166"/>
      <c r="N1251" s="166"/>
      <c r="O1251" s="166"/>
      <c r="P1251" s="166"/>
      <c r="Q1251" s="166"/>
      <c r="R1251" s="166"/>
      <c r="S1251" s="166"/>
      <c r="T1251" s="166"/>
      <c r="U1251" s="166"/>
      <c r="V1251" s="166"/>
      <c r="W1251" s="166"/>
      <c r="X1251" s="166"/>
      <c r="Y1251" s="166"/>
      <c r="Z1251" s="166"/>
      <c r="AA1251" s="166"/>
      <c r="AB1251" s="166"/>
      <c r="AC1251" s="166"/>
      <c r="AD1251" s="166"/>
      <c r="AE1251" s="166"/>
      <c r="AF1251" s="166"/>
      <c r="AG1251" s="166"/>
      <c r="AH1251" s="166"/>
      <c r="AI1251" s="166"/>
    </row>
    <row r="1252" spans="7:35" x14ac:dyDescent="0.25">
      <c r="G1252" s="165"/>
      <c r="H1252" s="166"/>
      <c r="I1252" s="167"/>
      <c r="J1252" s="167"/>
      <c r="K1252" s="166"/>
      <c r="L1252" s="166"/>
      <c r="M1252" s="166"/>
      <c r="N1252" s="166"/>
      <c r="O1252" s="166"/>
      <c r="P1252" s="166"/>
      <c r="Q1252" s="166"/>
      <c r="R1252" s="166"/>
      <c r="S1252" s="166"/>
      <c r="T1252" s="166"/>
      <c r="U1252" s="166"/>
      <c r="V1252" s="166"/>
      <c r="W1252" s="166"/>
      <c r="X1252" s="166"/>
      <c r="Y1252" s="166"/>
      <c r="Z1252" s="166"/>
      <c r="AA1252" s="166"/>
      <c r="AB1252" s="166"/>
      <c r="AC1252" s="166"/>
      <c r="AD1252" s="166"/>
      <c r="AE1252" s="166"/>
      <c r="AF1252" s="166"/>
      <c r="AG1252" s="166"/>
      <c r="AH1252" s="166"/>
      <c r="AI1252" s="166"/>
    </row>
    <row r="1253" spans="7:35" x14ac:dyDescent="0.25">
      <c r="G1253" s="165"/>
      <c r="H1253" s="166"/>
      <c r="I1253" s="167"/>
      <c r="J1253" s="167"/>
      <c r="K1253" s="166"/>
      <c r="L1253" s="166"/>
      <c r="M1253" s="166"/>
      <c r="N1253" s="166"/>
      <c r="O1253" s="166"/>
      <c r="P1253" s="166"/>
      <c r="Q1253" s="166"/>
      <c r="R1253" s="166"/>
      <c r="S1253" s="166"/>
      <c r="T1253" s="166"/>
      <c r="U1253" s="166"/>
      <c r="V1253" s="166"/>
      <c r="W1253" s="166"/>
      <c r="X1253" s="166"/>
      <c r="Y1253" s="166"/>
      <c r="Z1253" s="166"/>
      <c r="AA1253" s="166"/>
      <c r="AB1253" s="166"/>
      <c r="AC1253" s="166"/>
      <c r="AD1253" s="166"/>
      <c r="AE1253" s="166"/>
      <c r="AF1253" s="166"/>
      <c r="AG1253" s="166"/>
      <c r="AH1253" s="166"/>
      <c r="AI1253" s="166"/>
    </row>
    <row r="1254" spans="7:35" x14ac:dyDescent="0.25">
      <c r="G1254" s="165"/>
      <c r="H1254" s="166"/>
      <c r="I1254" s="167"/>
      <c r="J1254" s="167"/>
      <c r="K1254" s="166"/>
      <c r="L1254" s="166"/>
      <c r="M1254" s="166"/>
      <c r="N1254" s="166"/>
      <c r="O1254" s="166"/>
      <c r="P1254" s="166"/>
      <c r="Q1254" s="166"/>
      <c r="R1254" s="166"/>
      <c r="S1254" s="166"/>
      <c r="T1254" s="166"/>
      <c r="U1254" s="166"/>
      <c r="V1254" s="166"/>
      <c r="W1254" s="166"/>
      <c r="X1254" s="166"/>
      <c r="Y1254" s="166"/>
      <c r="Z1254" s="166"/>
      <c r="AA1254" s="166"/>
      <c r="AB1254" s="166"/>
      <c r="AC1254" s="166"/>
      <c r="AD1254" s="166"/>
      <c r="AE1254" s="166"/>
      <c r="AF1254" s="166"/>
      <c r="AG1254" s="166"/>
      <c r="AH1254" s="166"/>
      <c r="AI1254" s="166"/>
    </row>
    <row r="1255" spans="7:35" x14ac:dyDescent="0.25">
      <c r="G1255" s="165"/>
      <c r="H1255" s="166"/>
      <c r="I1255" s="167"/>
      <c r="J1255" s="167"/>
      <c r="K1255" s="166"/>
      <c r="L1255" s="166"/>
      <c r="M1255" s="166"/>
      <c r="N1255" s="166"/>
      <c r="O1255" s="166"/>
      <c r="P1255" s="166"/>
      <c r="Q1255" s="166"/>
      <c r="R1255" s="166"/>
      <c r="S1255" s="166"/>
      <c r="T1255" s="166"/>
      <c r="U1255" s="166"/>
      <c r="V1255" s="166"/>
      <c r="W1255" s="166"/>
      <c r="X1255" s="166"/>
      <c r="Y1255" s="166"/>
      <c r="Z1255" s="166"/>
      <c r="AA1255" s="166"/>
      <c r="AB1255" s="166"/>
      <c r="AC1255" s="166"/>
      <c r="AD1255" s="166"/>
      <c r="AE1255" s="166"/>
      <c r="AF1255" s="166"/>
      <c r="AG1255" s="166"/>
      <c r="AH1255" s="166"/>
      <c r="AI1255" s="166"/>
    </row>
    <row r="1256" spans="7:35" x14ac:dyDescent="0.25">
      <c r="G1256" s="165"/>
      <c r="H1256" s="166"/>
      <c r="I1256" s="167"/>
      <c r="J1256" s="167"/>
      <c r="K1256" s="166"/>
      <c r="L1256" s="166"/>
      <c r="M1256" s="166"/>
      <c r="N1256" s="166"/>
      <c r="O1256" s="166"/>
      <c r="P1256" s="166"/>
      <c r="Q1256" s="166"/>
      <c r="R1256" s="166"/>
      <c r="S1256" s="166"/>
      <c r="T1256" s="166"/>
      <c r="U1256" s="166"/>
      <c r="V1256" s="166"/>
      <c r="W1256" s="166"/>
      <c r="X1256" s="166"/>
      <c r="Y1256" s="166"/>
      <c r="Z1256" s="166"/>
      <c r="AA1256" s="166"/>
      <c r="AB1256" s="166"/>
      <c r="AC1256" s="166"/>
      <c r="AD1256" s="166"/>
      <c r="AE1256" s="166"/>
      <c r="AF1256" s="166"/>
      <c r="AG1256" s="166"/>
      <c r="AH1256" s="166"/>
      <c r="AI1256" s="166"/>
    </row>
    <row r="1257" spans="7:35" x14ac:dyDescent="0.25">
      <c r="G1257" s="165"/>
      <c r="H1257" s="166"/>
      <c r="I1257" s="167"/>
      <c r="J1257" s="167"/>
      <c r="K1257" s="166"/>
      <c r="L1257" s="166"/>
      <c r="M1257" s="166"/>
      <c r="N1257" s="166"/>
      <c r="O1257" s="166"/>
      <c r="P1257" s="166"/>
      <c r="Q1257" s="166"/>
      <c r="R1257" s="166"/>
      <c r="S1257" s="166"/>
      <c r="T1257" s="166"/>
      <c r="U1257" s="166"/>
      <c r="V1257" s="166"/>
      <c r="W1257" s="166"/>
      <c r="X1257" s="166"/>
      <c r="Y1257" s="166"/>
      <c r="Z1257" s="166"/>
      <c r="AA1257" s="166"/>
      <c r="AB1257" s="166"/>
      <c r="AC1257" s="166"/>
      <c r="AD1257" s="166"/>
      <c r="AE1257" s="166"/>
      <c r="AF1257" s="166"/>
      <c r="AG1257" s="166"/>
      <c r="AH1257" s="166"/>
      <c r="AI1257" s="166"/>
    </row>
    <row r="1258" spans="7:35" x14ac:dyDescent="0.25">
      <c r="G1258" s="165"/>
      <c r="H1258" s="166"/>
      <c r="I1258" s="167"/>
      <c r="J1258" s="167"/>
      <c r="K1258" s="166"/>
      <c r="L1258" s="166"/>
      <c r="M1258" s="166"/>
      <c r="N1258" s="166"/>
      <c r="O1258" s="166"/>
      <c r="P1258" s="166"/>
      <c r="Q1258" s="166"/>
      <c r="R1258" s="166"/>
      <c r="S1258" s="166"/>
      <c r="T1258" s="166"/>
      <c r="U1258" s="166"/>
      <c r="V1258" s="166"/>
      <c r="W1258" s="166"/>
      <c r="X1258" s="166"/>
      <c r="Y1258" s="166"/>
      <c r="Z1258" s="166"/>
      <c r="AA1258" s="166"/>
      <c r="AB1258" s="166"/>
      <c r="AC1258" s="166"/>
      <c r="AD1258" s="166"/>
      <c r="AE1258" s="166"/>
      <c r="AF1258" s="166"/>
      <c r="AG1258" s="166"/>
      <c r="AH1258" s="166"/>
      <c r="AI1258" s="166"/>
    </row>
    <row r="1259" spans="7:35" x14ac:dyDescent="0.25">
      <c r="G1259" s="165"/>
      <c r="H1259" s="166"/>
      <c r="I1259" s="167"/>
      <c r="J1259" s="167"/>
      <c r="K1259" s="166"/>
      <c r="L1259" s="166"/>
      <c r="M1259" s="166"/>
      <c r="N1259" s="166"/>
      <c r="O1259" s="166"/>
      <c r="P1259" s="166"/>
      <c r="Q1259" s="166"/>
      <c r="R1259" s="166"/>
      <c r="S1259" s="166"/>
      <c r="T1259" s="166"/>
      <c r="U1259" s="166"/>
      <c r="V1259" s="166"/>
      <c r="W1259" s="166"/>
      <c r="X1259" s="166"/>
      <c r="Y1259" s="166"/>
      <c r="Z1259" s="166"/>
      <c r="AA1259" s="166"/>
      <c r="AB1259" s="166"/>
      <c r="AC1259" s="166"/>
      <c r="AD1259" s="166"/>
      <c r="AE1259" s="166"/>
      <c r="AF1259" s="166"/>
      <c r="AG1259" s="166"/>
      <c r="AH1259" s="166"/>
      <c r="AI1259" s="166"/>
    </row>
    <row r="1260" spans="7:35" x14ac:dyDescent="0.25">
      <c r="G1260" s="165"/>
      <c r="H1260" s="166"/>
      <c r="I1260" s="167"/>
      <c r="J1260" s="167"/>
      <c r="K1260" s="166"/>
      <c r="L1260" s="166"/>
      <c r="M1260" s="166"/>
      <c r="N1260" s="166"/>
      <c r="O1260" s="166"/>
      <c r="P1260" s="166"/>
      <c r="Q1260" s="166"/>
      <c r="R1260" s="166"/>
      <c r="S1260" s="166"/>
      <c r="T1260" s="166"/>
      <c r="U1260" s="166"/>
      <c r="V1260" s="166"/>
      <c r="W1260" s="166"/>
      <c r="X1260" s="166"/>
      <c r="Y1260" s="166"/>
      <c r="Z1260" s="166"/>
      <c r="AA1260" s="166"/>
      <c r="AB1260" s="166"/>
      <c r="AC1260" s="166"/>
      <c r="AD1260" s="166"/>
      <c r="AE1260" s="166"/>
      <c r="AF1260" s="166"/>
      <c r="AG1260" s="166"/>
      <c r="AH1260" s="166"/>
      <c r="AI1260" s="166"/>
    </row>
    <row r="1261" spans="7:35" x14ac:dyDescent="0.25">
      <c r="G1261" s="165"/>
      <c r="H1261" s="166"/>
      <c r="I1261" s="167"/>
      <c r="J1261" s="167"/>
      <c r="K1261" s="166"/>
      <c r="L1261" s="166"/>
      <c r="M1261" s="166"/>
      <c r="N1261" s="166"/>
      <c r="O1261" s="166"/>
      <c r="P1261" s="166"/>
      <c r="Q1261" s="166"/>
      <c r="R1261" s="166"/>
      <c r="S1261" s="166"/>
      <c r="T1261" s="166"/>
      <c r="U1261" s="166"/>
      <c r="V1261" s="166"/>
      <c r="W1261" s="166"/>
      <c r="X1261" s="166"/>
      <c r="Y1261" s="166"/>
      <c r="Z1261" s="166"/>
      <c r="AA1261" s="166"/>
      <c r="AB1261" s="166"/>
      <c r="AC1261" s="166"/>
      <c r="AD1261" s="166"/>
      <c r="AE1261" s="166"/>
      <c r="AF1261" s="166"/>
      <c r="AG1261" s="166"/>
      <c r="AH1261" s="166"/>
      <c r="AI1261" s="166"/>
    </row>
    <row r="1262" spans="7:35" x14ac:dyDescent="0.25">
      <c r="G1262" s="165"/>
      <c r="H1262" s="166"/>
      <c r="I1262" s="167"/>
      <c r="J1262" s="167"/>
      <c r="K1262" s="166"/>
      <c r="L1262" s="166"/>
      <c r="M1262" s="166"/>
      <c r="N1262" s="166"/>
      <c r="O1262" s="166"/>
      <c r="P1262" s="166"/>
      <c r="Q1262" s="166"/>
      <c r="R1262" s="166"/>
      <c r="S1262" s="166"/>
      <c r="T1262" s="166"/>
      <c r="U1262" s="166"/>
      <c r="V1262" s="166"/>
      <c r="W1262" s="166"/>
      <c r="X1262" s="166"/>
      <c r="Y1262" s="166"/>
      <c r="Z1262" s="166"/>
      <c r="AA1262" s="166"/>
      <c r="AB1262" s="166"/>
      <c r="AC1262" s="166"/>
      <c r="AD1262" s="166"/>
      <c r="AE1262" s="166"/>
      <c r="AF1262" s="166"/>
      <c r="AG1262" s="166"/>
      <c r="AH1262" s="166"/>
      <c r="AI1262" s="166"/>
    </row>
    <row r="1263" spans="7:35" x14ac:dyDescent="0.25">
      <c r="G1263" s="165"/>
      <c r="H1263" s="166"/>
      <c r="I1263" s="167"/>
      <c r="J1263" s="167"/>
      <c r="K1263" s="166"/>
      <c r="L1263" s="166"/>
      <c r="M1263" s="166"/>
      <c r="N1263" s="166"/>
      <c r="O1263" s="166"/>
      <c r="P1263" s="166"/>
      <c r="Q1263" s="166"/>
      <c r="R1263" s="166"/>
      <c r="S1263" s="166"/>
      <c r="T1263" s="166"/>
      <c r="U1263" s="166"/>
      <c r="V1263" s="166"/>
      <c r="W1263" s="166"/>
      <c r="X1263" s="166"/>
      <c r="Y1263" s="166"/>
      <c r="Z1263" s="166"/>
      <c r="AA1263" s="166"/>
      <c r="AB1263" s="166"/>
      <c r="AC1263" s="166"/>
      <c r="AD1263" s="166"/>
      <c r="AE1263" s="166"/>
      <c r="AF1263" s="166"/>
      <c r="AG1263" s="166"/>
      <c r="AH1263" s="166"/>
      <c r="AI1263" s="166"/>
    </row>
    <row r="1264" spans="7:35" x14ac:dyDescent="0.25">
      <c r="G1264" s="165"/>
      <c r="H1264" s="166"/>
      <c r="I1264" s="167"/>
      <c r="J1264" s="167"/>
      <c r="K1264" s="166"/>
      <c r="L1264" s="166"/>
      <c r="M1264" s="166"/>
      <c r="N1264" s="166"/>
      <c r="O1264" s="166"/>
      <c r="P1264" s="166"/>
      <c r="Q1264" s="166"/>
      <c r="R1264" s="166"/>
      <c r="S1264" s="166"/>
      <c r="T1264" s="166"/>
      <c r="U1264" s="166"/>
      <c r="V1264" s="166"/>
      <c r="W1264" s="166"/>
      <c r="X1264" s="166"/>
      <c r="Y1264" s="166"/>
      <c r="Z1264" s="166"/>
      <c r="AA1264" s="166"/>
      <c r="AB1264" s="166"/>
      <c r="AC1264" s="166"/>
      <c r="AD1264" s="166"/>
      <c r="AE1264" s="166"/>
      <c r="AF1264" s="166"/>
      <c r="AG1264" s="166"/>
      <c r="AH1264" s="166"/>
      <c r="AI1264" s="166"/>
    </row>
    <row r="1265" spans="7:35" x14ac:dyDescent="0.25">
      <c r="G1265" s="165"/>
      <c r="H1265" s="166"/>
      <c r="I1265" s="167"/>
      <c r="J1265" s="167"/>
      <c r="K1265" s="166"/>
      <c r="L1265" s="166"/>
      <c r="M1265" s="166"/>
      <c r="N1265" s="166"/>
      <c r="O1265" s="166"/>
      <c r="P1265" s="166"/>
      <c r="Q1265" s="166"/>
      <c r="R1265" s="166"/>
      <c r="S1265" s="166"/>
      <c r="T1265" s="166"/>
      <c r="U1265" s="166"/>
      <c r="V1265" s="166"/>
      <c r="W1265" s="166"/>
      <c r="X1265" s="166"/>
      <c r="Y1265" s="166"/>
      <c r="Z1265" s="166"/>
      <c r="AA1265" s="166"/>
      <c r="AB1265" s="166"/>
      <c r="AC1265" s="166"/>
      <c r="AD1265" s="166"/>
      <c r="AE1265" s="166"/>
      <c r="AF1265" s="166"/>
      <c r="AG1265" s="166"/>
      <c r="AH1265" s="166"/>
      <c r="AI1265" s="166"/>
    </row>
    <row r="1266" spans="7:35" x14ac:dyDescent="0.25">
      <c r="G1266" s="165"/>
      <c r="H1266" s="166"/>
      <c r="I1266" s="167"/>
      <c r="J1266" s="167"/>
      <c r="K1266" s="166"/>
      <c r="L1266" s="166"/>
      <c r="M1266" s="166"/>
      <c r="N1266" s="166"/>
      <c r="O1266" s="166"/>
      <c r="P1266" s="166"/>
      <c r="Q1266" s="166"/>
      <c r="R1266" s="166"/>
      <c r="S1266" s="166"/>
      <c r="T1266" s="166"/>
      <c r="U1266" s="166"/>
      <c r="V1266" s="166"/>
      <c r="W1266" s="166"/>
      <c r="X1266" s="166"/>
      <c r="Y1266" s="166"/>
      <c r="Z1266" s="166"/>
      <c r="AA1266" s="166"/>
      <c r="AB1266" s="166"/>
      <c r="AC1266" s="166"/>
      <c r="AD1266" s="166"/>
      <c r="AE1266" s="166"/>
      <c r="AF1266" s="166"/>
      <c r="AG1266" s="166"/>
      <c r="AH1266" s="166"/>
      <c r="AI1266" s="166"/>
    </row>
    <row r="1267" spans="7:35" x14ac:dyDescent="0.25">
      <c r="G1267" s="165"/>
      <c r="H1267" s="166"/>
      <c r="I1267" s="167"/>
      <c r="J1267" s="167"/>
      <c r="K1267" s="166"/>
      <c r="L1267" s="166"/>
      <c r="M1267" s="166"/>
      <c r="N1267" s="166"/>
      <c r="O1267" s="166"/>
      <c r="P1267" s="166"/>
      <c r="Q1267" s="166"/>
      <c r="R1267" s="166"/>
      <c r="S1267" s="166"/>
      <c r="T1267" s="166"/>
      <c r="U1267" s="166"/>
      <c r="V1267" s="166"/>
      <c r="W1267" s="166"/>
      <c r="X1267" s="166"/>
      <c r="Y1267" s="166"/>
      <c r="Z1267" s="166"/>
      <c r="AA1267" s="166"/>
      <c r="AB1267" s="166"/>
      <c r="AC1267" s="166"/>
      <c r="AD1267" s="166"/>
      <c r="AE1267" s="166"/>
      <c r="AF1267" s="166"/>
      <c r="AG1267" s="166"/>
      <c r="AH1267" s="166"/>
      <c r="AI1267" s="166"/>
    </row>
    <row r="1268" spans="7:35" x14ac:dyDescent="0.25">
      <c r="G1268" s="165"/>
      <c r="H1268" s="166"/>
      <c r="I1268" s="167"/>
      <c r="J1268" s="167"/>
      <c r="K1268" s="166"/>
      <c r="L1268" s="166"/>
      <c r="M1268" s="166"/>
      <c r="N1268" s="166"/>
      <c r="O1268" s="166"/>
      <c r="P1268" s="166"/>
      <c r="Q1268" s="166"/>
      <c r="R1268" s="166"/>
      <c r="S1268" s="166"/>
      <c r="T1268" s="166"/>
      <c r="U1268" s="166"/>
      <c r="V1268" s="166"/>
      <c r="W1268" s="166"/>
      <c r="X1268" s="166"/>
      <c r="Y1268" s="166"/>
      <c r="Z1268" s="166"/>
      <c r="AA1268" s="166"/>
      <c r="AB1268" s="166"/>
      <c r="AC1268" s="166"/>
      <c r="AD1268" s="166"/>
      <c r="AE1268" s="166"/>
      <c r="AF1268" s="166"/>
      <c r="AG1268" s="166"/>
      <c r="AH1268" s="166"/>
      <c r="AI1268" s="166"/>
    </row>
    <row r="1269" spans="7:35" x14ac:dyDescent="0.25">
      <c r="G1269" s="165"/>
      <c r="H1269" s="166"/>
      <c r="I1269" s="167"/>
      <c r="J1269" s="167"/>
      <c r="K1269" s="166"/>
      <c r="L1269" s="166"/>
      <c r="M1269" s="166"/>
      <c r="N1269" s="166"/>
      <c r="O1269" s="166"/>
      <c r="P1269" s="166"/>
      <c r="Q1269" s="166"/>
      <c r="R1269" s="166"/>
      <c r="S1269" s="166"/>
      <c r="T1269" s="166"/>
      <c r="U1269" s="166"/>
      <c r="V1269" s="166"/>
      <c r="W1269" s="166"/>
      <c r="X1269" s="166"/>
      <c r="Y1269" s="166"/>
      <c r="Z1269" s="166"/>
      <c r="AA1269" s="166"/>
      <c r="AB1269" s="166"/>
      <c r="AC1269" s="166"/>
      <c r="AD1269" s="166"/>
      <c r="AE1269" s="166"/>
      <c r="AF1269" s="166"/>
      <c r="AG1269" s="166"/>
      <c r="AH1269" s="166"/>
      <c r="AI1269" s="166"/>
    </row>
    <row r="1270" spans="7:35" x14ac:dyDescent="0.25">
      <c r="G1270" s="165"/>
      <c r="H1270" s="166"/>
      <c r="I1270" s="167"/>
      <c r="J1270" s="167"/>
      <c r="K1270" s="166"/>
      <c r="L1270" s="166"/>
      <c r="M1270" s="166"/>
      <c r="N1270" s="166"/>
      <c r="O1270" s="166"/>
      <c r="P1270" s="166"/>
      <c r="Q1270" s="166"/>
      <c r="R1270" s="166"/>
      <c r="S1270" s="166"/>
      <c r="T1270" s="166"/>
      <c r="U1270" s="166"/>
      <c r="V1270" s="166"/>
      <c r="W1270" s="166"/>
      <c r="X1270" s="166"/>
      <c r="Y1270" s="166"/>
      <c r="Z1270" s="166"/>
      <c r="AA1270" s="166"/>
      <c r="AB1270" s="166"/>
      <c r="AC1270" s="166"/>
      <c r="AD1270" s="166"/>
      <c r="AE1270" s="166"/>
      <c r="AF1270" s="166"/>
      <c r="AG1270" s="166"/>
      <c r="AH1270" s="166"/>
      <c r="AI1270" s="166"/>
    </row>
    <row r="1271" spans="7:35" x14ac:dyDescent="0.25">
      <c r="G1271" s="165"/>
      <c r="H1271" s="166"/>
      <c r="I1271" s="167"/>
      <c r="J1271" s="167"/>
      <c r="K1271" s="166"/>
      <c r="L1271" s="166"/>
      <c r="M1271" s="166"/>
      <c r="N1271" s="166"/>
      <c r="O1271" s="166"/>
      <c r="P1271" s="166"/>
      <c r="Q1271" s="166"/>
      <c r="R1271" s="166"/>
      <c r="S1271" s="166"/>
      <c r="T1271" s="166"/>
      <c r="U1271" s="166"/>
      <c r="V1271" s="166"/>
      <c r="W1271" s="166"/>
      <c r="X1271" s="166"/>
      <c r="Y1271" s="166"/>
      <c r="Z1271" s="166"/>
      <c r="AA1271" s="166"/>
      <c r="AB1271" s="166"/>
      <c r="AC1271" s="166"/>
      <c r="AD1271" s="166"/>
      <c r="AE1271" s="166"/>
      <c r="AF1271" s="166"/>
      <c r="AG1271" s="166"/>
      <c r="AH1271" s="166"/>
      <c r="AI1271" s="166"/>
    </row>
    <row r="1272" spans="7:35" x14ac:dyDescent="0.25">
      <c r="G1272" s="165"/>
      <c r="H1272" s="166"/>
      <c r="I1272" s="167"/>
      <c r="J1272" s="167"/>
      <c r="K1272" s="166"/>
      <c r="L1272" s="166"/>
      <c r="M1272" s="166"/>
      <c r="N1272" s="166"/>
      <c r="O1272" s="166"/>
      <c r="P1272" s="166"/>
      <c r="Q1272" s="166"/>
      <c r="R1272" s="166"/>
      <c r="S1272" s="166"/>
      <c r="T1272" s="166"/>
      <c r="U1272" s="166"/>
      <c r="V1272" s="166"/>
      <c r="W1272" s="166"/>
      <c r="X1272" s="166"/>
      <c r="Y1272" s="166"/>
      <c r="Z1272" s="166"/>
      <c r="AA1272" s="166"/>
      <c r="AB1272" s="166"/>
      <c r="AC1272" s="166"/>
      <c r="AD1272" s="166"/>
      <c r="AE1272" s="166"/>
      <c r="AF1272" s="166"/>
      <c r="AG1272" s="166"/>
      <c r="AH1272" s="166"/>
      <c r="AI1272" s="166"/>
    </row>
    <row r="1273" spans="7:35" x14ac:dyDescent="0.25">
      <c r="G1273" s="165"/>
      <c r="H1273" s="166"/>
      <c r="I1273" s="167"/>
      <c r="J1273" s="167"/>
      <c r="K1273" s="166"/>
      <c r="L1273" s="166"/>
      <c r="M1273" s="166"/>
      <c r="N1273" s="166"/>
      <c r="O1273" s="166"/>
      <c r="P1273" s="166"/>
      <c r="Q1273" s="166"/>
      <c r="R1273" s="166"/>
      <c r="S1273" s="166"/>
      <c r="T1273" s="166"/>
      <c r="U1273" s="166"/>
      <c r="V1273" s="166"/>
      <c r="W1273" s="166"/>
      <c r="X1273" s="166"/>
      <c r="Y1273" s="166"/>
      <c r="Z1273" s="166"/>
      <c r="AA1273" s="166"/>
      <c r="AB1273" s="166"/>
      <c r="AC1273" s="166"/>
      <c r="AD1273" s="166"/>
      <c r="AE1273" s="166"/>
      <c r="AF1273" s="166"/>
      <c r="AG1273" s="166"/>
      <c r="AH1273" s="166"/>
      <c r="AI1273" s="166"/>
    </row>
    <row r="1274" spans="7:35" x14ac:dyDescent="0.25">
      <c r="G1274" s="165"/>
      <c r="H1274" s="166"/>
      <c r="I1274" s="167"/>
      <c r="J1274" s="167"/>
      <c r="K1274" s="166"/>
      <c r="L1274" s="166"/>
      <c r="M1274" s="166"/>
      <c r="N1274" s="166"/>
      <c r="O1274" s="166"/>
      <c r="P1274" s="166"/>
      <c r="Q1274" s="166"/>
      <c r="R1274" s="166"/>
      <c r="S1274" s="166"/>
      <c r="T1274" s="166"/>
      <c r="U1274" s="166"/>
      <c r="V1274" s="166"/>
      <c r="W1274" s="166"/>
      <c r="X1274" s="166"/>
      <c r="Y1274" s="166"/>
      <c r="Z1274" s="166"/>
      <c r="AA1274" s="166"/>
      <c r="AB1274" s="166"/>
      <c r="AC1274" s="166"/>
      <c r="AD1274" s="166"/>
      <c r="AE1274" s="166"/>
      <c r="AF1274" s="166"/>
      <c r="AG1274" s="166"/>
      <c r="AH1274" s="166"/>
      <c r="AI1274" s="166"/>
    </row>
    <row r="1275" spans="7:35" x14ac:dyDescent="0.25">
      <c r="G1275" s="165"/>
      <c r="H1275" s="166"/>
      <c r="I1275" s="167"/>
      <c r="J1275" s="167"/>
      <c r="K1275" s="166"/>
      <c r="L1275" s="166"/>
      <c r="M1275" s="166"/>
      <c r="N1275" s="166"/>
      <c r="O1275" s="166"/>
      <c r="P1275" s="166"/>
      <c r="Q1275" s="166"/>
      <c r="R1275" s="166"/>
      <c r="S1275" s="166"/>
      <c r="T1275" s="166"/>
      <c r="U1275" s="166"/>
      <c r="V1275" s="166"/>
      <c r="W1275" s="166"/>
      <c r="X1275" s="166"/>
      <c r="Y1275" s="166"/>
      <c r="Z1275" s="166"/>
      <c r="AA1275" s="166"/>
      <c r="AB1275" s="166"/>
      <c r="AC1275" s="166"/>
      <c r="AD1275" s="166"/>
      <c r="AE1275" s="166"/>
      <c r="AF1275" s="166"/>
      <c r="AG1275" s="166"/>
      <c r="AH1275" s="166"/>
      <c r="AI1275" s="166"/>
    </row>
    <row r="1276" spans="7:35" x14ac:dyDescent="0.25">
      <c r="G1276" s="165"/>
      <c r="H1276" s="166"/>
      <c r="I1276" s="167"/>
      <c r="J1276" s="167"/>
      <c r="K1276" s="166"/>
      <c r="L1276" s="166"/>
      <c r="M1276" s="166"/>
      <c r="N1276" s="166"/>
      <c r="O1276" s="166"/>
      <c r="P1276" s="166"/>
      <c r="Q1276" s="166"/>
      <c r="R1276" s="166"/>
      <c r="S1276" s="166"/>
      <c r="T1276" s="166"/>
      <c r="U1276" s="166"/>
      <c r="V1276" s="166"/>
      <c r="W1276" s="166"/>
      <c r="X1276" s="166"/>
      <c r="Y1276" s="166"/>
      <c r="Z1276" s="166"/>
      <c r="AA1276" s="166"/>
      <c r="AB1276" s="166"/>
      <c r="AC1276" s="166"/>
      <c r="AD1276" s="166"/>
      <c r="AE1276" s="166"/>
      <c r="AF1276" s="166"/>
      <c r="AG1276" s="166"/>
      <c r="AH1276" s="166"/>
      <c r="AI1276" s="166"/>
    </row>
    <row r="1277" spans="7:35" x14ac:dyDescent="0.25">
      <c r="G1277" s="165"/>
      <c r="H1277" s="166"/>
      <c r="I1277" s="167"/>
      <c r="J1277" s="167"/>
      <c r="K1277" s="166"/>
      <c r="L1277" s="166"/>
      <c r="M1277" s="166"/>
      <c r="N1277" s="166"/>
      <c r="O1277" s="166"/>
      <c r="P1277" s="166"/>
      <c r="Q1277" s="166"/>
      <c r="R1277" s="166"/>
      <c r="S1277" s="166"/>
      <c r="T1277" s="166"/>
      <c r="U1277" s="166"/>
      <c r="V1277" s="166"/>
      <c r="W1277" s="166"/>
      <c r="X1277" s="166"/>
      <c r="Y1277" s="166"/>
      <c r="Z1277" s="166"/>
      <c r="AA1277" s="166"/>
      <c r="AB1277" s="166"/>
      <c r="AC1277" s="166"/>
      <c r="AD1277" s="166"/>
      <c r="AE1277" s="166"/>
      <c r="AF1277" s="166"/>
      <c r="AG1277" s="166"/>
      <c r="AH1277" s="166"/>
      <c r="AI1277" s="166"/>
    </row>
    <row r="1278" spans="7:35" x14ac:dyDescent="0.25">
      <c r="G1278" s="165"/>
      <c r="H1278" s="166"/>
      <c r="I1278" s="167"/>
      <c r="J1278" s="167"/>
      <c r="K1278" s="166"/>
      <c r="L1278" s="166"/>
      <c r="M1278" s="166"/>
      <c r="N1278" s="166"/>
      <c r="O1278" s="166"/>
      <c r="P1278" s="166"/>
      <c r="Q1278" s="166"/>
      <c r="R1278" s="166"/>
      <c r="S1278" s="166"/>
      <c r="T1278" s="166"/>
      <c r="U1278" s="166"/>
      <c r="V1278" s="166"/>
      <c r="W1278" s="166"/>
      <c r="X1278" s="166"/>
      <c r="Y1278" s="166"/>
      <c r="Z1278" s="166"/>
      <c r="AA1278" s="166"/>
      <c r="AB1278" s="166"/>
      <c r="AC1278" s="166"/>
      <c r="AD1278" s="166"/>
      <c r="AE1278" s="166"/>
      <c r="AF1278" s="166"/>
      <c r="AG1278" s="166"/>
      <c r="AH1278" s="166"/>
      <c r="AI1278" s="166"/>
    </row>
    <row r="1279" spans="7:35" x14ac:dyDescent="0.25">
      <c r="G1279" s="165"/>
      <c r="H1279" s="166"/>
      <c r="I1279" s="167"/>
      <c r="J1279" s="167"/>
      <c r="K1279" s="166"/>
      <c r="L1279" s="166"/>
      <c r="M1279" s="166"/>
      <c r="N1279" s="166"/>
      <c r="O1279" s="166"/>
      <c r="P1279" s="166"/>
      <c r="Q1279" s="166"/>
      <c r="R1279" s="166"/>
      <c r="S1279" s="166"/>
      <c r="T1279" s="166"/>
      <c r="U1279" s="166"/>
      <c r="V1279" s="166"/>
      <c r="W1279" s="166"/>
      <c r="X1279" s="166"/>
      <c r="Y1279" s="166"/>
      <c r="Z1279" s="166"/>
      <c r="AA1279" s="166"/>
      <c r="AB1279" s="166"/>
      <c r="AC1279" s="166"/>
      <c r="AD1279" s="166"/>
      <c r="AE1279" s="166"/>
      <c r="AF1279" s="166"/>
      <c r="AG1279" s="166"/>
      <c r="AH1279" s="166"/>
      <c r="AI1279" s="166"/>
    </row>
    <row r="1280" spans="7:35" x14ac:dyDescent="0.25">
      <c r="G1280" s="165"/>
      <c r="H1280" s="166"/>
      <c r="I1280" s="167"/>
      <c r="J1280" s="167"/>
      <c r="K1280" s="166"/>
      <c r="L1280" s="166"/>
      <c r="M1280" s="166"/>
      <c r="N1280" s="166"/>
      <c r="O1280" s="166"/>
      <c r="P1280" s="166"/>
      <c r="Q1280" s="166"/>
      <c r="R1280" s="166"/>
      <c r="S1280" s="166"/>
      <c r="T1280" s="166"/>
      <c r="U1280" s="166"/>
      <c r="V1280" s="166"/>
      <c r="W1280" s="166"/>
      <c r="X1280" s="166"/>
      <c r="Y1280" s="166"/>
      <c r="Z1280" s="166"/>
      <c r="AA1280" s="166"/>
      <c r="AB1280" s="166"/>
      <c r="AC1280" s="166"/>
      <c r="AD1280" s="166"/>
      <c r="AE1280" s="166"/>
      <c r="AF1280" s="166"/>
      <c r="AG1280" s="166"/>
      <c r="AH1280" s="166"/>
      <c r="AI1280" s="166"/>
    </row>
    <row r="1281" spans="7:35" x14ac:dyDescent="0.25">
      <c r="G1281" s="165"/>
      <c r="H1281" s="166"/>
      <c r="I1281" s="167"/>
      <c r="J1281" s="167"/>
      <c r="K1281" s="166"/>
      <c r="L1281" s="166"/>
      <c r="M1281" s="166"/>
      <c r="N1281" s="166"/>
      <c r="O1281" s="166"/>
      <c r="P1281" s="166"/>
      <c r="Q1281" s="166"/>
      <c r="R1281" s="166"/>
      <c r="S1281" s="166"/>
      <c r="T1281" s="166"/>
      <c r="U1281" s="166"/>
      <c r="V1281" s="166"/>
      <c r="W1281" s="166"/>
      <c r="X1281" s="166"/>
      <c r="Y1281" s="166"/>
      <c r="Z1281" s="166"/>
      <c r="AA1281" s="166"/>
      <c r="AB1281" s="166"/>
      <c r="AC1281" s="166"/>
      <c r="AD1281" s="166"/>
      <c r="AE1281" s="166"/>
      <c r="AF1281" s="166"/>
      <c r="AG1281" s="166"/>
      <c r="AH1281" s="166"/>
      <c r="AI1281" s="166"/>
    </row>
    <row r="1282" spans="7:35" x14ac:dyDescent="0.25">
      <c r="G1282" s="165"/>
      <c r="H1282" s="166"/>
      <c r="I1282" s="167"/>
      <c r="J1282" s="167"/>
      <c r="K1282" s="166"/>
      <c r="L1282" s="166"/>
      <c r="M1282" s="166"/>
      <c r="N1282" s="166"/>
      <c r="O1282" s="166"/>
      <c r="P1282" s="166"/>
      <c r="Q1282" s="166"/>
      <c r="R1282" s="166"/>
      <c r="S1282" s="166"/>
      <c r="T1282" s="166"/>
      <c r="U1282" s="166"/>
      <c r="V1282" s="166"/>
      <c r="W1282" s="166"/>
      <c r="X1282" s="166"/>
      <c r="Y1282" s="166"/>
      <c r="Z1282" s="166"/>
      <c r="AA1282" s="166"/>
      <c r="AB1282" s="166"/>
      <c r="AC1282" s="166"/>
      <c r="AD1282" s="166"/>
      <c r="AE1282" s="166"/>
      <c r="AF1282" s="166"/>
      <c r="AG1282" s="166"/>
      <c r="AH1282" s="166"/>
      <c r="AI1282" s="166"/>
    </row>
    <row r="1283" spans="7:35" x14ac:dyDescent="0.25">
      <c r="G1283" s="165"/>
      <c r="H1283" s="166"/>
      <c r="I1283" s="167"/>
      <c r="J1283" s="167"/>
      <c r="K1283" s="166"/>
      <c r="L1283" s="166"/>
      <c r="M1283" s="166"/>
      <c r="N1283" s="166"/>
      <c r="O1283" s="166"/>
      <c r="P1283" s="166"/>
      <c r="Q1283" s="166"/>
      <c r="R1283" s="166"/>
      <c r="S1283" s="166"/>
      <c r="T1283" s="166"/>
      <c r="U1283" s="166"/>
      <c r="V1283" s="166"/>
      <c r="W1283" s="166"/>
      <c r="X1283" s="166"/>
      <c r="Y1283" s="166"/>
      <c r="Z1283" s="166"/>
      <c r="AA1283" s="166"/>
      <c r="AB1283" s="166"/>
      <c r="AC1283" s="166"/>
      <c r="AD1283" s="166"/>
      <c r="AE1283" s="166"/>
      <c r="AF1283" s="166"/>
      <c r="AG1283" s="166"/>
      <c r="AH1283" s="166"/>
      <c r="AI1283" s="166"/>
    </row>
    <row r="1284" spans="7:35" x14ac:dyDescent="0.25">
      <c r="G1284" s="165"/>
      <c r="H1284" s="166"/>
      <c r="I1284" s="167"/>
      <c r="J1284" s="167"/>
      <c r="K1284" s="166"/>
      <c r="L1284" s="166"/>
      <c r="M1284" s="166"/>
      <c r="N1284" s="166"/>
      <c r="O1284" s="166"/>
      <c r="P1284" s="166"/>
      <c r="Q1284" s="166"/>
      <c r="R1284" s="166"/>
      <c r="S1284" s="166"/>
      <c r="T1284" s="166"/>
      <c r="U1284" s="166"/>
      <c r="V1284" s="166"/>
      <c r="W1284" s="166"/>
      <c r="X1284" s="166"/>
      <c r="Y1284" s="166"/>
      <c r="Z1284" s="166"/>
      <c r="AA1284" s="166"/>
      <c r="AB1284" s="166"/>
      <c r="AC1284" s="166"/>
      <c r="AD1284" s="166"/>
      <c r="AE1284" s="166"/>
      <c r="AF1284" s="166"/>
      <c r="AG1284" s="166"/>
      <c r="AH1284" s="166"/>
      <c r="AI1284" s="166"/>
    </row>
    <row r="1285" spans="7:35" x14ac:dyDescent="0.25">
      <c r="G1285" s="165"/>
      <c r="H1285" s="166"/>
      <c r="I1285" s="167"/>
      <c r="J1285" s="167"/>
      <c r="K1285" s="166"/>
      <c r="L1285" s="166"/>
      <c r="M1285" s="166"/>
      <c r="N1285" s="166"/>
      <c r="O1285" s="166"/>
      <c r="P1285" s="166"/>
      <c r="Q1285" s="166"/>
      <c r="R1285" s="166"/>
      <c r="S1285" s="166"/>
      <c r="T1285" s="166"/>
      <c r="U1285" s="166"/>
      <c r="V1285" s="166"/>
      <c r="W1285" s="166"/>
      <c r="X1285" s="166"/>
      <c r="Y1285" s="166"/>
      <c r="Z1285" s="166"/>
      <c r="AA1285" s="166"/>
      <c r="AB1285" s="166"/>
      <c r="AC1285" s="166"/>
      <c r="AD1285" s="166"/>
      <c r="AE1285" s="166"/>
      <c r="AF1285" s="166"/>
      <c r="AG1285" s="166"/>
      <c r="AH1285" s="166"/>
      <c r="AI1285" s="166"/>
    </row>
    <row r="1286" spans="7:35" x14ac:dyDescent="0.25">
      <c r="G1286" s="165"/>
      <c r="H1286" s="166"/>
      <c r="I1286" s="167"/>
      <c r="J1286" s="167"/>
      <c r="K1286" s="166"/>
      <c r="L1286" s="166"/>
      <c r="M1286" s="166"/>
      <c r="N1286" s="166"/>
      <c r="O1286" s="166"/>
      <c r="P1286" s="166"/>
      <c r="Q1286" s="166"/>
      <c r="R1286" s="166"/>
      <c r="S1286" s="166"/>
      <c r="T1286" s="166"/>
      <c r="U1286" s="166"/>
      <c r="V1286" s="166"/>
      <c r="W1286" s="166"/>
      <c r="X1286" s="166"/>
      <c r="Y1286" s="166"/>
      <c r="Z1286" s="166"/>
      <c r="AA1286" s="166"/>
      <c r="AB1286" s="166"/>
      <c r="AC1286" s="166"/>
      <c r="AD1286" s="166"/>
      <c r="AE1286" s="166"/>
      <c r="AF1286" s="166"/>
      <c r="AG1286" s="166"/>
      <c r="AH1286" s="166"/>
      <c r="AI1286" s="166"/>
    </row>
    <row r="1287" spans="7:35" x14ac:dyDescent="0.25">
      <c r="G1287" s="165"/>
      <c r="H1287" s="166"/>
      <c r="I1287" s="167"/>
      <c r="J1287" s="167"/>
      <c r="K1287" s="166"/>
      <c r="L1287" s="166"/>
      <c r="M1287" s="166"/>
      <c r="N1287" s="166"/>
      <c r="O1287" s="166"/>
      <c r="P1287" s="166"/>
      <c r="Q1287" s="166"/>
      <c r="R1287" s="166"/>
      <c r="S1287" s="166"/>
      <c r="T1287" s="166"/>
      <c r="U1287" s="166"/>
      <c r="V1287" s="166"/>
      <c r="W1287" s="166"/>
      <c r="X1287" s="166"/>
      <c r="Y1287" s="166"/>
      <c r="Z1287" s="166"/>
      <c r="AA1287" s="166"/>
      <c r="AB1287" s="166"/>
      <c r="AC1287" s="166"/>
      <c r="AD1287" s="166"/>
      <c r="AE1287" s="166"/>
      <c r="AF1287" s="166"/>
      <c r="AG1287" s="166"/>
      <c r="AH1287" s="166"/>
      <c r="AI1287" s="166"/>
    </row>
    <row r="1288" spans="7:35" x14ac:dyDescent="0.25">
      <c r="G1288" s="165"/>
      <c r="H1288" s="166"/>
      <c r="I1288" s="167"/>
      <c r="J1288" s="167"/>
      <c r="K1288" s="166"/>
      <c r="L1288" s="166"/>
      <c r="M1288" s="166"/>
      <c r="N1288" s="166"/>
      <c r="O1288" s="166"/>
      <c r="P1288" s="166"/>
      <c r="Q1288" s="166"/>
      <c r="R1288" s="166"/>
      <c r="S1288" s="166"/>
      <c r="T1288" s="166"/>
      <c r="U1288" s="166"/>
      <c r="V1288" s="166"/>
      <c r="W1288" s="166"/>
      <c r="X1288" s="166"/>
      <c r="Y1288" s="166"/>
      <c r="Z1288" s="166"/>
      <c r="AA1288" s="166"/>
      <c r="AB1288" s="166"/>
      <c r="AC1288" s="166"/>
      <c r="AD1288" s="166"/>
      <c r="AE1288" s="166"/>
      <c r="AF1288" s="166"/>
      <c r="AG1288" s="166"/>
      <c r="AH1288" s="166"/>
      <c r="AI1288" s="166"/>
    </row>
    <row r="1289" spans="7:35" x14ac:dyDescent="0.25">
      <c r="G1289" s="165"/>
      <c r="H1289" s="166"/>
      <c r="I1289" s="167"/>
      <c r="J1289" s="167"/>
      <c r="K1289" s="166"/>
      <c r="L1289" s="166"/>
      <c r="M1289" s="166"/>
      <c r="N1289" s="166"/>
      <c r="O1289" s="166"/>
      <c r="P1289" s="166"/>
      <c r="Q1289" s="166"/>
      <c r="R1289" s="166"/>
      <c r="S1289" s="166"/>
      <c r="T1289" s="166"/>
      <c r="U1289" s="166"/>
      <c r="V1289" s="166"/>
      <c r="W1289" s="166"/>
      <c r="X1289" s="166"/>
      <c r="Y1289" s="166"/>
      <c r="Z1289" s="166"/>
      <c r="AA1289" s="166"/>
      <c r="AB1289" s="166"/>
      <c r="AC1289" s="166"/>
      <c r="AD1289" s="166"/>
      <c r="AE1289" s="166"/>
      <c r="AF1289" s="166"/>
      <c r="AG1289" s="166"/>
      <c r="AH1289" s="166"/>
      <c r="AI1289" s="166"/>
    </row>
    <row r="1290" spans="7:35" x14ac:dyDescent="0.25">
      <c r="G1290" s="165"/>
      <c r="H1290" s="166"/>
      <c r="I1290" s="167"/>
      <c r="J1290" s="167"/>
      <c r="K1290" s="166"/>
      <c r="L1290" s="166"/>
      <c r="M1290" s="166"/>
      <c r="N1290" s="166"/>
      <c r="O1290" s="166"/>
      <c r="P1290" s="166"/>
      <c r="Q1290" s="166"/>
      <c r="R1290" s="166"/>
      <c r="S1290" s="166"/>
      <c r="T1290" s="166"/>
      <c r="U1290" s="166"/>
      <c r="V1290" s="166"/>
      <c r="W1290" s="166"/>
      <c r="X1290" s="166"/>
      <c r="Y1290" s="166"/>
      <c r="Z1290" s="166"/>
      <c r="AA1290" s="166"/>
      <c r="AB1290" s="166"/>
      <c r="AC1290" s="166"/>
      <c r="AD1290" s="166"/>
      <c r="AE1290" s="166"/>
      <c r="AF1290" s="166"/>
      <c r="AG1290" s="166"/>
      <c r="AH1290" s="166"/>
      <c r="AI1290" s="166"/>
    </row>
    <row r="1291" spans="7:35" x14ac:dyDescent="0.25">
      <c r="G1291" s="165"/>
      <c r="H1291" s="166"/>
      <c r="I1291" s="167"/>
      <c r="J1291" s="167"/>
      <c r="K1291" s="166"/>
      <c r="L1291" s="166"/>
      <c r="M1291" s="166"/>
      <c r="N1291" s="166"/>
      <c r="O1291" s="166"/>
      <c r="P1291" s="166"/>
      <c r="Q1291" s="166"/>
      <c r="R1291" s="166"/>
      <c r="S1291" s="166"/>
      <c r="T1291" s="166"/>
      <c r="U1291" s="166"/>
      <c r="V1291" s="166"/>
      <c r="W1291" s="166"/>
      <c r="X1291" s="166"/>
      <c r="Y1291" s="166"/>
      <c r="Z1291" s="166"/>
      <c r="AA1291" s="166"/>
      <c r="AB1291" s="166"/>
      <c r="AC1291" s="166"/>
      <c r="AD1291" s="166"/>
      <c r="AE1291" s="166"/>
      <c r="AF1291" s="166"/>
      <c r="AG1291" s="166"/>
      <c r="AH1291" s="166"/>
      <c r="AI1291" s="166"/>
    </row>
    <row r="1292" spans="7:35" x14ac:dyDescent="0.25">
      <c r="G1292" s="165"/>
      <c r="H1292" s="166"/>
      <c r="I1292" s="167"/>
      <c r="J1292" s="167"/>
      <c r="K1292" s="166"/>
      <c r="L1292" s="166"/>
      <c r="M1292" s="166"/>
      <c r="N1292" s="166"/>
      <c r="O1292" s="166"/>
      <c r="P1292" s="166"/>
      <c r="Q1292" s="166"/>
      <c r="R1292" s="166"/>
      <c r="S1292" s="166"/>
      <c r="T1292" s="166"/>
      <c r="U1292" s="166"/>
      <c r="V1292" s="166"/>
      <c r="W1292" s="166"/>
      <c r="X1292" s="166"/>
      <c r="Y1292" s="166"/>
      <c r="Z1292" s="166"/>
      <c r="AA1292" s="166"/>
      <c r="AB1292" s="166"/>
      <c r="AC1292" s="166"/>
      <c r="AD1292" s="166"/>
      <c r="AE1292" s="166"/>
      <c r="AF1292" s="166"/>
      <c r="AG1292" s="166"/>
      <c r="AH1292" s="166"/>
      <c r="AI1292" s="166"/>
    </row>
    <row r="1293" spans="7:35" x14ac:dyDescent="0.25">
      <c r="G1293" s="165"/>
      <c r="H1293" s="166"/>
      <c r="I1293" s="167"/>
      <c r="J1293" s="167"/>
      <c r="K1293" s="166"/>
      <c r="L1293" s="166"/>
      <c r="M1293" s="166"/>
      <c r="N1293" s="166"/>
      <c r="O1293" s="166"/>
      <c r="P1293" s="166"/>
      <c r="Q1293" s="166"/>
      <c r="R1293" s="166"/>
      <c r="S1293" s="166"/>
      <c r="T1293" s="166"/>
      <c r="U1293" s="166"/>
      <c r="V1293" s="166"/>
      <c r="W1293" s="166"/>
      <c r="X1293" s="166"/>
      <c r="Y1293" s="166"/>
      <c r="Z1293" s="166"/>
      <c r="AA1293" s="166"/>
      <c r="AB1293" s="166"/>
      <c r="AC1293" s="166"/>
      <c r="AD1293" s="166"/>
      <c r="AE1293" s="166"/>
      <c r="AF1293" s="166"/>
      <c r="AG1293" s="166"/>
      <c r="AH1293" s="166"/>
      <c r="AI1293" s="166"/>
    </row>
    <row r="1294" spans="7:35" x14ac:dyDescent="0.25">
      <c r="G1294" s="165"/>
      <c r="H1294" s="166"/>
      <c r="I1294" s="167"/>
      <c r="J1294" s="167"/>
      <c r="K1294" s="166"/>
      <c r="L1294" s="166"/>
      <c r="M1294" s="166"/>
      <c r="N1294" s="166"/>
      <c r="O1294" s="166"/>
      <c r="P1294" s="166"/>
      <c r="Q1294" s="166"/>
      <c r="R1294" s="166"/>
      <c r="S1294" s="166"/>
      <c r="T1294" s="166"/>
      <c r="U1294" s="166"/>
      <c r="V1294" s="166"/>
      <c r="W1294" s="166"/>
      <c r="X1294" s="166"/>
      <c r="Y1294" s="166"/>
      <c r="Z1294" s="166"/>
      <c r="AA1294" s="166"/>
      <c r="AB1294" s="166"/>
      <c r="AC1294" s="166"/>
      <c r="AD1294" s="166"/>
      <c r="AE1294" s="166"/>
      <c r="AF1294" s="166"/>
      <c r="AG1294" s="166"/>
      <c r="AH1294" s="166"/>
      <c r="AI1294" s="166"/>
    </row>
    <row r="1295" spans="7:35" x14ac:dyDescent="0.25">
      <c r="G1295" s="165"/>
      <c r="H1295" s="166"/>
      <c r="I1295" s="167"/>
      <c r="J1295" s="167"/>
      <c r="K1295" s="166"/>
      <c r="L1295" s="166"/>
      <c r="M1295" s="166"/>
      <c r="N1295" s="166"/>
      <c r="O1295" s="166"/>
      <c r="P1295" s="166"/>
      <c r="Q1295" s="166"/>
      <c r="R1295" s="166"/>
      <c r="S1295" s="166"/>
      <c r="T1295" s="166"/>
      <c r="U1295" s="166"/>
      <c r="V1295" s="166"/>
      <c r="W1295" s="166"/>
      <c r="X1295" s="166"/>
      <c r="Y1295" s="166"/>
      <c r="Z1295" s="166"/>
      <c r="AA1295" s="166"/>
      <c r="AB1295" s="166"/>
      <c r="AC1295" s="166"/>
      <c r="AD1295" s="166"/>
      <c r="AE1295" s="166"/>
      <c r="AF1295" s="166"/>
      <c r="AG1295" s="166"/>
      <c r="AH1295" s="166"/>
      <c r="AI1295" s="166"/>
    </row>
    <row r="1296" spans="7:35" x14ac:dyDescent="0.25">
      <c r="G1296" s="165"/>
      <c r="H1296" s="166"/>
      <c r="I1296" s="167"/>
      <c r="J1296" s="167"/>
      <c r="K1296" s="166"/>
      <c r="L1296" s="166"/>
      <c r="M1296" s="166"/>
      <c r="N1296" s="166"/>
      <c r="O1296" s="166"/>
      <c r="P1296" s="166"/>
      <c r="Q1296" s="166"/>
      <c r="R1296" s="166"/>
      <c r="S1296" s="166"/>
      <c r="T1296" s="166"/>
      <c r="U1296" s="166"/>
      <c r="V1296" s="166"/>
      <c r="W1296" s="166"/>
      <c r="X1296" s="166"/>
      <c r="Y1296" s="166"/>
      <c r="Z1296" s="166"/>
      <c r="AA1296" s="166"/>
      <c r="AB1296" s="166"/>
      <c r="AC1296" s="166"/>
      <c r="AD1296" s="166"/>
      <c r="AE1296" s="166"/>
      <c r="AF1296" s="166"/>
      <c r="AG1296" s="166"/>
      <c r="AH1296" s="166"/>
      <c r="AI1296" s="166"/>
    </row>
    <row r="1297" spans="7:35" x14ac:dyDescent="0.25">
      <c r="G1297" s="165"/>
      <c r="H1297" s="166"/>
      <c r="I1297" s="167"/>
      <c r="J1297" s="167"/>
      <c r="K1297" s="166"/>
      <c r="L1297" s="166"/>
      <c r="M1297" s="166"/>
      <c r="N1297" s="166"/>
      <c r="O1297" s="166"/>
      <c r="P1297" s="166"/>
      <c r="Q1297" s="166"/>
      <c r="R1297" s="166"/>
      <c r="S1297" s="166"/>
      <c r="T1297" s="166"/>
      <c r="U1297" s="166"/>
      <c r="V1297" s="166"/>
      <c r="W1297" s="166"/>
      <c r="X1297" s="166"/>
      <c r="Y1297" s="166"/>
      <c r="Z1297" s="166"/>
      <c r="AA1297" s="166"/>
      <c r="AB1297" s="166"/>
      <c r="AC1297" s="166"/>
      <c r="AD1297" s="166"/>
      <c r="AE1297" s="166"/>
      <c r="AF1297" s="166"/>
      <c r="AG1297" s="166"/>
      <c r="AH1297" s="166"/>
      <c r="AI1297" s="166"/>
    </row>
    <row r="1298" spans="7:35" x14ac:dyDescent="0.25">
      <c r="G1298" s="165"/>
      <c r="H1298" s="166"/>
      <c r="I1298" s="167"/>
      <c r="J1298" s="167"/>
      <c r="K1298" s="166"/>
      <c r="L1298" s="166"/>
      <c r="M1298" s="166"/>
      <c r="N1298" s="166"/>
      <c r="O1298" s="166"/>
      <c r="P1298" s="166"/>
      <c r="Q1298" s="166"/>
      <c r="R1298" s="166"/>
      <c r="S1298" s="166"/>
      <c r="T1298" s="166"/>
      <c r="U1298" s="166"/>
      <c r="V1298" s="166"/>
      <c r="W1298" s="166"/>
      <c r="X1298" s="166"/>
      <c r="Y1298" s="166"/>
      <c r="Z1298" s="166"/>
      <c r="AA1298" s="166"/>
      <c r="AB1298" s="166"/>
      <c r="AC1298" s="166"/>
      <c r="AD1298" s="166"/>
      <c r="AE1298" s="166"/>
      <c r="AF1298" s="166"/>
      <c r="AG1298" s="166"/>
      <c r="AH1298" s="166"/>
      <c r="AI1298" s="166"/>
    </row>
    <row r="1299" spans="7:35" x14ac:dyDescent="0.25">
      <c r="G1299" s="165"/>
      <c r="H1299" s="166"/>
      <c r="I1299" s="167"/>
      <c r="J1299" s="167"/>
      <c r="K1299" s="166"/>
      <c r="L1299" s="166"/>
      <c r="M1299" s="166"/>
      <c r="N1299" s="166"/>
      <c r="O1299" s="166"/>
      <c r="P1299" s="166"/>
      <c r="Q1299" s="166"/>
      <c r="R1299" s="166"/>
      <c r="S1299" s="166"/>
      <c r="T1299" s="166"/>
      <c r="U1299" s="166"/>
      <c r="V1299" s="166"/>
      <c r="W1299" s="166"/>
      <c r="X1299" s="166"/>
      <c r="Y1299" s="166"/>
      <c r="Z1299" s="166"/>
      <c r="AA1299" s="166"/>
      <c r="AB1299" s="166"/>
      <c r="AC1299" s="166"/>
      <c r="AD1299" s="166"/>
      <c r="AE1299" s="166"/>
      <c r="AF1299" s="166"/>
      <c r="AG1299" s="166"/>
      <c r="AH1299" s="166"/>
      <c r="AI1299" s="166"/>
    </row>
    <row r="1300" spans="7:35" x14ac:dyDescent="0.25">
      <c r="G1300" s="165"/>
      <c r="H1300" s="166"/>
      <c r="I1300" s="167"/>
      <c r="J1300" s="167"/>
      <c r="K1300" s="166"/>
      <c r="L1300" s="166"/>
      <c r="M1300" s="166"/>
      <c r="N1300" s="166"/>
      <c r="O1300" s="166"/>
      <c r="P1300" s="166"/>
      <c r="Q1300" s="166"/>
      <c r="R1300" s="166"/>
      <c r="S1300" s="166"/>
      <c r="T1300" s="166"/>
      <c r="U1300" s="166"/>
      <c r="V1300" s="166"/>
      <c r="W1300" s="166"/>
      <c r="X1300" s="166"/>
      <c r="Y1300" s="166"/>
      <c r="Z1300" s="166"/>
      <c r="AA1300" s="166"/>
      <c r="AB1300" s="166"/>
      <c r="AC1300" s="166"/>
      <c r="AD1300" s="166"/>
      <c r="AE1300" s="166"/>
      <c r="AF1300" s="166"/>
      <c r="AG1300" s="166"/>
      <c r="AH1300" s="166"/>
      <c r="AI1300" s="166"/>
    </row>
    <row r="1301" spans="7:35" x14ac:dyDescent="0.25">
      <c r="G1301" s="165"/>
      <c r="H1301" s="166"/>
      <c r="I1301" s="167"/>
      <c r="J1301" s="167"/>
      <c r="K1301" s="166"/>
      <c r="L1301" s="166"/>
      <c r="M1301" s="166"/>
      <c r="N1301" s="166"/>
      <c r="O1301" s="166"/>
      <c r="P1301" s="166"/>
      <c r="Q1301" s="166"/>
      <c r="R1301" s="166"/>
      <c r="S1301" s="166"/>
      <c r="T1301" s="166"/>
      <c r="U1301" s="166"/>
      <c r="V1301" s="166"/>
      <c r="W1301" s="166"/>
      <c r="X1301" s="166"/>
      <c r="Y1301" s="166"/>
      <c r="Z1301" s="166"/>
      <c r="AA1301" s="166"/>
      <c r="AB1301" s="166"/>
      <c r="AC1301" s="166"/>
      <c r="AD1301" s="166"/>
      <c r="AE1301" s="166"/>
      <c r="AF1301" s="166"/>
      <c r="AG1301" s="166"/>
      <c r="AH1301" s="166"/>
      <c r="AI1301" s="166"/>
    </row>
    <row r="1302" spans="7:35" x14ac:dyDescent="0.25">
      <c r="G1302" s="165"/>
      <c r="H1302" s="166"/>
      <c r="I1302" s="167"/>
      <c r="J1302" s="167"/>
      <c r="K1302" s="166"/>
      <c r="L1302" s="166"/>
      <c r="M1302" s="166"/>
      <c r="N1302" s="166"/>
      <c r="O1302" s="166"/>
      <c r="P1302" s="166"/>
      <c r="Q1302" s="166"/>
      <c r="R1302" s="166"/>
      <c r="S1302" s="166"/>
      <c r="T1302" s="166"/>
      <c r="U1302" s="166"/>
      <c r="V1302" s="166"/>
      <c r="W1302" s="166"/>
      <c r="X1302" s="166"/>
      <c r="Y1302" s="166"/>
      <c r="Z1302" s="166"/>
      <c r="AA1302" s="166"/>
      <c r="AB1302" s="166"/>
      <c r="AC1302" s="166"/>
      <c r="AD1302" s="166"/>
      <c r="AE1302" s="166"/>
      <c r="AF1302" s="166"/>
      <c r="AG1302" s="166"/>
      <c r="AH1302" s="166"/>
      <c r="AI1302" s="166"/>
    </row>
    <row r="1303" spans="7:35" x14ac:dyDescent="0.25">
      <c r="G1303" s="165"/>
      <c r="H1303" s="166"/>
      <c r="I1303" s="167"/>
      <c r="J1303" s="167"/>
      <c r="K1303" s="166"/>
      <c r="L1303" s="166"/>
      <c r="M1303" s="166"/>
      <c r="N1303" s="166"/>
      <c r="O1303" s="166"/>
      <c r="P1303" s="166"/>
      <c r="Q1303" s="166"/>
      <c r="R1303" s="166"/>
      <c r="S1303" s="166"/>
      <c r="T1303" s="166"/>
      <c r="U1303" s="166"/>
      <c r="V1303" s="166"/>
      <c r="W1303" s="166"/>
      <c r="X1303" s="166"/>
      <c r="Y1303" s="166"/>
      <c r="Z1303" s="166"/>
      <c r="AA1303" s="166"/>
      <c r="AB1303" s="166"/>
      <c r="AC1303" s="166"/>
      <c r="AD1303" s="166"/>
      <c r="AE1303" s="166"/>
      <c r="AF1303" s="166"/>
      <c r="AG1303" s="166"/>
      <c r="AH1303" s="166"/>
      <c r="AI1303" s="166"/>
    </row>
    <row r="1304" spans="7:35" x14ac:dyDescent="0.25">
      <c r="G1304" s="165"/>
      <c r="H1304" s="166"/>
      <c r="I1304" s="167"/>
      <c r="J1304" s="167"/>
      <c r="K1304" s="166"/>
      <c r="L1304" s="166"/>
      <c r="M1304" s="166"/>
      <c r="N1304" s="166"/>
      <c r="O1304" s="166"/>
      <c r="P1304" s="166"/>
      <c r="Q1304" s="166"/>
      <c r="R1304" s="166"/>
      <c r="S1304" s="166"/>
      <c r="T1304" s="166"/>
      <c r="U1304" s="166"/>
      <c r="V1304" s="166"/>
      <c r="W1304" s="166"/>
      <c r="X1304" s="166"/>
      <c r="Y1304" s="166"/>
      <c r="Z1304" s="166"/>
      <c r="AA1304" s="166"/>
      <c r="AB1304" s="166"/>
      <c r="AC1304" s="166"/>
      <c r="AD1304" s="166"/>
      <c r="AE1304" s="166"/>
      <c r="AF1304" s="166"/>
      <c r="AG1304" s="166"/>
      <c r="AH1304" s="166"/>
      <c r="AI1304" s="166"/>
    </row>
    <row r="1305" spans="7:35" x14ac:dyDescent="0.25">
      <c r="G1305" s="165"/>
      <c r="H1305" s="166"/>
      <c r="I1305" s="167"/>
      <c r="J1305" s="167"/>
      <c r="K1305" s="166"/>
      <c r="L1305" s="166"/>
      <c r="M1305" s="166"/>
      <c r="N1305" s="166"/>
      <c r="O1305" s="166"/>
      <c r="P1305" s="166"/>
      <c r="Q1305" s="166"/>
      <c r="R1305" s="166"/>
      <c r="S1305" s="166"/>
      <c r="T1305" s="166"/>
      <c r="U1305" s="166"/>
      <c r="V1305" s="166"/>
      <c r="W1305" s="166"/>
      <c r="X1305" s="166"/>
      <c r="Y1305" s="166"/>
      <c r="Z1305" s="166"/>
      <c r="AA1305" s="166"/>
      <c r="AB1305" s="166"/>
      <c r="AC1305" s="166"/>
      <c r="AD1305" s="166"/>
      <c r="AE1305" s="166"/>
      <c r="AF1305" s="166"/>
      <c r="AG1305" s="166"/>
      <c r="AH1305" s="166"/>
      <c r="AI1305" s="166"/>
    </row>
    <row r="1306" spans="7:35" x14ac:dyDescent="0.25">
      <c r="G1306" s="165"/>
      <c r="H1306" s="166"/>
      <c r="I1306" s="167"/>
      <c r="J1306" s="167"/>
      <c r="K1306" s="166"/>
      <c r="L1306" s="166"/>
      <c r="M1306" s="166"/>
      <c r="N1306" s="166"/>
      <c r="O1306" s="166"/>
      <c r="P1306" s="166"/>
      <c r="Q1306" s="166"/>
      <c r="R1306" s="166"/>
      <c r="S1306" s="166"/>
      <c r="T1306" s="166"/>
      <c r="U1306" s="166"/>
      <c r="V1306" s="166"/>
      <c r="W1306" s="166"/>
      <c r="X1306" s="166"/>
      <c r="Y1306" s="166"/>
      <c r="Z1306" s="166"/>
      <c r="AA1306" s="166"/>
      <c r="AB1306" s="166"/>
      <c r="AC1306" s="166"/>
      <c r="AD1306" s="166"/>
      <c r="AE1306" s="166"/>
      <c r="AF1306" s="166"/>
      <c r="AG1306" s="166"/>
      <c r="AH1306" s="166"/>
      <c r="AI1306" s="166"/>
    </row>
    <row r="1307" spans="7:35" x14ac:dyDescent="0.25">
      <c r="G1307" s="165"/>
      <c r="H1307" s="166"/>
      <c r="I1307" s="167"/>
      <c r="J1307" s="167"/>
      <c r="K1307" s="166"/>
      <c r="L1307" s="166"/>
      <c r="M1307" s="166"/>
      <c r="N1307" s="166"/>
      <c r="O1307" s="166"/>
      <c r="P1307" s="166"/>
      <c r="Q1307" s="166"/>
      <c r="R1307" s="166"/>
      <c r="S1307" s="166"/>
      <c r="T1307" s="166"/>
      <c r="U1307" s="166"/>
      <c r="V1307" s="166"/>
      <c r="W1307" s="166"/>
      <c r="X1307" s="166"/>
      <c r="Y1307" s="166"/>
      <c r="Z1307" s="166"/>
      <c r="AA1307" s="166"/>
      <c r="AB1307" s="166"/>
      <c r="AC1307" s="166"/>
      <c r="AD1307" s="166"/>
      <c r="AE1307" s="166"/>
      <c r="AF1307" s="166"/>
      <c r="AG1307" s="166"/>
      <c r="AH1307" s="166"/>
      <c r="AI1307" s="166"/>
    </row>
    <row r="1308" spans="7:35" x14ac:dyDescent="0.25">
      <c r="G1308" s="165"/>
      <c r="H1308" s="166"/>
      <c r="I1308" s="167"/>
      <c r="J1308" s="167"/>
      <c r="K1308" s="166"/>
      <c r="L1308" s="166"/>
      <c r="M1308" s="166"/>
      <c r="N1308" s="166"/>
      <c r="O1308" s="166"/>
      <c r="P1308" s="166"/>
      <c r="Q1308" s="166"/>
      <c r="R1308" s="166"/>
      <c r="S1308" s="166"/>
      <c r="T1308" s="166"/>
      <c r="U1308" s="166"/>
      <c r="V1308" s="166"/>
      <c r="W1308" s="166"/>
      <c r="X1308" s="166"/>
      <c r="Y1308" s="166"/>
      <c r="Z1308" s="166"/>
      <c r="AA1308" s="166"/>
      <c r="AB1308" s="166"/>
      <c r="AC1308" s="166"/>
      <c r="AD1308" s="166"/>
      <c r="AE1308" s="166"/>
      <c r="AF1308" s="166"/>
      <c r="AG1308" s="166"/>
      <c r="AH1308" s="166"/>
      <c r="AI1308" s="166"/>
    </row>
    <row r="1309" spans="7:35" x14ac:dyDescent="0.25">
      <c r="G1309" s="165"/>
      <c r="H1309" s="166"/>
      <c r="I1309" s="167"/>
      <c r="J1309" s="167"/>
      <c r="K1309" s="166"/>
      <c r="L1309" s="166"/>
      <c r="M1309" s="166"/>
      <c r="N1309" s="166"/>
      <c r="O1309" s="166"/>
      <c r="P1309" s="166"/>
      <c r="Q1309" s="166"/>
      <c r="R1309" s="166"/>
      <c r="S1309" s="166"/>
      <c r="T1309" s="166"/>
      <c r="U1309" s="166"/>
      <c r="V1309" s="166"/>
      <c r="W1309" s="166"/>
      <c r="X1309" s="166"/>
      <c r="Y1309" s="166"/>
      <c r="Z1309" s="166"/>
      <c r="AA1309" s="166"/>
      <c r="AB1309" s="166"/>
      <c r="AC1309" s="166"/>
      <c r="AD1309" s="166"/>
      <c r="AE1309" s="166"/>
      <c r="AF1309" s="166"/>
      <c r="AG1309" s="166"/>
      <c r="AH1309" s="166"/>
      <c r="AI1309" s="166"/>
    </row>
    <row r="1310" spans="7:35" x14ac:dyDescent="0.25">
      <c r="G1310" s="165"/>
      <c r="H1310" s="166"/>
      <c r="I1310" s="167"/>
      <c r="J1310" s="167"/>
      <c r="K1310" s="166"/>
      <c r="L1310" s="166"/>
      <c r="M1310" s="166"/>
      <c r="N1310" s="166"/>
      <c r="O1310" s="166"/>
      <c r="P1310" s="166"/>
      <c r="Q1310" s="166"/>
      <c r="R1310" s="166"/>
      <c r="S1310" s="166"/>
      <c r="T1310" s="166"/>
      <c r="U1310" s="166"/>
      <c r="V1310" s="166"/>
      <c r="W1310" s="166"/>
      <c r="X1310" s="166"/>
      <c r="Y1310" s="166"/>
      <c r="Z1310" s="166"/>
      <c r="AA1310" s="166"/>
      <c r="AB1310" s="166"/>
      <c r="AC1310" s="166"/>
      <c r="AD1310" s="166"/>
      <c r="AE1310" s="166"/>
      <c r="AF1310" s="166"/>
      <c r="AG1310" s="166"/>
      <c r="AH1310" s="166"/>
      <c r="AI1310" s="166"/>
    </row>
    <row r="1311" spans="7:35" x14ac:dyDescent="0.25">
      <c r="G1311" s="165"/>
      <c r="H1311" s="166"/>
      <c r="I1311" s="167"/>
      <c r="J1311" s="167"/>
      <c r="K1311" s="166"/>
      <c r="L1311" s="166"/>
      <c r="M1311" s="166"/>
      <c r="N1311" s="166"/>
      <c r="O1311" s="166"/>
      <c r="P1311" s="166"/>
      <c r="Q1311" s="166"/>
      <c r="R1311" s="166"/>
      <c r="S1311" s="166"/>
      <c r="T1311" s="166"/>
      <c r="U1311" s="166"/>
      <c r="V1311" s="166"/>
      <c r="W1311" s="166"/>
      <c r="X1311" s="166"/>
      <c r="Y1311" s="166"/>
      <c r="Z1311" s="166"/>
      <c r="AA1311" s="166"/>
      <c r="AB1311" s="166"/>
      <c r="AC1311" s="166"/>
      <c r="AD1311" s="166"/>
      <c r="AE1311" s="166"/>
      <c r="AF1311" s="166"/>
      <c r="AG1311" s="166"/>
      <c r="AH1311" s="166"/>
      <c r="AI1311" s="166"/>
    </row>
    <row r="1312" spans="7:35" x14ac:dyDescent="0.25">
      <c r="G1312" s="165"/>
      <c r="H1312" s="166"/>
      <c r="I1312" s="167"/>
      <c r="J1312" s="167"/>
      <c r="K1312" s="166"/>
      <c r="L1312" s="166"/>
      <c r="M1312" s="166"/>
      <c r="N1312" s="166"/>
      <c r="O1312" s="166"/>
      <c r="P1312" s="166"/>
      <c r="Q1312" s="166"/>
      <c r="R1312" s="166"/>
      <c r="S1312" s="166"/>
      <c r="T1312" s="166"/>
      <c r="U1312" s="166"/>
      <c r="V1312" s="166"/>
      <c r="W1312" s="166"/>
      <c r="X1312" s="166"/>
      <c r="Y1312" s="166"/>
      <c r="Z1312" s="166"/>
      <c r="AA1312" s="166"/>
      <c r="AB1312" s="166"/>
      <c r="AC1312" s="166"/>
      <c r="AD1312" s="166"/>
      <c r="AE1312" s="166"/>
      <c r="AF1312" s="166"/>
      <c r="AG1312" s="166"/>
      <c r="AH1312" s="166"/>
      <c r="AI1312" s="166"/>
    </row>
    <row r="1313" spans="7:35" x14ac:dyDescent="0.25">
      <c r="G1313" s="165"/>
      <c r="H1313" s="166"/>
      <c r="I1313" s="167"/>
      <c r="J1313" s="167"/>
      <c r="K1313" s="166"/>
      <c r="L1313" s="166"/>
      <c r="M1313" s="166"/>
      <c r="N1313" s="166"/>
      <c r="O1313" s="166"/>
      <c r="P1313" s="166"/>
      <c r="Q1313" s="166"/>
      <c r="R1313" s="166"/>
      <c r="S1313" s="166"/>
      <c r="T1313" s="166"/>
      <c r="U1313" s="166"/>
      <c r="V1313" s="166"/>
      <c r="W1313" s="166"/>
      <c r="X1313" s="166"/>
      <c r="Y1313" s="166"/>
      <c r="Z1313" s="166"/>
      <c r="AA1313" s="166"/>
      <c r="AB1313" s="166"/>
      <c r="AC1313" s="166"/>
      <c r="AD1313" s="166"/>
      <c r="AE1313" s="166"/>
      <c r="AF1313" s="166"/>
      <c r="AG1313" s="166"/>
      <c r="AH1313" s="166"/>
      <c r="AI1313" s="166"/>
    </row>
    <row r="1314" spans="7:35" x14ac:dyDescent="0.25">
      <c r="G1314" s="165"/>
      <c r="H1314" s="166"/>
      <c r="I1314" s="167"/>
      <c r="J1314" s="167"/>
      <c r="K1314" s="166"/>
      <c r="L1314" s="166"/>
      <c r="M1314" s="166"/>
      <c r="N1314" s="166"/>
      <c r="O1314" s="166"/>
      <c r="P1314" s="166"/>
      <c r="Q1314" s="166"/>
      <c r="R1314" s="166"/>
      <c r="S1314" s="166"/>
      <c r="T1314" s="166"/>
      <c r="U1314" s="166"/>
      <c r="V1314" s="166"/>
      <c r="W1314" s="166"/>
      <c r="X1314" s="166"/>
      <c r="Y1314" s="166"/>
      <c r="Z1314" s="166"/>
      <c r="AA1314" s="166"/>
      <c r="AB1314" s="166"/>
      <c r="AC1314" s="166"/>
      <c r="AD1314" s="166"/>
      <c r="AE1314" s="166"/>
      <c r="AF1314" s="166"/>
      <c r="AG1314" s="166"/>
      <c r="AH1314" s="166"/>
      <c r="AI1314" s="166"/>
    </row>
    <row r="1315" spans="7:35" x14ac:dyDescent="0.25">
      <c r="G1315" s="165"/>
      <c r="H1315" s="166"/>
      <c r="I1315" s="167"/>
      <c r="J1315" s="167"/>
      <c r="K1315" s="166"/>
      <c r="L1315" s="166"/>
      <c r="M1315" s="166"/>
      <c r="N1315" s="166"/>
      <c r="O1315" s="166"/>
      <c r="P1315" s="166"/>
      <c r="Q1315" s="166"/>
      <c r="R1315" s="166"/>
      <c r="S1315" s="166"/>
      <c r="T1315" s="166"/>
      <c r="U1315" s="166"/>
      <c r="V1315" s="166"/>
      <c r="W1315" s="166"/>
      <c r="X1315" s="166"/>
      <c r="Y1315" s="166"/>
      <c r="Z1315" s="166"/>
      <c r="AA1315" s="166"/>
      <c r="AB1315" s="166"/>
      <c r="AC1315" s="166"/>
      <c r="AD1315" s="166"/>
      <c r="AE1315" s="166"/>
      <c r="AF1315" s="166"/>
      <c r="AG1315" s="166"/>
      <c r="AH1315" s="166"/>
      <c r="AI1315" s="166"/>
    </row>
    <row r="1316" spans="7:35" x14ac:dyDescent="0.25">
      <c r="G1316" s="165"/>
      <c r="H1316" s="166"/>
      <c r="I1316" s="167"/>
      <c r="J1316" s="167"/>
      <c r="K1316" s="166"/>
      <c r="L1316" s="166"/>
      <c r="M1316" s="166"/>
      <c r="N1316" s="166"/>
      <c r="O1316" s="166"/>
      <c r="P1316" s="166"/>
      <c r="Q1316" s="166"/>
      <c r="R1316" s="166"/>
      <c r="S1316" s="166"/>
      <c r="T1316" s="166"/>
      <c r="U1316" s="166"/>
      <c r="V1316" s="166"/>
      <c r="W1316" s="166"/>
      <c r="X1316" s="166"/>
      <c r="Y1316" s="166"/>
      <c r="Z1316" s="166"/>
      <c r="AA1316" s="166"/>
      <c r="AB1316" s="166"/>
      <c r="AC1316" s="166"/>
      <c r="AD1316" s="166"/>
      <c r="AE1316" s="166"/>
      <c r="AF1316" s="166"/>
      <c r="AG1316" s="166"/>
      <c r="AH1316" s="166"/>
      <c r="AI1316" s="166"/>
    </row>
    <row r="1317" spans="7:35" x14ac:dyDescent="0.25">
      <c r="G1317" s="165"/>
      <c r="H1317" s="166"/>
      <c r="I1317" s="167"/>
      <c r="J1317" s="167"/>
      <c r="K1317" s="166"/>
      <c r="L1317" s="166"/>
      <c r="M1317" s="166"/>
      <c r="N1317" s="166"/>
      <c r="O1317" s="166"/>
      <c r="P1317" s="166"/>
      <c r="Q1317" s="166"/>
      <c r="R1317" s="166"/>
      <c r="S1317" s="166"/>
      <c r="T1317" s="166"/>
      <c r="U1317" s="166"/>
      <c r="V1317" s="166"/>
      <c r="W1317" s="166"/>
      <c r="X1317" s="166"/>
      <c r="Y1317" s="166"/>
      <c r="Z1317" s="166"/>
      <c r="AA1317" s="166"/>
      <c r="AB1317" s="166"/>
      <c r="AC1317" s="166"/>
      <c r="AD1317" s="166"/>
      <c r="AE1317" s="166"/>
      <c r="AF1317" s="166"/>
      <c r="AG1317" s="166"/>
      <c r="AH1317" s="166"/>
      <c r="AI1317" s="166"/>
    </row>
    <row r="1318" spans="7:35" x14ac:dyDescent="0.25">
      <c r="G1318" s="165"/>
      <c r="H1318" s="166"/>
      <c r="I1318" s="167"/>
      <c r="J1318" s="167"/>
      <c r="K1318" s="166"/>
      <c r="L1318" s="166"/>
      <c r="M1318" s="166"/>
      <c r="N1318" s="166"/>
      <c r="O1318" s="166"/>
      <c r="P1318" s="166"/>
      <c r="Q1318" s="166"/>
      <c r="R1318" s="166"/>
      <c r="S1318" s="166"/>
      <c r="T1318" s="166"/>
      <c r="U1318" s="166"/>
      <c r="V1318" s="166"/>
      <c r="W1318" s="166"/>
      <c r="X1318" s="166"/>
      <c r="Y1318" s="166"/>
      <c r="Z1318" s="166"/>
      <c r="AA1318" s="166"/>
      <c r="AB1318" s="166"/>
      <c r="AC1318" s="166"/>
      <c r="AD1318" s="166"/>
      <c r="AE1318" s="166"/>
      <c r="AF1318" s="166"/>
      <c r="AG1318" s="166"/>
      <c r="AH1318" s="166"/>
      <c r="AI1318" s="166"/>
    </row>
    <row r="1319" spans="7:35" x14ac:dyDescent="0.25">
      <c r="G1319" s="165"/>
      <c r="H1319" s="166"/>
      <c r="I1319" s="167"/>
      <c r="J1319" s="167"/>
      <c r="K1319" s="166"/>
      <c r="L1319" s="166"/>
      <c r="M1319" s="166"/>
      <c r="N1319" s="166"/>
      <c r="O1319" s="166"/>
      <c r="P1319" s="166"/>
      <c r="Q1319" s="166"/>
      <c r="R1319" s="166"/>
      <c r="S1319" s="166"/>
      <c r="T1319" s="166"/>
      <c r="U1319" s="166"/>
      <c r="V1319" s="166"/>
      <c r="W1319" s="166"/>
      <c r="X1319" s="166"/>
      <c r="Y1319" s="166"/>
      <c r="Z1319" s="166"/>
      <c r="AA1319" s="166"/>
      <c r="AB1319" s="166"/>
      <c r="AC1319" s="166"/>
      <c r="AD1319" s="166"/>
      <c r="AE1319" s="166"/>
      <c r="AF1319" s="166"/>
      <c r="AG1319" s="166"/>
      <c r="AH1319" s="166"/>
      <c r="AI1319" s="166"/>
    </row>
    <row r="1320" spans="7:35" x14ac:dyDescent="0.25">
      <c r="G1320" s="165"/>
      <c r="H1320" s="166"/>
      <c r="I1320" s="167"/>
      <c r="J1320" s="167"/>
      <c r="K1320" s="166"/>
      <c r="L1320" s="166"/>
      <c r="M1320" s="166"/>
      <c r="N1320" s="166"/>
      <c r="O1320" s="166"/>
      <c r="P1320" s="166"/>
      <c r="Q1320" s="166"/>
      <c r="R1320" s="166"/>
      <c r="S1320" s="166"/>
      <c r="T1320" s="166"/>
      <c r="U1320" s="166"/>
      <c r="V1320" s="166"/>
      <c r="W1320" s="166"/>
      <c r="X1320" s="166"/>
      <c r="Y1320" s="166"/>
      <c r="Z1320" s="166"/>
      <c r="AA1320" s="166"/>
      <c r="AB1320" s="166"/>
      <c r="AC1320" s="166"/>
      <c r="AD1320" s="166"/>
      <c r="AE1320" s="166"/>
      <c r="AF1320" s="166"/>
      <c r="AG1320" s="166"/>
      <c r="AH1320" s="166"/>
      <c r="AI1320" s="166"/>
    </row>
    <row r="1321" spans="7:35" x14ac:dyDescent="0.25">
      <c r="G1321" s="165"/>
      <c r="H1321" s="166"/>
      <c r="I1321" s="167"/>
      <c r="J1321" s="167"/>
      <c r="K1321" s="166"/>
      <c r="L1321" s="166"/>
      <c r="M1321" s="166"/>
      <c r="N1321" s="166"/>
      <c r="O1321" s="166"/>
      <c r="P1321" s="166"/>
      <c r="Q1321" s="166"/>
      <c r="R1321" s="166"/>
      <c r="S1321" s="166"/>
      <c r="T1321" s="166"/>
      <c r="U1321" s="166"/>
      <c r="V1321" s="166"/>
      <c r="W1321" s="166"/>
      <c r="X1321" s="166"/>
      <c r="Y1321" s="166"/>
      <c r="Z1321" s="166"/>
      <c r="AA1321" s="166"/>
      <c r="AB1321" s="166"/>
      <c r="AC1321" s="166"/>
      <c r="AD1321" s="166"/>
      <c r="AE1321" s="166"/>
      <c r="AF1321" s="166"/>
      <c r="AG1321" s="166"/>
      <c r="AH1321" s="166"/>
      <c r="AI1321" s="166"/>
    </row>
    <row r="1322" spans="7:35" x14ac:dyDescent="0.25">
      <c r="G1322" s="165"/>
      <c r="H1322" s="166"/>
      <c r="I1322" s="167"/>
      <c r="J1322" s="167"/>
      <c r="K1322" s="166"/>
      <c r="L1322" s="166"/>
      <c r="M1322" s="166"/>
      <c r="N1322" s="166"/>
      <c r="O1322" s="166"/>
      <c r="P1322" s="166"/>
      <c r="Q1322" s="166"/>
      <c r="R1322" s="166"/>
      <c r="S1322" s="166"/>
      <c r="T1322" s="166"/>
      <c r="U1322" s="166"/>
      <c r="V1322" s="166"/>
      <c r="W1322" s="166"/>
      <c r="X1322" s="166"/>
      <c r="Y1322" s="166"/>
      <c r="Z1322" s="166"/>
      <c r="AA1322" s="166"/>
      <c r="AB1322" s="166"/>
      <c r="AC1322" s="166"/>
      <c r="AD1322" s="166"/>
      <c r="AE1322" s="166"/>
      <c r="AF1322" s="166"/>
      <c r="AG1322" s="166"/>
      <c r="AH1322" s="166"/>
      <c r="AI1322" s="166"/>
    </row>
    <row r="1323" spans="7:35" x14ac:dyDescent="0.25">
      <c r="G1323" s="165"/>
      <c r="H1323" s="166"/>
      <c r="I1323" s="167"/>
      <c r="J1323" s="167"/>
      <c r="K1323" s="166"/>
      <c r="L1323" s="166"/>
      <c r="M1323" s="166"/>
      <c r="N1323" s="166"/>
      <c r="O1323" s="166"/>
      <c r="P1323" s="166"/>
      <c r="Q1323" s="166"/>
      <c r="R1323" s="166"/>
      <c r="S1323" s="166"/>
      <c r="T1323" s="166"/>
      <c r="U1323" s="166"/>
      <c r="V1323" s="166"/>
      <c r="W1323" s="166"/>
      <c r="X1323" s="166"/>
      <c r="Y1323" s="166"/>
      <c r="Z1323" s="166"/>
      <c r="AA1323" s="166"/>
      <c r="AB1323" s="166"/>
      <c r="AC1323" s="166"/>
      <c r="AD1323" s="166"/>
      <c r="AE1323" s="166"/>
      <c r="AF1323" s="166"/>
      <c r="AG1323" s="166"/>
      <c r="AH1323" s="166"/>
      <c r="AI1323" s="166"/>
    </row>
    <row r="1324" spans="7:35" x14ac:dyDescent="0.25">
      <c r="G1324" s="165"/>
      <c r="H1324" s="166"/>
      <c r="I1324" s="167"/>
      <c r="J1324" s="167"/>
      <c r="K1324" s="166"/>
      <c r="L1324" s="166"/>
      <c r="M1324" s="166"/>
      <c r="N1324" s="166"/>
      <c r="O1324" s="166"/>
      <c r="P1324" s="166"/>
      <c r="Q1324" s="166"/>
      <c r="R1324" s="166"/>
      <c r="S1324" s="166"/>
      <c r="T1324" s="166"/>
      <c r="U1324" s="166"/>
      <c r="V1324" s="166"/>
      <c r="W1324" s="166"/>
      <c r="X1324" s="166"/>
      <c r="Y1324" s="166"/>
      <c r="Z1324" s="166"/>
      <c r="AA1324" s="166"/>
      <c r="AB1324" s="166"/>
      <c r="AC1324" s="166"/>
      <c r="AD1324" s="166"/>
      <c r="AE1324" s="166"/>
      <c r="AF1324" s="166"/>
      <c r="AG1324" s="166"/>
      <c r="AH1324" s="166"/>
      <c r="AI1324" s="166"/>
    </row>
    <row r="1325" spans="7:35" x14ac:dyDescent="0.25">
      <c r="G1325" s="165"/>
      <c r="H1325" s="166"/>
      <c r="I1325" s="167"/>
      <c r="J1325" s="167"/>
      <c r="K1325" s="166"/>
      <c r="L1325" s="166"/>
      <c r="M1325" s="166"/>
      <c r="N1325" s="166"/>
      <c r="O1325" s="166"/>
      <c r="P1325" s="166"/>
      <c r="Q1325" s="166"/>
      <c r="R1325" s="166"/>
      <c r="S1325" s="166"/>
      <c r="T1325" s="166"/>
      <c r="U1325" s="166"/>
      <c r="V1325" s="166"/>
      <c r="W1325" s="166"/>
      <c r="X1325" s="166"/>
      <c r="Y1325" s="166"/>
      <c r="Z1325" s="166"/>
      <c r="AA1325" s="166"/>
      <c r="AB1325" s="166"/>
      <c r="AC1325" s="166"/>
      <c r="AD1325" s="166"/>
      <c r="AE1325" s="166"/>
      <c r="AF1325" s="166"/>
      <c r="AG1325" s="166"/>
      <c r="AH1325" s="166"/>
      <c r="AI1325" s="166"/>
    </row>
    <row r="1326" spans="7:35" x14ac:dyDescent="0.25">
      <c r="G1326" s="165"/>
      <c r="H1326" s="166"/>
      <c r="I1326" s="167"/>
      <c r="J1326" s="167"/>
      <c r="K1326" s="166"/>
      <c r="L1326" s="166"/>
      <c r="M1326" s="166"/>
      <c r="N1326" s="166"/>
      <c r="O1326" s="166"/>
      <c r="P1326" s="166"/>
      <c r="Q1326" s="166"/>
      <c r="R1326" s="166"/>
      <c r="S1326" s="166"/>
      <c r="T1326" s="166"/>
      <c r="U1326" s="166"/>
      <c r="V1326" s="166"/>
      <c r="W1326" s="166"/>
      <c r="X1326" s="166"/>
      <c r="Y1326" s="166"/>
      <c r="Z1326" s="166"/>
      <c r="AA1326" s="166"/>
      <c r="AB1326" s="166"/>
      <c r="AC1326" s="166"/>
      <c r="AD1326" s="166"/>
      <c r="AE1326" s="166"/>
      <c r="AF1326" s="166"/>
      <c r="AG1326" s="166"/>
      <c r="AH1326" s="166"/>
      <c r="AI1326" s="166"/>
    </row>
    <row r="1327" spans="7:35" x14ac:dyDescent="0.25">
      <c r="G1327" s="165"/>
      <c r="H1327" s="166"/>
      <c r="I1327" s="167"/>
      <c r="J1327" s="167"/>
      <c r="K1327" s="166"/>
      <c r="L1327" s="166"/>
      <c r="M1327" s="166"/>
      <c r="N1327" s="166"/>
      <c r="O1327" s="166"/>
      <c r="P1327" s="166"/>
      <c r="Q1327" s="166"/>
      <c r="R1327" s="166"/>
      <c r="S1327" s="166"/>
      <c r="T1327" s="166"/>
      <c r="U1327" s="166"/>
      <c r="V1327" s="166"/>
      <c r="W1327" s="166"/>
      <c r="X1327" s="166"/>
      <c r="Y1327" s="166"/>
      <c r="Z1327" s="166"/>
      <c r="AA1327" s="166"/>
      <c r="AB1327" s="166"/>
      <c r="AC1327" s="166"/>
      <c r="AD1327" s="166"/>
      <c r="AE1327" s="166"/>
      <c r="AF1327" s="166"/>
      <c r="AG1327" s="166"/>
      <c r="AH1327" s="166"/>
      <c r="AI1327" s="166"/>
    </row>
    <row r="1328" spans="7:35" x14ac:dyDescent="0.25">
      <c r="G1328" s="165"/>
      <c r="H1328" s="166"/>
      <c r="I1328" s="167"/>
      <c r="J1328" s="167"/>
      <c r="K1328" s="166"/>
      <c r="L1328" s="166"/>
      <c r="M1328" s="166"/>
      <c r="N1328" s="166"/>
      <c r="O1328" s="166"/>
      <c r="P1328" s="166"/>
      <c r="Q1328" s="166"/>
      <c r="R1328" s="166"/>
      <c r="S1328" s="166"/>
      <c r="T1328" s="166"/>
      <c r="U1328" s="166"/>
      <c r="V1328" s="166"/>
      <c r="W1328" s="166"/>
      <c r="X1328" s="166"/>
      <c r="Y1328" s="166"/>
      <c r="Z1328" s="166"/>
      <c r="AA1328" s="166"/>
      <c r="AB1328" s="166"/>
      <c r="AC1328" s="166"/>
      <c r="AD1328" s="166"/>
      <c r="AE1328" s="166"/>
      <c r="AF1328" s="166"/>
      <c r="AG1328" s="166"/>
      <c r="AH1328" s="166"/>
      <c r="AI1328" s="166"/>
    </row>
    <row r="1329" spans="7:35" x14ac:dyDescent="0.25">
      <c r="G1329" s="165"/>
      <c r="H1329" s="166"/>
      <c r="I1329" s="167"/>
      <c r="J1329" s="167"/>
      <c r="K1329" s="166"/>
      <c r="L1329" s="166"/>
      <c r="M1329" s="166"/>
      <c r="N1329" s="166"/>
      <c r="O1329" s="166"/>
      <c r="P1329" s="166"/>
      <c r="Q1329" s="166"/>
      <c r="R1329" s="166"/>
      <c r="S1329" s="166"/>
      <c r="T1329" s="166"/>
      <c r="U1329" s="166"/>
      <c r="V1329" s="166"/>
      <c r="W1329" s="166"/>
      <c r="X1329" s="166"/>
      <c r="Y1329" s="166"/>
      <c r="Z1329" s="166"/>
      <c r="AA1329" s="166"/>
      <c r="AB1329" s="166"/>
      <c r="AC1329" s="166"/>
      <c r="AD1329" s="166"/>
      <c r="AE1329" s="166"/>
      <c r="AF1329" s="166"/>
      <c r="AG1329" s="166"/>
      <c r="AH1329" s="166"/>
      <c r="AI1329" s="166"/>
    </row>
    <row r="1330" spans="7:35" x14ac:dyDescent="0.25">
      <c r="G1330" s="165"/>
      <c r="H1330" s="166"/>
      <c r="I1330" s="167"/>
      <c r="J1330" s="167"/>
      <c r="K1330" s="166"/>
      <c r="L1330" s="166"/>
      <c r="M1330" s="166"/>
      <c r="N1330" s="166"/>
      <c r="O1330" s="166"/>
      <c r="P1330" s="166"/>
      <c r="Q1330" s="166"/>
      <c r="R1330" s="166"/>
      <c r="S1330" s="166"/>
      <c r="T1330" s="166"/>
      <c r="U1330" s="166"/>
      <c r="V1330" s="166"/>
      <c r="W1330" s="166"/>
      <c r="X1330" s="166"/>
      <c r="Y1330" s="166"/>
      <c r="Z1330" s="166"/>
      <c r="AA1330" s="166"/>
      <c r="AB1330" s="166"/>
      <c r="AC1330" s="166"/>
      <c r="AD1330" s="166"/>
      <c r="AE1330" s="166"/>
      <c r="AF1330" s="166"/>
      <c r="AG1330" s="166"/>
      <c r="AH1330" s="166"/>
      <c r="AI1330" s="166"/>
    </row>
    <row r="1331" spans="7:35" x14ac:dyDescent="0.25">
      <c r="G1331" s="165"/>
      <c r="H1331" s="166"/>
      <c r="I1331" s="167"/>
      <c r="J1331" s="167"/>
      <c r="K1331" s="166"/>
      <c r="L1331" s="166"/>
      <c r="M1331" s="166"/>
      <c r="N1331" s="166"/>
      <c r="O1331" s="166"/>
      <c r="P1331" s="166"/>
      <c r="Q1331" s="166"/>
      <c r="R1331" s="166"/>
      <c r="S1331" s="166"/>
      <c r="T1331" s="166"/>
      <c r="U1331" s="166"/>
      <c r="V1331" s="166"/>
      <c r="W1331" s="166"/>
      <c r="X1331" s="166"/>
      <c r="Y1331" s="166"/>
      <c r="Z1331" s="166"/>
      <c r="AA1331" s="166"/>
      <c r="AB1331" s="166"/>
      <c r="AC1331" s="166"/>
      <c r="AD1331" s="166"/>
      <c r="AE1331" s="166"/>
      <c r="AF1331" s="166"/>
      <c r="AG1331" s="166"/>
      <c r="AH1331" s="166"/>
      <c r="AI1331" s="166"/>
    </row>
    <row r="1332" spans="7:35" x14ac:dyDescent="0.25">
      <c r="G1332" s="165"/>
      <c r="H1332" s="166"/>
      <c r="I1332" s="167"/>
      <c r="J1332" s="167"/>
      <c r="K1332" s="166"/>
      <c r="L1332" s="166"/>
      <c r="M1332" s="166"/>
      <c r="N1332" s="166"/>
      <c r="O1332" s="166"/>
      <c r="P1332" s="166"/>
      <c r="Q1332" s="166"/>
      <c r="R1332" s="166"/>
      <c r="S1332" s="166"/>
      <c r="T1332" s="166"/>
      <c r="U1332" s="166"/>
      <c r="V1332" s="166"/>
      <c r="W1332" s="166"/>
      <c r="X1332" s="166"/>
      <c r="Y1332" s="166"/>
      <c r="Z1332" s="166"/>
      <c r="AA1332" s="166"/>
      <c r="AB1332" s="166"/>
      <c r="AC1332" s="166"/>
      <c r="AD1332" s="166"/>
      <c r="AE1332" s="166"/>
      <c r="AF1332" s="166"/>
      <c r="AG1332" s="166"/>
      <c r="AH1332" s="166"/>
      <c r="AI1332" s="166"/>
    </row>
    <row r="1333" spans="7:35" x14ac:dyDescent="0.25">
      <c r="G1333" s="165"/>
      <c r="H1333" s="166"/>
      <c r="I1333" s="167"/>
      <c r="J1333" s="167"/>
      <c r="K1333" s="166"/>
      <c r="L1333" s="166"/>
      <c r="M1333" s="166"/>
      <c r="N1333" s="166"/>
      <c r="O1333" s="166"/>
      <c r="P1333" s="166"/>
      <c r="Q1333" s="166"/>
      <c r="R1333" s="166"/>
      <c r="S1333" s="166"/>
      <c r="T1333" s="166"/>
      <c r="U1333" s="166"/>
      <c r="V1333" s="166"/>
      <c r="W1333" s="166"/>
      <c r="X1333" s="166"/>
      <c r="Y1333" s="166"/>
      <c r="Z1333" s="166"/>
      <c r="AA1333" s="166"/>
      <c r="AB1333" s="166"/>
      <c r="AC1333" s="166"/>
      <c r="AD1333" s="166"/>
      <c r="AE1333" s="166"/>
      <c r="AF1333" s="166"/>
      <c r="AG1333" s="166"/>
      <c r="AH1333" s="166"/>
      <c r="AI1333" s="166"/>
    </row>
    <row r="1334" spans="7:35" x14ac:dyDescent="0.25">
      <c r="G1334" s="165"/>
      <c r="H1334" s="166"/>
      <c r="I1334" s="167"/>
      <c r="J1334" s="167"/>
      <c r="K1334" s="166"/>
      <c r="L1334" s="166"/>
      <c r="M1334" s="166"/>
      <c r="N1334" s="166"/>
      <c r="O1334" s="166"/>
      <c r="P1334" s="166"/>
      <c r="Q1334" s="166"/>
      <c r="R1334" s="166"/>
      <c r="S1334" s="166"/>
      <c r="T1334" s="166"/>
      <c r="U1334" s="166"/>
      <c r="V1334" s="166"/>
      <c r="W1334" s="166"/>
      <c r="X1334" s="166"/>
      <c r="Y1334" s="166"/>
      <c r="Z1334" s="166"/>
      <c r="AA1334" s="166"/>
      <c r="AB1334" s="166"/>
      <c r="AC1334" s="166"/>
      <c r="AD1334" s="166"/>
      <c r="AE1334" s="166"/>
      <c r="AF1334" s="166"/>
      <c r="AG1334" s="166"/>
      <c r="AH1334" s="166"/>
      <c r="AI1334" s="166"/>
    </row>
    <row r="1335" spans="7:35" x14ac:dyDescent="0.25">
      <c r="G1335" s="165"/>
      <c r="H1335" s="166"/>
      <c r="I1335" s="167"/>
      <c r="J1335" s="167"/>
      <c r="K1335" s="166"/>
      <c r="L1335" s="166"/>
      <c r="M1335" s="166"/>
      <c r="N1335" s="166"/>
      <c r="O1335" s="166"/>
      <c r="P1335" s="166"/>
      <c r="Q1335" s="166"/>
      <c r="R1335" s="166"/>
      <c r="S1335" s="166"/>
      <c r="T1335" s="166"/>
      <c r="U1335" s="166"/>
      <c r="V1335" s="166"/>
      <c r="W1335" s="166"/>
      <c r="X1335" s="166"/>
      <c r="Y1335" s="166"/>
      <c r="Z1335" s="166"/>
      <c r="AA1335" s="166"/>
      <c r="AB1335" s="166"/>
      <c r="AC1335" s="166"/>
      <c r="AD1335" s="166"/>
      <c r="AE1335" s="166"/>
      <c r="AF1335" s="166"/>
      <c r="AG1335" s="166"/>
      <c r="AH1335" s="166"/>
      <c r="AI1335" s="166"/>
    </row>
    <row r="1336" spans="7:35" x14ac:dyDescent="0.25">
      <c r="G1336" s="165"/>
      <c r="H1336" s="166"/>
      <c r="I1336" s="167"/>
      <c r="J1336" s="167"/>
      <c r="K1336" s="166"/>
      <c r="L1336" s="166"/>
      <c r="M1336" s="166"/>
      <c r="N1336" s="166"/>
      <c r="O1336" s="166"/>
      <c r="P1336" s="166"/>
      <c r="Q1336" s="166"/>
      <c r="R1336" s="166"/>
      <c r="S1336" s="166"/>
      <c r="T1336" s="166"/>
      <c r="U1336" s="166"/>
      <c r="V1336" s="166"/>
      <c r="W1336" s="166"/>
      <c r="X1336" s="166"/>
      <c r="Y1336" s="166"/>
      <c r="Z1336" s="166"/>
      <c r="AA1336" s="166"/>
      <c r="AB1336" s="166"/>
      <c r="AC1336" s="166"/>
      <c r="AD1336" s="166"/>
      <c r="AE1336" s="166"/>
      <c r="AF1336" s="166"/>
      <c r="AG1336" s="166"/>
      <c r="AH1336" s="166"/>
      <c r="AI1336" s="166"/>
    </row>
    <row r="1337" spans="7:35" x14ac:dyDescent="0.25">
      <c r="G1337" s="165"/>
      <c r="H1337" s="166"/>
      <c r="I1337" s="167"/>
      <c r="J1337" s="167"/>
      <c r="K1337" s="166"/>
      <c r="L1337" s="166"/>
      <c r="M1337" s="166"/>
      <c r="N1337" s="166"/>
      <c r="O1337" s="166"/>
      <c r="P1337" s="166"/>
      <c r="Q1337" s="166"/>
      <c r="R1337" s="166"/>
      <c r="S1337" s="166"/>
      <c r="T1337" s="166"/>
      <c r="U1337" s="166"/>
      <c r="V1337" s="166"/>
      <c r="W1337" s="166"/>
      <c r="X1337" s="166"/>
      <c r="Y1337" s="166"/>
      <c r="Z1337" s="166"/>
      <c r="AA1337" s="166"/>
      <c r="AB1337" s="166"/>
      <c r="AC1337" s="166"/>
      <c r="AD1337" s="166"/>
      <c r="AE1337" s="166"/>
      <c r="AF1337" s="166"/>
      <c r="AG1337" s="166"/>
      <c r="AH1337" s="166"/>
      <c r="AI1337" s="166"/>
    </row>
    <row r="1338" spans="7:35" x14ac:dyDescent="0.25">
      <c r="G1338" s="165"/>
      <c r="H1338" s="166"/>
      <c r="I1338" s="167"/>
      <c r="J1338" s="167"/>
      <c r="K1338" s="166"/>
      <c r="L1338" s="166"/>
      <c r="M1338" s="166"/>
      <c r="N1338" s="166"/>
      <c r="O1338" s="166"/>
      <c r="P1338" s="166"/>
      <c r="Q1338" s="166"/>
      <c r="R1338" s="166"/>
      <c r="S1338" s="166"/>
      <c r="T1338" s="166"/>
      <c r="U1338" s="166"/>
      <c r="V1338" s="166"/>
      <c r="W1338" s="166"/>
      <c r="X1338" s="166"/>
      <c r="Y1338" s="166"/>
      <c r="Z1338" s="166"/>
      <c r="AA1338" s="166"/>
      <c r="AB1338" s="166"/>
      <c r="AC1338" s="166"/>
      <c r="AD1338" s="166"/>
      <c r="AE1338" s="166"/>
      <c r="AF1338" s="166"/>
      <c r="AG1338" s="166"/>
      <c r="AH1338" s="166"/>
      <c r="AI1338" s="166"/>
    </row>
    <row r="1339" spans="7:35" x14ac:dyDescent="0.25">
      <c r="G1339" s="165"/>
      <c r="H1339" s="166"/>
      <c r="I1339" s="167"/>
      <c r="J1339" s="167"/>
      <c r="K1339" s="166"/>
      <c r="L1339" s="166"/>
      <c r="M1339" s="166"/>
      <c r="N1339" s="166"/>
      <c r="O1339" s="166"/>
      <c r="P1339" s="166"/>
      <c r="Q1339" s="166"/>
      <c r="R1339" s="166"/>
      <c r="S1339" s="166"/>
      <c r="T1339" s="166"/>
      <c r="U1339" s="166"/>
      <c r="V1339" s="166"/>
      <c r="W1339" s="166"/>
      <c r="X1339" s="166"/>
      <c r="Y1339" s="166"/>
      <c r="Z1339" s="166"/>
      <c r="AA1339" s="166"/>
      <c r="AB1339" s="166"/>
      <c r="AC1339" s="166"/>
      <c r="AD1339" s="166"/>
      <c r="AE1339" s="166"/>
      <c r="AF1339" s="166"/>
      <c r="AG1339" s="166"/>
      <c r="AH1339" s="166"/>
      <c r="AI1339" s="166"/>
    </row>
    <row r="1340" spans="7:35" x14ac:dyDescent="0.25">
      <c r="G1340" s="165"/>
      <c r="H1340" s="166"/>
      <c r="I1340" s="167"/>
      <c r="J1340" s="167"/>
      <c r="K1340" s="166"/>
      <c r="L1340" s="166"/>
      <c r="M1340" s="166"/>
      <c r="N1340" s="166"/>
      <c r="O1340" s="166"/>
      <c r="P1340" s="166"/>
      <c r="Q1340" s="166"/>
      <c r="R1340" s="166"/>
      <c r="S1340" s="166"/>
      <c r="T1340" s="166"/>
      <c r="U1340" s="166"/>
      <c r="V1340" s="166"/>
      <c r="W1340" s="166"/>
      <c r="X1340" s="166"/>
      <c r="Y1340" s="166"/>
      <c r="Z1340" s="166"/>
      <c r="AA1340" s="166"/>
      <c r="AB1340" s="166"/>
      <c r="AC1340" s="166"/>
      <c r="AD1340" s="166"/>
      <c r="AE1340" s="166"/>
      <c r="AF1340" s="166"/>
      <c r="AG1340" s="166"/>
      <c r="AH1340" s="166"/>
      <c r="AI1340" s="166"/>
    </row>
    <row r="1341" spans="7:35" x14ac:dyDescent="0.25">
      <c r="G1341" s="165"/>
      <c r="H1341" s="166"/>
      <c r="I1341" s="167"/>
      <c r="J1341" s="167"/>
      <c r="K1341" s="166"/>
      <c r="L1341" s="166"/>
      <c r="M1341" s="166"/>
      <c r="N1341" s="166"/>
      <c r="O1341" s="166"/>
      <c r="P1341" s="166"/>
      <c r="Q1341" s="166"/>
      <c r="R1341" s="166"/>
      <c r="S1341" s="166"/>
      <c r="T1341" s="166"/>
      <c r="U1341" s="166"/>
      <c r="V1341" s="166"/>
      <c r="W1341" s="166"/>
      <c r="X1341" s="166"/>
      <c r="Y1341" s="166"/>
      <c r="Z1341" s="166"/>
      <c r="AA1341" s="166"/>
      <c r="AB1341" s="166"/>
      <c r="AC1341" s="166"/>
      <c r="AD1341" s="166"/>
      <c r="AE1341" s="166"/>
      <c r="AF1341" s="166"/>
      <c r="AG1341" s="166"/>
      <c r="AH1341" s="166"/>
      <c r="AI1341" s="166"/>
    </row>
    <row r="1342" spans="7:35" x14ac:dyDescent="0.25">
      <c r="G1342" s="165"/>
      <c r="H1342" s="166"/>
      <c r="I1342" s="167"/>
      <c r="J1342" s="167"/>
      <c r="K1342" s="166"/>
      <c r="L1342" s="166"/>
      <c r="M1342" s="166"/>
      <c r="N1342" s="166"/>
      <c r="O1342" s="166"/>
      <c r="P1342" s="166"/>
      <c r="Q1342" s="166"/>
      <c r="R1342" s="166"/>
      <c r="S1342" s="166"/>
      <c r="T1342" s="166"/>
      <c r="U1342" s="166"/>
      <c r="V1342" s="166"/>
      <c r="W1342" s="166"/>
      <c r="X1342" s="166"/>
      <c r="Y1342" s="166"/>
      <c r="Z1342" s="166"/>
      <c r="AA1342" s="166"/>
      <c r="AB1342" s="166"/>
      <c r="AC1342" s="166"/>
      <c r="AD1342" s="166"/>
      <c r="AE1342" s="166"/>
      <c r="AF1342" s="166"/>
      <c r="AG1342" s="166"/>
      <c r="AH1342" s="166"/>
      <c r="AI1342" s="166"/>
    </row>
    <row r="1343" spans="7:35" x14ac:dyDescent="0.25">
      <c r="G1343" s="165"/>
      <c r="H1343" s="166"/>
      <c r="I1343" s="167"/>
      <c r="J1343" s="167"/>
      <c r="K1343" s="166"/>
      <c r="L1343" s="166"/>
      <c r="M1343" s="166"/>
      <c r="N1343" s="166"/>
      <c r="O1343" s="166"/>
      <c r="P1343" s="166"/>
      <c r="Q1343" s="166"/>
      <c r="R1343" s="166"/>
      <c r="S1343" s="166"/>
      <c r="T1343" s="166"/>
      <c r="U1343" s="166"/>
      <c r="V1343" s="166"/>
      <c r="W1343" s="166"/>
      <c r="X1343" s="166"/>
      <c r="Y1343" s="166"/>
      <c r="Z1343" s="166"/>
      <c r="AA1343" s="166"/>
      <c r="AB1343" s="166"/>
      <c r="AC1343" s="166"/>
      <c r="AD1343" s="166"/>
      <c r="AE1343" s="166"/>
      <c r="AF1343" s="166"/>
      <c r="AG1343" s="166"/>
      <c r="AH1343" s="166"/>
      <c r="AI1343" s="166"/>
    </row>
    <row r="1344" spans="7:35" x14ac:dyDescent="0.25">
      <c r="G1344" s="165"/>
      <c r="H1344" s="166"/>
      <c r="I1344" s="167"/>
      <c r="J1344" s="167"/>
      <c r="K1344" s="166"/>
      <c r="L1344" s="166"/>
      <c r="M1344" s="166"/>
      <c r="N1344" s="166"/>
      <c r="O1344" s="166"/>
      <c r="P1344" s="166"/>
      <c r="Q1344" s="166"/>
      <c r="R1344" s="166"/>
      <c r="S1344" s="166"/>
      <c r="T1344" s="166"/>
      <c r="U1344" s="166"/>
      <c r="V1344" s="166"/>
      <c r="W1344" s="166"/>
      <c r="X1344" s="166"/>
      <c r="Y1344" s="166"/>
      <c r="Z1344" s="166"/>
      <c r="AA1344" s="166"/>
      <c r="AB1344" s="166"/>
      <c r="AC1344" s="166"/>
      <c r="AD1344" s="166"/>
      <c r="AE1344" s="166"/>
      <c r="AF1344" s="166"/>
      <c r="AG1344" s="166"/>
      <c r="AH1344" s="166"/>
      <c r="AI1344" s="166"/>
    </row>
    <row r="1345" spans="7:35" x14ac:dyDescent="0.25">
      <c r="G1345" s="165"/>
      <c r="H1345" s="166"/>
      <c r="I1345" s="167"/>
      <c r="J1345" s="167"/>
      <c r="K1345" s="166"/>
      <c r="L1345" s="166"/>
      <c r="M1345" s="166"/>
      <c r="N1345" s="166"/>
      <c r="O1345" s="166"/>
      <c r="P1345" s="166"/>
      <c r="Q1345" s="166"/>
      <c r="R1345" s="166"/>
      <c r="S1345" s="166"/>
      <c r="T1345" s="166"/>
      <c r="U1345" s="166"/>
      <c r="V1345" s="166"/>
      <c r="W1345" s="166"/>
      <c r="X1345" s="166"/>
      <c r="Y1345" s="166"/>
      <c r="Z1345" s="166"/>
      <c r="AA1345" s="166"/>
      <c r="AB1345" s="166"/>
      <c r="AC1345" s="166"/>
      <c r="AD1345" s="166"/>
      <c r="AE1345" s="166"/>
      <c r="AF1345" s="166"/>
      <c r="AG1345" s="166"/>
      <c r="AH1345" s="166"/>
      <c r="AI1345" s="166"/>
    </row>
    <row r="1346" spans="7:35" x14ac:dyDescent="0.25">
      <c r="G1346" s="165"/>
      <c r="H1346" s="166"/>
      <c r="I1346" s="167"/>
      <c r="J1346" s="167"/>
      <c r="K1346" s="166"/>
      <c r="L1346" s="166"/>
      <c r="M1346" s="166"/>
      <c r="N1346" s="166"/>
      <c r="O1346" s="166"/>
      <c r="P1346" s="166"/>
      <c r="Q1346" s="166"/>
      <c r="R1346" s="166"/>
      <c r="S1346" s="166"/>
      <c r="T1346" s="166"/>
      <c r="U1346" s="166"/>
      <c r="V1346" s="166"/>
      <c r="W1346" s="166"/>
      <c r="X1346" s="166"/>
      <c r="Y1346" s="166"/>
      <c r="Z1346" s="166"/>
      <c r="AA1346" s="166"/>
      <c r="AB1346" s="166"/>
      <c r="AC1346" s="166"/>
      <c r="AD1346" s="166"/>
      <c r="AE1346" s="166"/>
      <c r="AF1346" s="166"/>
      <c r="AG1346" s="166"/>
      <c r="AH1346" s="166"/>
      <c r="AI1346" s="166"/>
    </row>
    <row r="1347" spans="7:35" x14ac:dyDescent="0.25">
      <c r="G1347" s="165"/>
      <c r="H1347" s="166"/>
      <c r="I1347" s="167"/>
      <c r="J1347" s="167"/>
      <c r="K1347" s="166"/>
      <c r="L1347" s="166"/>
      <c r="M1347" s="166"/>
      <c r="N1347" s="166"/>
      <c r="O1347" s="166"/>
      <c r="P1347" s="166"/>
      <c r="Q1347" s="166"/>
      <c r="R1347" s="166"/>
      <c r="S1347" s="166"/>
      <c r="T1347" s="166"/>
      <c r="U1347" s="166"/>
      <c r="V1347" s="166"/>
      <c r="W1347" s="166"/>
      <c r="X1347" s="166"/>
      <c r="Y1347" s="166"/>
      <c r="Z1347" s="166"/>
      <c r="AA1347" s="166"/>
      <c r="AB1347" s="166"/>
      <c r="AC1347" s="166"/>
      <c r="AD1347" s="166"/>
      <c r="AE1347" s="166"/>
      <c r="AF1347" s="166"/>
      <c r="AG1347" s="166"/>
      <c r="AH1347" s="166"/>
      <c r="AI1347" s="166"/>
    </row>
    <row r="1348" spans="7:35" x14ac:dyDescent="0.25">
      <c r="G1348" s="165"/>
      <c r="H1348" s="166"/>
      <c r="I1348" s="167"/>
      <c r="J1348" s="167"/>
      <c r="K1348" s="166"/>
      <c r="L1348" s="166"/>
      <c r="M1348" s="166"/>
      <c r="N1348" s="166"/>
      <c r="O1348" s="166"/>
      <c r="P1348" s="166"/>
      <c r="Q1348" s="166"/>
      <c r="R1348" s="166"/>
      <c r="S1348" s="166"/>
      <c r="T1348" s="166"/>
      <c r="U1348" s="166"/>
      <c r="V1348" s="166"/>
      <c r="W1348" s="166"/>
      <c r="X1348" s="166"/>
      <c r="Y1348" s="166"/>
      <c r="Z1348" s="166"/>
      <c r="AA1348" s="166"/>
      <c r="AB1348" s="166"/>
      <c r="AC1348" s="166"/>
      <c r="AD1348" s="166"/>
      <c r="AE1348" s="166"/>
      <c r="AF1348" s="166"/>
      <c r="AG1348" s="166"/>
      <c r="AH1348" s="166"/>
      <c r="AI1348" s="166"/>
    </row>
    <row r="1349" spans="7:35" x14ac:dyDescent="0.25">
      <c r="G1349" s="165"/>
      <c r="H1349" s="166"/>
      <c r="I1349" s="167"/>
      <c r="J1349" s="167"/>
      <c r="K1349" s="166"/>
      <c r="L1349" s="166"/>
      <c r="M1349" s="166"/>
      <c r="N1349" s="166"/>
      <c r="O1349" s="166"/>
      <c r="P1349" s="166"/>
      <c r="Q1349" s="166"/>
      <c r="R1349" s="166"/>
      <c r="S1349" s="166"/>
      <c r="T1349" s="166"/>
      <c r="U1349" s="166"/>
      <c r="V1349" s="166"/>
      <c r="W1349" s="166"/>
      <c r="X1349" s="166"/>
      <c r="Y1349" s="166"/>
      <c r="Z1349" s="166"/>
      <c r="AA1349" s="166"/>
      <c r="AB1349" s="166"/>
      <c r="AC1349" s="166"/>
      <c r="AD1349" s="166"/>
      <c r="AE1349" s="166"/>
      <c r="AF1349" s="166"/>
      <c r="AG1349" s="166"/>
      <c r="AH1349" s="166"/>
      <c r="AI1349" s="166"/>
    </row>
    <row r="1350" spans="7:35" x14ac:dyDescent="0.25">
      <c r="G1350" s="165"/>
      <c r="H1350" s="166"/>
      <c r="I1350" s="167"/>
      <c r="J1350" s="167"/>
      <c r="K1350" s="166"/>
      <c r="L1350" s="166"/>
      <c r="M1350" s="166"/>
      <c r="N1350" s="166"/>
      <c r="O1350" s="166"/>
      <c r="P1350" s="166"/>
      <c r="Q1350" s="166"/>
      <c r="R1350" s="166"/>
      <c r="S1350" s="166"/>
      <c r="T1350" s="166"/>
      <c r="U1350" s="166"/>
      <c r="V1350" s="166"/>
      <c r="W1350" s="166"/>
      <c r="X1350" s="166"/>
      <c r="Y1350" s="166"/>
      <c r="Z1350" s="166"/>
      <c r="AA1350" s="166"/>
      <c r="AB1350" s="166"/>
      <c r="AC1350" s="166"/>
      <c r="AD1350" s="166"/>
      <c r="AE1350" s="166"/>
      <c r="AF1350" s="166"/>
      <c r="AG1350" s="166"/>
      <c r="AH1350" s="166"/>
      <c r="AI1350" s="166"/>
    </row>
    <row r="1351" spans="7:35" x14ac:dyDescent="0.25">
      <c r="G1351" s="165"/>
      <c r="H1351" s="166"/>
      <c r="I1351" s="167"/>
      <c r="J1351" s="167"/>
      <c r="K1351" s="166"/>
      <c r="L1351" s="166"/>
      <c r="M1351" s="166"/>
      <c r="N1351" s="166"/>
      <c r="O1351" s="166"/>
      <c r="P1351" s="166"/>
      <c r="Q1351" s="166"/>
      <c r="R1351" s="166"/>
      <c r="S1351" s="166"/>
      <c r="T1351" s="166"/>
      <c r="U1351" s="166"/>
      <c r="V1351" s="166"/>
      <c r="W1351" s="166"/>
      <c r="X1351" s="166"/>
      <c r="Y1351" s="166"/>
      <c r="Z1351" s="166"/>
      <c r="AA1351" s="166"/>
      <c r="AB1351" s="166"/>
      <c r="AC1351" s="166"/>
      <c r="AD1351" s="166"/>
      <c r="AE1351" s="166"/>
      <c r="AF1351" s="166"/>
      <c r="AG1351" s="166"/>
      <c r="AH1351" s="166"/>
      <c r="AI1351" s="166"/>
    </row>
    <row r="1352" spans="7:35" x14ac:dyDescent="0.25">
      <c r="G1352" s="165"/>
      <c r="H1352" s="166"/>
      <c r="I1352" s="167"/>
      <c r="J1352" s="167"/>
      <c r="K1352" s="166"/>
      <c r="L1352" s="166"/>
      <c r="M1352" s="166"/>
      <c r="N1352" s="166"/>
      <c r="O1352" s="166"/>
      <c r="P1352" s="166"/>
      <c r="Q1352" s="166"/>
      <c r="R1352" s="166"/>
      <c r="S1352" s="166"/>
      <c r="T1352" s="166"/>
      <c r="U1352" s="166"/>
      <c r="V1352" s="166"/>
      <c r="W1352" s="166"/>
      <c r="X1352" s="166"/>
      <c r="Y1352" s="166"/>
      <c r="Z1352" s="166"/>
      <c r="AA1352" s="166"/>
      <c r="AB1352" s="166"/>
      <c r="AC1352" s="166"/>
      <c r="AD1352" s="166"/>
      <c r="AE1352" s="166"/>
      <c r="AF1352" s="166"/>
      <c r="AG1352" s="166"/>
      <c r="AH1352" s="166"/>
      <c r="AI1352" s="166"/>
    </row>
    <row r="1353" spans="7:35" x14ac:dyDescent="0.25">
      <c r="G1353" s="165"/>
      <c r="H1353" s="166"/>
      <c r="I1353" s="167"/>
      <c r="J1353" s="167"/>
      <c r="K1353" s="166"/>
      <c r="L1353" s="166"/>
      <c r="M1353" s="166"/>
      <c r="N1353" s="166"/>
      <c r="O1353" s="166"/>
      <c r="P1353" s="166"/>
      <c r="Q1353" s="166"/>
      <c r="R1353" s="166"/>
      <c r="S1353" s="166"/>
      <c r="T1353" s="166"/>
      <c r="U1353" s="166"/>
      <c r="V1353" s="166"/>
      <c r="W1353" s="166"/>
      <c r="X1353" s="166"/>
      <c r="Y1353" s="166"/>
      <c r="Z1353" s="166"/>
      <c r="AA1353" s="166"/>
      <c r="AB1353" s="166"/>
      <c r="AC1353" s="166"/>
      <c r="AD1353" s="166"/>
      <c r="AE1353" s="166"/>
      <c r="AF1353" s="166"/>
      <c r="AG1353" s="166"/>
      <c r="AH1353" s="166"/>
      <c r="AI1353" s="166"/>
    </row>
    <row r="1354" spans="7:35" x14ac:dyDescent="0.25">
      <c r="G1354" s="165"/>
      <c r="H1354" s="166"/>
      <c r="I1354" s="167"/>
      <c r="J1354" s="167"/>
      <c r="K1354" s="166"/>
      <c r="L1354" s="166"/>
      <c r="M1354" s="166"/>
      <c r="N1354" s="166"/>
      <c r="O1354" s="166"/>
      <c r="P1354" s="166"/>
      <c r="Q1354" s="166"/>
      <c r="R1354" s="166"/>
      <c r="S1354" s="166"/>
      <c r="T1354" s="166"/>
      <c r="U1354" s="166"/>
      <c r="V1354" s="166"/>
      <c r="W1354" s="166"/>
      <c r="X1354" s="166"/>
      <c r="Y1354" s="166"/>
      <c r="Z1354" s="166"/>
      <c r="AA1354" s="166"/>
      <c r="AB1354" s="166"/>
      <c r="AC1354" s="166"/>
      <c r="AD1354" s="166"/>
      <c r="AE1354" s="166"/>
      <c r="AF1354" s="166"/>
      <c r="AG1354" s="166"/>
      <c r="AH1354" s="166"/>
      <c r="AI1354" s="166"/>
    </row>
    <row r="1355" spans="7:35" x14ac:dyDescent="0.25">
      <c r="G1355" s="165"/>
      <c r="H1355" s="166"/>
      <c r="I1355" s="167"/>
      <c r="J1355" s="167"/>
      <c r="K1355" s="166"/>
      <c r="L1355" s="166"/>
      <c r="M1355" s="166"/>
      <c r="N1355" s="166"/>
      <c r="O1355" s="166"/>
      <c r="P1355" s="166"/>
      <c r="Q1355" s="166"/>
      <c r="R1355" s="166"/>
      <c r="S1355" s="166"/>
      <c r="T1355" s="166"/>
      <c r="U1355" s="166"/>
      <c r="V1355" s="166"/>
      <c r="W1355" s="166"/>
      <c r="X1355" s="166"/>
      <c r="Y1355" s="166"/>
      <c r="Z1355" s="166"/>
      <c r="AA1355" s="166"/>
      <c r="AB1355" s="166"/>
      <c r="AC1355" s="166"/>
      <c r="AD1355" s="166"/>
      <c r="AE1355" s="166"/>
      <c r="AF1355" s="166"/>
      <c r="AG1355" s="166"/>
      <c r="AH1355" s="166"/>
      <c r="AI1355" s="166"/>
    </row>
    <row r="1356" spans="7:35" x14ac:dyDescent="0.25">
      <c r="G1356" s="165"/>
      <c r="H1356" s="166"/>
      <c r="I1356" s="167"/>
      <c r="J1356" s="167"/>
      <c r="K1356" s="166"/>
      <c r="L1356" s="166"/>
      <c r="M1356" s="166"/>
      <c r="N1356" s="166"/>
      <c r="O1356" s="166"/>
      <c r="P1356" s="166"/>
      <c r="Q1356" s="166"/>
      <c r="R1356" s="166"/>
      <c r="S1356" s="166"/>
      <c r="T1356" s="166"/>
      <c r="U1356" s="166"/>
      <c r="V1356" s="166"/>
      <c r="W1356" s="166"/>
      <c r="X1356" s="166"/>
      <c r="Y1356" s="166"/>
      <c r="Z1356" s="166"/>
      <c r="AA1356" s="166"/>
      <c r="AB1356" s="166"/>
      <c r="AC1356" s="166"/>
      <c r="AD1356" s="166"/>
      <c r="AE1356" s="166"/>
      <c r="AF1356" s="166"/>
      <c r="AG1356" s="166"/>
      <c r="AH1356" s="166"/>
      <c r="AI1356" s="166"/>
    </row>
    <row r="1357" spans="7:35" x14ac:dyDescent="0.25">
      <c r="G1357" s="165"/>
      <c r="H1357" s="166"/>
      <c r="I1357" s="167"/>
      <c r="J1357" s="167"/>
      <c r="K1357" s="166"/>
      <c r="L1357" s="166"/>
      <c r="M1357" s="166"/>
      <c r="N1357" s="166"/>
      <c r="O1357" s="166"/>
      <c r="P1357" s="166"/>
      <c r="Q1357" s="166"/>
      <c r="R1357" s="166"/>
      <c r="S1357" s="166"/>
      <c r="T1357" s="166"/>
      <c r="U1357" s="166"/>
      <c r="V1357" s="166"/>
      <c r="W1357" s="166"/>
      <c r="X1357" s="166"/>
      <c r="Y1357" s="166"/>
      <c r="Z1357" s="166"/>
      <c r="AA1357" s="166"/>
      <c r="AB1357" s="166"/>
      <c r="AC1357" s="166"/>
      <c r="AD1357" s="166"/>
      <c r="AE1357" s="166"/>
      <c r="AF1357" s="166"/>
      <c r="AG1357" s="166"/>
      <c r="AH1357" s="166"/>
      <c r="AI1357" s="166"/>
    </row>
    <row r="1358" spans="7:35" x14ac:dyDescent="0.25">
      <c r="G1358" s="165"/>
      <c r="H1358" s="166"/>
      <c r="I1358" s="167"/>
      <c r="J1358" s="167"/>
      <c r="K1358" s="166"/>
      <c r="L1358" s="166"/>
      <c r="M1358" s="166"/>
      <c r="N1358" s="166"/>
      <c r="O1358" s="166"/>
      <c r="P1358" s="166"/>
      <c r="Q1358" s="166"/>
      <c r="R1358" s="166"/>
      <c r="S1358" s="166"/>
      <c r="T1358" s="166"/>
      <c r="U1358" s="166"/>
      <c r="V1358" s="166"/>
      <c r="W1358" s="166"/>
      <c r="X1358" s="166"/>
      <c r="Y1358" s="166"/>
      <c r="Z1358" s="166"/>
      <c r="AA1358" s="166"/>
      <c r="AB1358" s="166"/>
      <c r="AC1358" s="166"/>
      <c r="AD1358" s="166"/>
      <c r="AE1358" s="166"/>
      <c r="AF1358" s="166"/>
      <c r="AG1358" s="166"/>
      <c r="AH1358" s="166"/>
      <c r="AI1358" s="166"/>
    </row>
    <row r="1359" spans="7:35" x14ac:dyDescent="0.25">
      <c r="G1359" s="165"/>
      <c r="H1359" s="166"/>
      <c r="I1359" s="167"/>
      <c r="J1359" s="167"/>
      <c r="K1359" s="166"/>
      <c r="L1359" s="166"/>
      <c r="M1359" s="166"/>
      <c r="N1359" s="166"/>
      <c r="O1359" s="166"/>
      <c r="P1359" s="166"/>
      <c r="Q1359" s="166"/>
      <c r="R1359" s="166"/>
      <c r="S1359" s="166"/>
      <c r="T1359" s="166"/>
      <c r="U1359" s="166"/>
      <c r="V1359" s="166"/>
      <c r="W1359" s="166"/>
      <c r="X1359" s="166"/>
      <c r="Y1359" s="166"/>
      <c r="Z1359" s="166"/>
      <c r="AA1359" s="166"/>
      <c r="AB1359" s="166"/>
      <c r="AC1359" s="166"/>
      <c r="AD1359" s="166"/>
      <c r="AE1359" s="166"/>
      <c r="AF1359" s="166"/>
      <c r="AG1359" s="166"/>
      <c r="AH1359" s="166"/>
      <c r="AI1359" s="166"/>
    </row>
    <row r="1360" spans="7:35" x14ac:dyDescent="0.25">
      <c r="G1360" s="165"/>
      <c r="H1360" s="166"/>
      <c r="I1360" s="167"/>
      <c r="J1360" s="167"/>
      <c r="K1360" s="166"/>
      <c r="L1360" s="166"/>
      <c r="M1360" s="166"/>
      <c r="N1360" s="166"/>
      <c r="O1360" s="166"/>
      <c r="P1360" s="166"/>
      <c r="Q1360" s="166"/>
      <c r="R1360" s="166"/>
      <c r="S1360" s="166"/>
      <c r="T1360" s="166"/>
      <c r="U1360" s="166"/>
      <c r="V1360" s="166"/>
      <c r="W1360" s="166"/>
      <c r="X1360" s="166"/>
      <c r="Y1360" s="166"/>
      <c r="Z1360" s="166"/>
      <c r="AA1360" s="166"/>
      <c r="AB1360" s="166"/>
      <c r="AC1360" s="166"/>
      <c r="AD1360" s="166"/>
      <c r="AE1360" s="166"/>
      <c r="AF1360" s="166"/>
      <c r="AG1360" s="166"/>
      <c r="AH1360" s="166"/>
      <c r="AI1360" s="166"/>
    </row>
    <row r="1361" spans="7:35" x14ac:dyDescent="0.25">
      <c r="G1361" s="165"/>
      <c r="H1361" s="166"/>
      <c r="I1361" s="167"/>
      <c r="J1361" s="167"/>
      <c r="K1361" s="166"/>
      <c r="L1361" s="166"/>
      <c r="M1361" s="166"/>
      <c r="N1361" s="166"/>
      <c r="O1361" s="166"/>
      <c r="P1361" s="166"/>
      <c r="Q1361" s="166"/>
      <c r="R1361" s="166"/>
      <c r="S1361" s="166"/>
      <c r="T1361" s="166"/>
      <c r="U1361" s="166"/>
      <c r="V1361" s="166"/>
      <c r="W1361" s="166"/>
      <c r="X1361" s="166"/>
      <c r="Y1361" s="166"/>
      <c r="Z1361" s="166"/>
      <c r="AA1361" s="166"/>
      <c r="AB1361" s="166"/>
      <c r="AC1361" s="166"/>
      <c r="AD1361" s="166"/>
      <c r="AE1361" s="166"/>
      <c r="AF1361" s="166"/>
      <c r="AG1361" s="166"/>
      <c r="AH1361" s="166"/>
      <c r="AI1361" s="166"/>
    </row>
    <row r="1362" spans="7:35" x14ac:dyDescent="0.25">
      <c r="G1362" s="165"/>
      <c r="H1362" s="166"/>
      <c r="I1362" s="167"/>
      <c r="J1362" s="167"/>
      <c r="K1362" s="166"/>
      <c r="L1362" s="166"/>
      <c r="M1362" s="166"/>
      <c r="N1362" s="166"/>
      <c r="O1362" s="166"/>
      <c r="P1362" s="166"/>
      <c r="Q1362" s="166"/>
      <c r="R1362" s="166"/>
      <c r="S1362" s="166"/>
      <c r="T1362" s="166"/>
      <c r="U1362" s="166"/>
      <c r="V1362" s="166"/>
      <c r="W1362" s="166"/>
      <c r="X1362" s="166"/>
      <c r="Y1362" s="166"/>
      <c r="Z1362" s="166"/>
      <c r="AA1362" s="166"/>
      <c r="AB1362" s="166"/>
      <c r="AC1362" s="166"/>
      <c r="AD1362" s="166"/>
      <c r="AE1362" s="166"/>
      <c r="AF1362" s="166"/>
      <c r="AG1362" s="166"/>
      <c r="AH1362" s="166"/>
      <c r="AI1362" s="166"/>
    </row>
    <row r="1363" spans="7:35" x14ac:dyDescent="0.25">
      <c r="G1363" s="165"/>
      <c r="H1363" s="166"/>
      <c r="I1363" s="167"/>
      <c r="J1363" s="167"/>
      <c r="K1363" s="166"/>
      <c r="L1363" s="166"/>
      <c r="M1363" s="166"/>
      <c r="N1363" s="166"/>
      <c r="O1363" s="166"/>
      <c r="P1363" s="166"/>
      <c r="Q1363" s="166"/>
      <c r="R1363" s="166"/>
      <c r="S1363" s="166"/>
      <c r="T1363" s="166"/>
      <c r="U1363" s="166"/>
      <c r="V1363" s="166"/>
      <c r="W1363" s="166"/>
      <c r="X1363" s="166"/>
      <c r="Y1363" s="166"/>
      <c r="Z1363" s="166"/>
      <c r="AA1363" s="166"/>
      <c r="AB1363" s="166"/>
      <c r="AC1363" s="166"/>
      <c r="AD1363" s="166"/>
      <c r="AE1363" s="166"/>
      <c r="AF1363" s="166"/>
      <c r="AG1363" s="166"/>
      <c r="AH1363" s="166"/>
      <c r="AI1363" s="166"/>
    </row>
    <row r="1364" spans="7:35" x14ac:dyDescent="0.25">
      <c r="G1364" s="165"/>
      <c r="H1364" s="166"/>
      <c r="I1364" s="167"/>
      <c r="J1364" s="167"/>
      <c r="K1364" s="166"/>
      <c r="L1364" s="166"/>
      <c r="M1364" s="166"/>
      <c r="N1364" s="166"/>
      <c r="O1364" s="166"/>
      <c r="P1364" s="166"/>
      <c r="Q1364" s="166"/>
      <c r="R1364" s="166"/>
      <c r="S1364" s="166"/>
      <c r="T1364" s="166"/>
      <c r="U1364" s="166"/>
      <c r="V1364" s="166"/>
      <c r="W1364" s="166"/>
      <c r="X1364" s="166"/>
      <c r="Y1364" s="166"/>
      <c r="Z1364" s="166"/>
      <c r="AA1364" s="166"/>
      <c r="AB1364" s="166"/>
      <c r="AC1364" s="166"/>
      <c r="AD1364" s="166"/>
      <c r="AE1364" s="166"/>
      <c r="AF1364" s="166"/>
      <c r="AG1364" s="166"/>
      <c r="AH1364" s="166"/>
      <c r="AI1364" s="166"/>
    </row>
    <row r="1365" spans="7:35" x14ac:dyDescent="0.25">
      <c r="G1365" s="165"/>
      <c r="H1365" s="166"/>
      <c r="I1365" s="167"/>
      <c r="J1365" s="167"/>
      <c r="K1365" s="166"/>
      <c r="L1365" s="166"/>
      <c r="M1365" s="166"/>
      <c r="N1365" s="166"/>
      <c r="O1365" s="166"/>
      <c r="P1365" s="166"/>
      <c r="Q1365" s="166"/>
      <c r="R1365" s="166"/>
      <c r="S1365" s="166"/>
      <c r="T1365" s="166"/>
      <c r="U1365" s="166"/>
      <c r="V1365" s="166"/>
      <c r="W1365" s="166"/>
      <c r="X1365" s="166"/>
      <c r="Y1365" s="166"/>
      <c r="Z1365" s="166"/>
      <c r="AA1365" s="166"/>
      <c r="AB1365" s="166"/>
      <c r="AC1365" s="166"/>
      <c r="AD1365" s="166"/>
      <c r="AE1365" s="166"/>
      <c r="AF1365" s="166"/>
      <c r="AG1365" s="166"/>
      <c r="AH1365" s="166"/>
      <c r="AI1365" s="166"/>
    </row>
    <row r="1366" spans="7:35" x14ac:dyDescent="0.25">
      <c r="G1366" s="165"/>
      <c r="H1366" s="166"/>
      <c r="I1366" s="167"/>
      <c r="J1366" s="167"/>
      <c r="K1366" s="166"/>
      <c r="L1366" s="166"/>
      <c r="M1366" s="166"/>
      <c r="N1366" s="166"/>
      <c r="O1366" s="166"/>
      <c r="P1366" s="166"/>
      <c r="Q1366" s="166"/>
      <c r="R1366" s="166"/>
      <c r="S1366" s="166"/>
      <c r="T1366" s="166"/>
      <c r="U1366" s="166"/>
      <c r="V1366" s="166"/>
      <c r="W1366" s="166"/>
      <c r="X1366" s="166"/>
      <c r="Y1366" s="166"/>
      <c r="Z1366" s="166"/>
      <c r="AA1366" s="166"/>
      <c r="AB1366" s="166"/>
      <c r="AC1366" s="166"/>
      <c r="AD1366" s="166"/>
      <c r="AE1366" s="166"/>
      <c r="AF1366" s="166"/>
      <c r="AG1366" s="166"/>
      <c r="AH1366" s="166"/>
      <c r="AI1366" s="166"/>
    </row>
    <row r="1367" spans="7:35" x14ac:dyDescent="0.25">
      <c r="G1367" s="165"/>
      <c r="H1367" s="166"/>
      <c r="I1367" s="167"/>
      <c r="J1367" s="167"/>
      <c r="K1367" s="166"/>
      <c r="L1367" s="166"/>
      <c r="M1367" s="166"/>
      <c r="N1367" s="166"/>
      <c r="O1367" s="166"/>
      <c r="P1367" s="166"/>
      <c r="Q1367" s="166"/>
      <c r="R1367" s="166"/>
      <c r="S1367" s="166"/>
      <c r="T1367" s="166"/>
      <c r="U1367" s="166"/>
      <c r="V1367" s="166"/>
      <c r="W1367" s="166"/>
      <c r="X1367" s="166"/>
      <c r="Y1367" s="166"/>
      <c r="Z1367" s="166"/>
      <c r="AA1367" s="166"/>
      <c r="AB1367" s="166"/>
      <c r="AC1367" s="166"/>
      <c r="AD1367" s="166"/>
      <c r="AE1367" s="166"/>
      <c r="AF1367" s="166"/>
      <c r="AG1367" s="166"/>
      <c r="AH1367" s="166"/>
      <c r="AI1367" s="166"/>
    </row>
    <row r="1368" spans="7:35" x14ac:dyDescent="0.25">
      <c r="G1368" s="165"/>
      <c r="H1368" s="166"/>
      <c r="I1368" s="167"/>
      <c r="J1368" s="167"/>
      <c r="K1368" s="166"/>
      <c r="L1368" s="166"/>
      <c r="M1368" s="166"/>
      <c r="N1368" s="166"/>
      <c r="O1368" s="166"/>
      <c r="P1368" s="166"/>
      <c r="Q1368" s="166"/>
      <c r="R1368" s="166"/>
      <c r="S1368" s="166"/>
      <c r="T1368" s="166"/>
      <c r="U1368" s="166"/>
      <c r="V1368" s="166"/>
      <c r="W1368" s="166"/>
      <c r="X1368" s="166"/>
      <c r="Y1368" s="166"/>
      <c r="Z1368" s="166"/>
      <c r="AA1368" s="166"/>
      <c r="AB1368" s="166"/>
      <c r="AC1368" s="166"/>
      <c r="AD1368" s="166"/>
      <c r="AE1368" s="166"/>
      <c r="AF1368" s="166"/>
      <c r="AG1368" s="166"/>
      <c r="AH1368" s="166"/>
      <c r="AI1368" s="166"/>
    </row>
    <row r="1369" spans="7:35" x14ac:dyDescent="0.25">
      <c r="G1369" s="165"/>
      <c r="H1369" s="166"/>
      <c r="I1369" s="167"/>
      <c r="J1369" s="167"/>
      <c r="K1369" s="166"/>
      <c r="L1369" s="166"/>
      <c r="M1369" s="166"/>
      <c r="N1369" s="166"/>
      <c r="O1369" s="166"/>
      <c r="P1369" s="166"/>
      <c r="Q1369" s="166"/>
      <c r="R1369" s="166"/>
      <c r="S1369" s="166"/>
      <c r="T1369" s="166"/>
      <c r="U1369" s="166"/>
      <c r="V1369" s="166"/>
      <c r="W1369" s="166"/>
      <c r="X1369" s="166"/>
      <c r="Y1369" s="166"/>
      <c r="Z1369" s="166"/>
      <c r="AA1369" s="166"/>
      <c r="AB1369" s="166"/>
      <c r="AC1369" s="166"/>
      <c r="AD1369" s="166"/>
      <c r="AE1369" s="166"/>
      <c r="AF1369" s="166"/>
      <c r="AG1369" s="166"/>
      <c r="AH1369" s="166"/>
      <c r="AI1369" s="166"/>
    </row>
    <row r="1370" spans="7:35" x14ac:dyDescent="0.25">
      <c r="G1370" s="165"/>
      <c r="H1370" s="166"/>
      <c r="I1370" s="167"/>
      <c r="J1370" s="167"/>
      <c r="K1370" s="166"/>
      <c r="L1370" s="166"/>
      <c r="M1370" s="166"/>
      <c r="N1370" s="166"/>
      <c r="O1370" s="166"/>
      <c r="P1370" s="166"/>
      <c r="Q1370" s="166"/>
      <c r="R1370" s="166"/>
      <c r="S1370" s="166"/>
      <c r="T1370" s="166"/>
      <c r="U1370" s="166"/>
      <c r="V1370" s="166"/>
      <c r="W1370" s="166"/>
      <c r="X1370" s="166"/>
      <c r="Y1370" s="166"/>
      <c r="Z1370" s="166"/>
      <c r="AA1370" s="166"/>
      <c r="AB1370" s="166"/>
      <c r="AC1370" s="166"/>
      <c r="AD1370" s="166"/>
      <c r="AE1370" s="166"/>
      <c r="AF1370" s="166"/>
      <c r="AG1370" s="166"/>
      <c r="AH1370" s="166"/>
      <c r="AI1370" s="166"/>
    </row>
    <row r="1371" spans="7:35" x14ac:dyDescent="0.25">
      <c r="G1371" s="165"/>
      <c r="H1371" s="166"/>
      <c r="I1371" s="167"/>
      <c r="J1371" s="167"/>
      <c r="K1371" s="166"/>
      <c r="L1371" s="166"/>
      <c r="M1371" s="166"/>
      <c r="N1371" s="166"/>
      <c r="O1371" s="166"/>
      <c r="P1371" s="166"/>
      <c r="Q1371" s="166"/>
      <c r="R1371" s="166"/>
      <c r="S1371" s="166"/>
      <c r="T1371" s="166"/>
      <c r="U1371" s="166"/>
      <c r="V1371" s="166"/>
      <c r="W1371" s="166"/>
      <c r="X1371" s="166"/>
      <c r="Y1371" s="166"/>
      <c r="Z1371" s="166"/>
      <c r="AA1371" s="166"/>
      <c r="AB1371" s="166"/>
      <c r="AC1371" s="166"/>
      <c r="AD1371" s="166"/>
      <c r="AE1371" s="166"/>
      <c r="AF1371" s="166"/>
      <c r="AG1371" s="166"/>
      <c r="AH1371" s="166"/>
      <c r="AI1371" s="166"/>
    </row>
    <row r="1372" spans="7:35" x14ac:dyDescent="0.25">
      <c r="G1372" s="165"/>
      <c r="H1372" s="166"/>
      <c r="I1372" s="167"/>
      <c r="J1372" s="167"/>
      <c r="K1372" s="166"/>
      <c r="L1372" s="166"/>
      <c r="M1372" s="166"/>
      <c r="N1372" s="166"/>
      <c r="O1372" s="166"/>
      <c r="P1372" s="166"/>
      <c r="Q1372" s="166"/>
      <c r="R1372" s="166"/>
      <c r="S1372" s="166"/>
      <c r="T1372" s="166"/>
      <c r="U1372" s="166"/>
      <c r="V1372" s="166"/>
      <c r="W1372" s="166"/>
      <c r="X1372" s="166"/>
      <c r="Y1372" s="166"/>
      <c r="Z1372" s="166"/>
      <c r="AA1372" s="166"/>
      <c r="AB1372" s="166"/>
      <c r="AC1372" s="166"/>
      <c r="AD1372" s="166"/>
      <c r="AE1372" s="166"/>
      <c r="AF1372" s="166"/>
      <c r="AG1372" s="166"/>
      <c r="AH1372" s="166"/>
      <c r="AI1372" s="166"/>
    </row>
    <row r="1373" spans="7:35" x14ac:dyDescent="0.25">
      <c r="G1373" s="165"/>
      <c r="H1373" s="166"/>
      <c r="I1373" s="167"/>
      <c r="J1373" s="167"/>
      <c r="K1373" s="166"/>
      <c r="L1373" s="166"/>
      <c r="M1373" s="166"/>
      <c r="N1373" s="166"/>
      <c r="O1373" s="166"/>
      <c r="P1373" s="166"/>
      <c r="Q1373" s="166"/>
      <c r="R1373" s="166"/>
      <c r="S1373" s="166"/>
      <c r="T1373" s="166"/>
      <c r="U1373" s="166"/>
      <c r="V1373" s="166"/>
      <c r="W1373" s="166"/>
      <c r="X1373" s="166"/>
      <c r="Y1373" s="166"/>
      <c r="Z1373" s="166"/>
      <c r="AA1373" s="166"/>
      <c r="AB1373" s="166"/>
      <c r="AC1373" s="166"/>
      <c r="AD1373" s="166"/>
      <c r="AE1373" s="166"/>
      <c r="AF1373" s="166"/>
      <c r="AG1373" s="166"/>
      <c r="AH1373" s="166"/>
      <c r="AI1373" s="166"/>
    </row>
    <row r="1374" spans="7:35" x14ac:dyDescent="0.25">
      <c r="G1374" s="165"/>
      <c r="H1374" s="166"/>
      <c r="I1374" s="167"/>
      <c r="J1374" s="167"/>
      <c r="K1374" s="166"/>
      <c r="L1374" s="166"/>
      <c r="M1374" s="166"/>
      <c r="N1374" s="166"/>
      <c r="O1374" s="166"/>
      <c r="P1374" s="166"/>
      <c r="Q1374" s="166"/>
      <c r="R1374" s="166"/>
      <c r="S1374" s="166"/>
      <c r="T1374" s="166"/>
      <c r="U1374" s="166"/>
      <c r="V1374" s="166"/>
      <c r="W1374" s="166"/>
      <c r="X1374" s="166"/>
      <c r="Y1374" s="166"/>
      <c r="Z1374" s="166"/>
      <c r="AA1374" s="166"/>
      <c r="AB1374" s="166"/>
      <c r="AC1374" s="166"/>
      <c r="AD1374" s="166"/>
      <c r="AE1374" s="166"/>
      <c r="AF1374" s="166"/>
      <c r="AG1374" s="166"/>
      <c r="AH1374" s="166"/>
      <c r="AI1374" s="166"/>
    </row>
    <row r="1375" spans="7:35" x14ac:dyDescent="0.25">
      <c r="G1375" s="165"/>
      <c r="H1375" s="166"/>
      <c r="I1375" s="167"/>
      <c r="J1375" s="167"/>
      <c r="K1375" s="166"/>
      <c r="L1375" s="166"/>
      <c r="M1375" s="166"/>
      <c r="N1375" s="166"/>
      <c r="O1375" s="166"/>
      <c r="P1375" s="166"/>
      <c r="Q1375" s="166"/>
      <c r="R1375" s="166"/>
      <c r="S1375" s="166"/>
      <c r="T1375" s="166"/>
      <c r="U1375" s="166"/>
      <c r="V1375" s="166"/>
      <c r="W1375" s="166"/>
      <c r="X1375" s="166"/>
      <c r="Y1375" s="166"/>
      <c r="Z1375" s="166"/>
      <c r="AA1375" s="166"/>
      <c r="AB1375" s="166"/>
      <c r="AC1375" s="166"/>
      <c r="AD1375" s="166"/>
      <c r="AE1375" s="166"/>
      <c r="AF1375" s="166"/>
      <c r="AG1375" s="166"/>
      <c r="AH1375" s="166"/>
      <c r="AI1375" s="166"/>
    </row>
    <row r="1376" spans="7:35" x14ac:dyDescent="0.25">
      <c r="G1376" s="165"/>
      <c r="H1376" s="166"/>
      <c r="I1376" s="167"/>
      <c r="J1376" s="167"/>
      <c r="K1376" s="166"/>
      <c r="L1376" s="166"/>
      <c r="M1376" s="166"/>
      <c r="N1376" s="166"/>
      <c r="O1376" s="166"/>
      <c r="P1376" s="166"/>
      <c r="Q1376" s="166"/>
      <c r="R1376" s="166"/>
      <c r="S1376" s="166"/>
      <c r="T1376" s="166"/>
      <c r="U1376" s="166"/>
      <c r="V1376" s="166"/>
      <c r="W1376" s="166"/>
      <c r="X1376" s="166"/>
      <c r="Y1376" s="166"/>
      <c r="Z1376" s="166"/>
      <c r="AA1376" s="166"/>
      <c r="AB1376" s="166"/>
      <c r="AC1376" s="166"/>
      <c r="AD1376" s="166"/>
      <c r="AE1376" s="166"/>
      <c r="AF1376" s="166"/>
      <c r="AG1376" s="166"/>
      <c r="AH1376" s="166"/>
      <c r="AI1376" s="166"/>
    </row>
    <row r="1377" spans="7:35" x14ac:dyDescent="0.25">
      <c r="G1377" s="165"/>
      <c r="H1377" s="166"/>
      <c r="I1377" s="167"/>
      <c r="J1377" s="167"/>
      <c r="K1377" s="166"/>
      <c r="L1377" s="166"/>
      <c r="M1377" s="166"/>
      <c r="N1377" s="166"/>
      <c r="O1377" s="166"/>
      <c r="P1377" s="166"/>
      <c r="Q1377" s="166"/>
      <c r="R1377" s="166"/>
      <c r="S1377" s="166"/>
      <c r="T1377" s="166"/>
      <c r="U1377" s="166"/>
      <c r="V1377" s="166"/>
      <c r="W1377" s="166"/>
      <c r="X1377" s="166"/>
      <c r="Y1377" s="166"/>
      <c r="Z1377" s="166"/>
      <c r="AA1377" s="166"/>
      <c r="AB1377" s="166"/>
      <c r="AC1377" s="166"/>
      <c r="AD1377" s="166"/>
      <c r="AE1377" s="166"/>
      <c r="AF1377" s="166"/>
      <c r="AG1377" s="166"/>
      <c r="AH1377" s="166"/>
      <c r="AI1377" s="166"/>
    </row>
    <row r="1378" spans="7:35" x14ac:dyDescent="0.25">
      <c r="G1378" s="165"/>
      <c r="H1378" s="166"/>
      <c r="I1378" s="167"/>
      <c r="J1378" s="167"/>
      <c r="K1378" s="166"/>
      <c r="L1378" s="166"/>
      <c r="M1378" s="166"/>
      <c r="N1378" s="166"/>
      <c r="O1378" s="166"/>
      <c r="P1378" s="166"/>
      <c r="Q1378" s="166"/>
      <c r="R1378" s="166"/>
      <c r="S1378" s="166"/>
      <c r="T1378" s="166"/>
      <c r="U1378" s="166"/>
      <c r="V1378" s="166"/>
      <c r="W1378" s="166"/>
      <c r="X1378" s="166"/>
      <c r="Y1378" s="166"/>
      <c r="Z1378" s="166"/>
      <c r="AA1378" s="166"/>
      <c r="AB1378" s="166"/>
      <c r="AC1378" s="166"/>
      <c r="AD1378" s="166"/>
      <c r="AE1378" s="166"/>
      <c r="AF1378" s="166"/>
      <c r="AG1378" s="166"/>
      <c r="AH1378" s="166"/>
      <c r="AI1378" s="166"/>
    </row>
    <row r="1379" spans="7:35" x14ac:dyDescent="0.25">
      <c r="G1379" s="165"/>
      <c r="H1379" s="166"/>
      <c r="I1379" s="167"/>
      <c r="J1379" s="167"/>
      <c r="K1379" s="166"/>
      <c r="L1379" s="166"/>
      <c r="M1379" s="166"/>
      <c r="N1379" s="166"/>
      <c r="O1379" s="166"/>
      <c r="P1379" s="166"/>
      <c r="Q1379" s="166"/>
      <c r="R1379" s="166"/>
      <c r="S1379" s="166"/>
      <c r="T1379" s="166"/>
      <c r="U1379" s="166"/>
      <c r="V1379" s="166"/>
      <c r="W1379" s="166"/>
      <c r="X1379" s="166"/>
      <c r="Y1379" s="166"/>
      <c r="Z1379" s="166"/>
      <c r="AA1379" s="166"/>
      <c r="AB1379" s="166"/>
      <c r="AC1379" s="166"/>
      <c r="AD1379" s="166"/>
      <c r="AE1379" s="166"/>
      <c r="AF1379" s="166"/>
      <c r="AG1379" s="166"/>
      <c r="AH1379" s="166"/>
      <c r="AI1379" s="166"/>
    </row>
    <row r="1380" spans="7:35" x14ac:dyDescent="0.25">
      <c r="G1380" s="165"/>
      <c r="H1380" s="166"/>
      <c r="I1380" s="167"/>
      <c r="J1380" s="167"/>
      <c r="K1380" s="166"/>
      <c r="L1380" s="166"/>
      <c r="M1380" s="166"/>
      <c r="N1380" s="166"/>
      <c r="O1380" s="166"/>
      <c r="P1380" s="166"/>
      <c r="Q1380" s="166"/>
      <c r="R1380" s="166"/>
      <c r="S1380" s="166"/>
      <c r="T1380" s="166"/>
      <c r="U1380" s="166"/>
      <c r="V1380" s="166"/>
      <c r="W1380" s="166"/>
      <c r="X1380" s="166"/>
      <c r="Y1380" s="166"/>
      <c r="Z1380" s="166"/>
      <c r="AA1380" s="166"/>
      <c r="AB1380" s="166"/>
      <c r="AC1380" s="166"/>
      <c r="AD1380" s="166"/>
      <c r="AE1380" s="166"/>
      <c r="AF1380" s="166"/>
      <c r="AG1380" s="166"/>
      <c r="AH1380" s="166"/>
      <c r="AI1380" s="166"/>
    </row>
    <row r="1381" spans="7:35" x14ac:dyDescent="0.25">
      <c r="G1381" s="165"/>
      <c r="H1381" s="166"/>
      <c r="I1381" s="167"/>
      <c r="J1381" s="167"/>
      <c r="K1381" s="166"/>
      <c r="L1381" s="166"/>
      <c r="M1381" s="166"/>
      <c r="N1381" s="166"/>
      <c r="O1381" s="166"/>
      <c r="P1381" s="166"/>
      <c r="Q1381" s="166"/>
      <c r="R1381" s="166"/>
      <c r="S1381" s="166"/>
      <c r="T1381" s="166"/>
      <c r="U1381" s="166"/>
      <c r="V1381" s="166"/>
      <c r="W1381" s="166"/>
      <c r="X1381" s="166"/>
      <c r="Y1381" s="166"/>
      <c r="Z1381" s="166"/>
      <c r="AA1381" s="166"/>
      <c r="AB1381" s="166"/>
      <c r="AC1381" s="166"/>
      <c r="AD1381" s="166"/>
      <c r="AE1381" s="166"/>
      <c r="AF1381" s="166"/>
      <c r="AG1381" s="166"/>
      <c r="AH1381" s="166"/>
      <c r="AI1381" s="166"/>
    </row>
    <row r="1382" spans="7:35" x14ac:dyDescent="0.25">
      <c r="G1382" s="165"/>
      <c r="H1382" s="166"/>
      <c r="I1382" s="167"/>
      <c r="J1382" s="167"/>
      <c r="K1382" s="166"/>
      <c r="L1382" s="166"/>
      <c r="M1382" s="166"/>
      <c r="N1382" s="166"/>
      <c r="O1382" s="166"/>
      <c r="P1382" s="166"/>
      <c r="Q1382" s="166"/>
      <c r="R1382" s="166"/>
      <c r="S1382" s="166"/>
      <c r="T1382" s="166"/>
      <c r="U1382" s="166"/>
      <c r="V1382" s="166"/>
      <c r="W1382" s="166"/>
      <c r="X1382" s="166"/>
      <c r="Y1382" s="166"/>
      <c r="Z1382" s="166"/>
      <c r="AA1382" s="166"/>
      <c r="AB1382" s="166"/>
      <c r="AC1382" s="166"/>
      <c r="AD1382" s="166"/>
      <c r="AE1382" s="166"/>
      <c r="AF1382" s="166"/>
      <c r="AG1382" s="166"/>
      <c r="AH1382" s="166"/>
      <c r="AI1382" s="166"/>
    </row>
    <row r="1383" spans="7:35" x14ac:dyDescent="0.25">
      <c r="G1383" s="165"/>
      <c r="H1383" s="166"/>
      <c r="I1383" s="167"/>
      <c r="J1383" s="167"/>
      <c r="K1383" s="166"/>
      <c r="L1383" s="166"/>
      <c r="M1383" s="166"/>
      <c r="N1383" s="166"/>
      <c r="O1383" s="166"/>
      <c r="P1383" s="166"/>
      <c r="Q1383" s="166"/>
      <c r="R1383" s="166"/>
      <c r="S1383" s="166"/>
      <c r="T1383" s="166"/>
      <c r="U1383" s="166"/>
      <c r="V1383" s="166"/>
      <c r="W1383" s="166"/>
      <c r="X1383" s="166"/>
      <c r="Y1383" s="166"/>
      <c r="Z1383" s="166"/>
      <c r="AA1383" s="166"/>
      <c r="AB1383" s="166"/>
      <c r="AC1383" s="166"/>
      <c r="AD1383" s="166"/>
      <c r="AE1383" s="166"/>
      <c r="AF1383" s="166"/>
      <c r="AG1383" s="166"/>
      <c r="AH1383" s="166"/>
      <c r="AI1383" s="166"/>
    </row>
    <row r="1384" spans="7:35" x14ac:dyDescent="0.25">
      <c r="G1384" s="165"/>
      <c r="H1384" s="166"/>
      <c r="I1384" s="167"/>
      <c r="J1384" s="167"/>
      <c r="K1384" s="166"/>
      <c r="L1384" s="166"/>
      <c r="M1384" s="166"/>
      <c r="N1384" s="166"/>
      <c r="O1384" s="166"/>
      <c r="P1384" s="166"/>
      <c r="Q1384" s="166"/>
      <c r="R1384" s="166"/>
      <c r="S1384" s="166"/>
      <c r="T1384" s="166"/>
      <c r="U1384" s="166"/>
      <c r="V1384" s="166"/>
      <c r="W1384" s="166"/>
      <c r="X1384" s="166"/>
      <c r="Y1384" s="166"/>
      <c r="Z1384" s="166"/>
      <c r="AA1384" s="166"/>
      <c r="AB1384" s="166"/>
      <c r="AC1384" s="166"/>
      <c r="AD1384" s="166"/>
      <c r="AE1384" s="166"/>
      <c r="AF1384" s="166"/>
      <c r="AG1384" s="166"/>
      <c r="AH1384" s="166"/>
      <c r="AI1384" s="166"/>
    </row>
    <row r="1385" spans="7:35" x14ac:dyDescent="0.25">
      <c r="G1385" s="165"/>
      <c r="H1385" s="166"/>
      <c r="I1385" s="167"/>
      <c r="J1385" s="167"/>
      <c r="K1385" s="166"/>
      <c r="L1385" s="166"/>
      <c r="M1385" s="166"/>
      <c r="N1385" s="166"/>
      <c r="O1385" s="166"/>
      <c r="P1385" s="166"/>
      <c r="Q1385" s="166"/>
      <c r="R1385" s="166"/>
      <c r="S1385" s="166"/>
      <c r="T1385" s="166"/>
      <c r="U1385" s="166"/>
      <c r="V1385" s="166"/>
      <c r="W1385" s="166"/>
      <c r="X1385" s="166"/>
      <c r="Y1385" s="166"/>
      <c r="Z1385" s="166"/>
      <c r="AA1385" s="166"/>
      <c r="AB1385" s="166"/>
      <c r="AC1385" s="166"/>
      <c r="AD1385" s="166"/>
      <c r="AE1385" s="166"/>
      <c r="AF1385" s="166"/>
      <c r="AG1385" s="166"/>
      <c r="AH1385" s="166"/>
      <c r="AI1385" s="166"/>
    </row>
    <row r="1386" spans="7:35" x14ac:dyDescent="0.25">
      <c r="G1386" s="165"/>
      <c r="H1386" s="166"/>
      <c r="I1386" s="167"/>
      <c r="J1386" s="167"/>
      <c r="K1386" s="166"/>
      <c r="L1386" s="166"/>
      <c r="M1386" s="166"/>
      <c r="N1386" s="166"/>
      <c r="O1386" s="166"/>
      <c r="P1386" s="166"/>
      <c r="Q1386" s="166"/>
      <c r="R1386" s="166"/>
      <c r="S1386" s="166"/>
      <c r="T1386" s="166"/>
      <c r="U1386" s="166"/>
      <c r="V1386" s="166"/>
      <c r="W1386" s="166"/>
      <c r="X1386" s="166"/>
      <c r="Y1386" s="166"/>
      <c r="Z1386" s="166"/>
      <c r="AA1386" s="166"/>
      <c r="AB1386" s="166"/>
      <c r="AC1386" s="166"/>
      <c r="AD1386" s="166"/>
      <c r="AE1386" s="166"/>
      <c r="AF1386" s="166"/>
      <c r="AG1386" s="166"/>
      <c r="AH1386" s="166"/>
      <c r="AI1386" s="166"/>
    </row>
    <row r="1387" spans="7:35" x14ac:dyDescent="0.25">
      <c r="G1387" s="165"/>
      <c r="H1387" s="166"/>
      <c r="I1387" s="167"/>
      <c r="J1387" s="167"/>
      <c r="K1387" s="166"/>
      <c r="L1387" s="166"/>
      <c r="M1387" s="166"/>
      <c r="N1387" s="166"/>
      <c r="O1387" s="166"/>
      <c r="P1387" s="166"/>
      <c r="Q1387" s="166"/>
      <c r="R1387" s="166"/>
      <c r="S1387" s="166"/>
      <c r="T1387" s="166"/>
      <c r="U1387" s="166"/>
      <c r="V1387" s="166"/>
      <c r="W1387" s="166"/>
      <c r="X1387" s="166"/>
      <c r="Y1387" s="166"/>
      <c r="Z1387" s="166"/>
      <c r="AA1387" s="166"/>
      <c r="AB1387" s="166"/>
      <c r="AC1387" s="166"/>
      <c r="AD1387" s="166"/>
      <c r="AE1387" s="166"/>
      <c r="AF1387" s="166"/>
      <c r="AG1387" s="166"/>
      <c r="AH1387" s="166"/>
      <c r="AI1387" s="166"/>
    </row>
    <row r="1388" spans="7:35" x14ac:dyDescent="0.25">
      <c r="G1388" s="165"/>
      <c r="H1388" s="166"/>
      <c r="I1388" s="167"/>
      <c r="J1388" s="167"/>
      <c r="K1388" s="166"/>
      <c r="L1388" s="166"/>
      <c r="M1388" s="166"/>
      <c r="N1388" s="166"/>
      <c r="O1388" s="166"/>
      <c r="P1388" s="166"/>
      <c r="Q1388" s="166"/>
      <c r="R1388" s="166"/>
      <c r="S1388" s="166"/>
      <c r="T1388" s="166"/>
      <c r="U1388" s="166"/>
      <c r="V1388" s="166"/>
      <c r="W1388" s="166"/>
      <c r="X1388" s="166"/>
      <c r="Y1388" s="166"/>
      <c r="Z1388" s="166"/>
      <c r="AA1388" s="166"/>
      <c r="AB1388" s="166"/>
      <c r="AC1388" s="166"/>
      <c r="AD1388" s="166"/>
      <c r="AE1388" s="166"/>
      <c r="AF1388" s="166"/>
      <c r="AG1388" s="166"/>
      <c r="AH1388" s="166"/>
      <c r="AI1388" s="166"/>
    </row>
    <row r="1389" spans="7:35" x14ac:dyDescent="0.25">
      <c r="G1389" s="165"/>
      <c r="H1389" s="166"/>
      <c r="I1389" s="167"/>
      <c r="J1389" s="167"/>
      <c r="K1389" s="166"/>
      <c r="L1389" s="166"/>
      <c r="M1389" s="166"/>
      <c r="N1389" s="166"/>
      <c r="O1389" s="166"/>
      <c r="P1389" s="166"/>
      <c r="Q1389" s="166"/>
      <c r="R1389" s="166"/>
      <c r="S1389" s="166"/>
      <c r="T1389" s="166"/>
      <c r="U1389" s="166"/>
      <c r="V1389" s="166"/>
      <c r="W1389" s="166"/>
      <c r="X1389" s="166"/>
      <c r="Y1389" s="166"/>
      <c r="Z1389" s="166"/>
      <c r="AA1389" s="166"/>
      <c r="AB1389" s="166"/>
      <c r="AC1389" s="166"/>
      <c r="AD1389" s="166"/>
      <c r="AE1389" s="166"/>
      <c r="AF1389" s="166"/>
      <c r="AG1389" s="166"/>
      <c r="AH1389" s="166"/>
      <c r="AI1389" s="166"/>
    </row>
    <row r="1390" spans="7:35" x14ac:dyDescent="0.25">
      <c r="G1390" s="165"/>
      <c r="H1390" s="166"/>
      <c r="I1390" s="167"/>
      <c r="J1390" s="167"/>
      <c r="K1390" s="166"/>
      <c r="L1390" s="166"/>
      <c r="M1390" s="166"/>
      <c r="N1390" s="166"/>
      <c r="O1390" s="166"/>
      <c r="P1390" s="166"/>
      <c r="Q1390" s="166"/>
      <c r="R1390" s="166"/>
      <c r="S1390" s="166"/>
      <c r="T1390" s="166"/>
      <c r="U1390" s="166"/>
      <c r="V1390" s="166"/>
      <c r="W1390" s="166"/>
      <c r="X1390" s="166"/>
      <c r="Y1390" s="166"/>
      <c r="Z1390" s="166"/>
      <c r="AA1390" s="166"/>
      <c r="AB1390" s="166"/>
      <c r="AC1390" s="166"/>
      <c r="AD1390" s="166"/>
      <c r="AE1390" s="166"/>
      <c r="AF1390" s="166"/>
      <c r="AG1390" s="166"/>
      <c r="AH1390" s="166"/>
      <c r="AI1390" s="166"/>
    </row>
    <row r="1391" spans="7:35" x14ac:dyDescent="0.25">
      <c r="G1391" s="165"/>
      <c r="H1391" s="166"/>
      <c r="I1391" s="167"/>
      <c r="J1391" s="167"/>
      <c r="K1391" s="166"/>
      <c r="L1391" s="166"/>
      <c r="M1391" s="166"/>
      <c r="N1391" s="166"/>
      <c r="O1391" s="166"/>
      <c r="P1391" s="166"/>
      <c r="Q1391" s="166"/>
      <c r="R1391" s="166"/>
      <c r="S1391" s="166"/>
      <c r="T1391" s="166"/>
      <c r="U1391" s="166"/>
      <c r="V1391" s="166"/>
      <c r="W1391" s="166"/>
      <c r="X1391" s="166"/>
      <c r="Y1391" s="166"/>
      <c r="Z1391" s="166"/>
      <c r="AA1391" s="166"/>
      <c r="AB1391" s="166"/>
      <c r="AC1391" s="166"/>
      <c r="AD1391" s="166"/>
      <c r="AE1391" s="166"/>
      <c r="AF1391" s="166"/>
      <c r="AG1391" s="166"/>
      <c r="AH1391" s="166"/>
      <c r="AI1391" s="166"/>
    </row>
    <row r="1392" spans="7:35" x14ac:dyDescent="0.25">
      <c r="G1392" s="165"/>
      <c r="H1392" s="166"/>
      <c r="I1392" s="167"/>
      <c r="J1392" s="167"/>
      <c r="K1392" s="166"/>
      <c r="L1392" s="166"/>
      <c r="M1392" s="166"/>
      <c r="N1392" s="166"/>
      <c r="O1392" s="166"/>
      <c r="P1392" s="166"/>
      <c r="Q1392" s="166"/>
      <c r="R1392" s="166"/>
      <c r="S1392" s="166"/>
      <c r="T1392" s="166"/>
      <c r="U1392" s="166"/>
      <c r="V1392" s="166"/>
      <c r="W1392" s="166"/>
      <c r="X1392" s="166"/>
      <c r="Y1392" s="166"/>
      <c r="Z1392" s="166"/>
      <c r="AA1392" s="166"/>
      <c r="AB1392" s="166"/>
      <c r="AC1392" s="166"/>
      <c r="AD1392" s="166"/>
      <c r="AE1392" s="166"/>
      <c r="AF1392" s="166"/>
      <c r="AG1392" s="166"/>
      <c r="AH1392" s="166"/>
      <c r="AI1392" s="166"/>
    </row>
    <row r="1393" spans="7:35" x14ac:dyDescent="0.25">
      <c r="G1393" s="165"/>
      <c r="H1393" s="166"/>
      <c r="I1393" s="167"/>
      <c r="J1393" s="167"/>
      <c r="K1393" s="166"/>
      <c r="L1393" s="166"/>
      <c r="M1393" s="166"/>
      <c r="N1393" s="166"/>
      <c r="O1393" s="166"/>
      <c r="P1393" s="166"/>
      <c r="Q1393" s="166"/>
      <c r="R1393" s="166"/>
      <c r="S1393" s="166"/>
      <c r="T1393" s="166"/>
      <c r="U1393" s="166"/>
      <c r="V1393" s="166"/>
      <c r="W1393" s="166"/>
      <c r="X1393" s="166"/>
      <c r="Y1393" s="166"/>
      <c r="Z1393" s="166"/>
      <c r="AA1393" s="166"/>
      <c r="AB1393" s="166"/>
      <c r="AC1393" s="166"/>
      <c r="AD1393" s="166"/>
      <c r="AE1393" s="166"/>
      <c r="AF1393" s="166"/>
      <c r="AG1393" s="166"/>
      <c r="AH1393" s="166"/>
      <c r="AI1393" s="166"/>
    </row>
    <row r="1394" spans="7:35" x14ac:dyDescent="0.25">
      <c r="G1394" s="165"/>
      <c r="H1394" s="166"/>
      <c r="I1394" s="167"/>
      <c r="J1394" s="167"/>
      <c r="K1394" s="166"/>
      <c r="L1394" s="166"/>
      <c r="M1394" s="166"/>
      <c r="N1394" s="166"/>
      <c r="O1394" s="166"/>
      <c r="P1394" s="166"/>
      <c r="Q1394" s="166"/>
      <c r="R1394" s="166"/>
      <c r="S1394" s="166"/>
      <c r="T1394" s="166"/>
      <c r="U1394" s="166"/>
      <c r="V1394" s="166"/>
      <c r="W1394" s="166"/>
      <c r="X1394" s="166"/>
      <c r="Y1394" s="166"/>
      <c r="Z1394" s="166"/>
      <c r="AA1394" s="166"/>
      <c r="AB1394" s="166"/>
      <c r="AC1394" s="166"/>
      <c r="AD1394" s="166"/>
      <c r="AE1394" s="166"/>
      <c r="AF1394" s="166"/>
      <c r="AG1394" s="166"/>
      <c r="AH1394" s="166"/>
      <c r="AI1394" s="166"/>
    </row>
    <row r="1395" spans="7:35" x14ac:dyDescent="0.25">
      <c r="G1395" s="165"/>
      <c r="H1395" s="166"/>
      <c r="I1395" s="167"/>
      <c r="J1395" s="167"/>
      <c r="K1395" s="166"/>
      <c r="L1395" s="166"/>
      <c r="M1395" s="166"/>
      <c r="N1395" s="166"/>
      <c r="O1395" s="166"/>
      <c r="P1395" s="166"/>
      <c r="Q1395" s="166"/>
      <c r="R1395" s="166"/>
      <c r="S1395" s="166"/>
      <c r="T1395" s="166"/>
      <c r="U1395" s="166"/>
      <c r="V1395" s="166"/>
      <c r="W1395" s="166"/>
      <c r="X1395" s="166"/>
      <c r="Y1395" s="166"/>
      <c r="Z1395" s="166"/>
      <c r="AA1395" s="166"/>
      <c r="AB1395" s="166"/>
      <c r="AC1395" s="166"/>
      <c r="AD1395" s="166"/>
      <c r="AE1395" s="166"/>
      <c r="AF1395" s="166"/>
      <c r="AG1395" s="166"/>
      <c r="AH1395" s="166"/>
      <c r="AI1395" s="166"/>
    </row>
    <row r="1396" spans="7:35" x14ac:dyDescent="0.25">
      <c r="G1396" s="165"/>
      <c r="H1396" s="166"/>
      <c r="I1396" s="167"/>
      <c r="J1396" s="167"/>
      <c r="K1396" s="166"/>
      <c r="L1396" s="166"/>
      <c r="M1396" s="166"/>
      <c r="N1396" s="166"/>
      <c r="O1396" s="166"/>
      <c r="P1396" s="166"/>
      <c r="Q1396" s="166"/>
      <c r="R1396" s="166"/>
      <c r="S1396" s="166"/>
      <c r="T1396" s="166"/>
      <c r="U1396" s="166"/>
      <c r="V1396" s="166"/>
      <c r="W1396" s="166"/>
      <c r="X1396" s="166"/>
      <c r="Y1396" s="166"/>
      <c r="Z1396" s="166"/>
      <c r="AA1396" s="166"/>
      <c r="AB1396" s="166"/>
      <c r="AC1396" s="166"/>
      <c r="AD1396" s="166"/>
      <c r="AE1396" s="166"/>
      <c r="AF1396" s="166"/>
      <c r="AG1396" s="166"/>
      <c r="AH1396" s="166"/>
      <c r="AI1396" s="166"/>
    </row>
    <row r="1397" spans="7:35" x14ac:dyDescent="0.25">
      <c r="G1397" s="165"/>
      <c r="H1397" s="166"/>
      <c r="I1397" s="167"/>
      <c r="J1397" s="167"/>
      <c r="K1397" s="166"/>
      <c r="L1397" s="166"/>
      <c r="M1397" s="166"/>
      <c r="N1397" s="166"/>
      <c r="O1397" s="166"/>
      <c r="P1397" s="166"/>
      <c r="Q1397" s="166"/>
      <c r="R1397" s="166"/>
      <c r="S1397" s="166"/>
      <c r="T1397" s="166"/>
      <c r="U1397" s="166"/>
      <c r="V1397" s="166"/>
      <c r="W1397" s="166"/>
      <c r="X1397" s="166"/>
      <c r="Y1397" s="166"/>
      <c r="Z1397" s="166"/>
      <c r="AA1397" s="166"/>
      <c r="AB1397" s="166"/>
      <c r="AC1397" s="166"/>
      <c r="AD1397" s="166"/>
      <c r="AE1397" s="166"/>
      <c r="AF1397" s="166"/>
      <c r="AG1397" s="166"/>
      <c r="AH1397" s="166"/>
      <c r="AI1397" s="166"/>
    </row>
    <row r="1398" spans="7:35" x14ac:dyDescent="0.25">
      <c r="G1398" s="165"/>
      <c r="H1398" s="166"/>
      <c r="I1398" s="167"/>
      <c r="J1398" s="167"/>
      <c r="K1398" s="166"/>
      <c r="L1398" s="166"/>
      <c r="M1398" s="166"/>
      <c r="N1398" s="166"/>
      <c r="O1398" s="166"/>
      <c r="P1398" s="166"/>
      <c r="Q1398" s="166"/>
      <c r="R1398" s="166"/>
      <c r="S1398" s="166"/>
      <c r="T1398" s="166"/>
      <c r="U1398" s="166"/>
      <c r="V1398" s="166"/>
      <c r="W1398" s="166"/>
      <c r="X1398" s="166"/>
      <c r="Y1398" s="166"/>
      <c r="Z1398" s="166"/>
      <c r="AA1398" s="166"/>
      <c r="AB1398" s="166"/>
      <c r="AC1398" s="166"/>
      <c r="AD1398" s="166"/>
      <c r="AE1398" s="166"/>
      <c r="AF1398" s="166"/>
      <c r="AG1398" s="166"/>
      <c r="AH1398" s="166"/>
      <c r="AI1398" s="166"/>
    </row>
    <row r="1399" spans="7:35" x14ac:dyDescent="0.25">
      <c r="G1399" s="165"/>
      <c r="H1399" s="166"/>
      <c r="I1399" s="167"/>
      <c r="J1399" s="167"/>
      <c r="K1399" s="166"/>
      <c r="L1399" s="166"/>
      <c r="M1399" s="166"/>
      <c r="N1399" s="166"/>
      <c r="O1399" s="166"/>
      <c r="P1399" s="166"/>
      <c r="Q1399" s="166"/>
      <c r="R1399" s="166"/>
      <c r="S1399" s="166"/>
      <c r="T1399" s="166"/>
      <c r="U1399" s="166"/>
      <c r="V1399" s="166"/>
      <c r="W1399" s="166"/>
      <c r="X1399" s="166"/>
      <c r="Y1399" s="166"/>
      <c r="Z1399" s="166"/>
      <c r="AA1399" s="166"/>
      <c r="AB1399" s="166"/>
      <c r="AC1399" s="166"/>
      <c r="AD1399" s="166"/>
      <c r="AE1399" s="166"/>
      <c r="AF1399" s="166"/>
      <c r="AG1399" s="166"/>
      <c r="AH1399" s="166"/>
      <c r="AI1399" s="166"/>
    </row>
    <row r="1400" spans="7:35" x14ac:dyDescent="0.25">
      <c r="G1400" s="165"/>
      <c r="H1400" s="166"/>
      <c r="I1400" s="167"/>
      <c r="J1400" s="167"/>
      <c r="K1400" s="166"/>
      <c r="L1400" s="166"/>
      <c r="M1400" s="166"/>
      <c r="N1400" s="166"/>
      <c r="O1400" s="166"/>
      <c r="P1400" s="166"/>
      <c r="Q1400" s="166"/>
      <c r="R1400" s="166"/>
      <c r="S1400" s="166"/>
      <c r="T1400" s="166"/>
      <c r="U1400" s="166"/>
      <c r="V1400" s="166"/>
      <c r="W1400" s="166"/>
      <c r="X1400" s="166"/>
      <c r="Y1400" s="166"/>
      <c r="Z1400" s="166"/>
      <c r="AA1400" s="166"/>
      <c r="AB1400" s="166"/>
      <c r="AC1400" s="166"/>
      <c r="AD1400" s="166"/>
      <c r="AE1400" s="166"/>
      <c r="AF1400" s="166"/>
      <c r="AG1400" s="166"/>
      <c r="AH1400" s="166"/>
      <c r="AI1400" s="166"/>
    </row>
    <row r="1401" spans="7:35" x14ac:dyDescent="0.25">
      <c r="G1401" s="165"/>
      <c r="H1401" s="166"/>
      <c r="I1401" s="167"/>
      <c r="J1401" s="167"/>
      <c r="K1401" s="166"/>
      <c r="L1401" s="166"/>
      <c r="M1401" s="166"/>
      <c r="N1401" s="166"/>
      <c r="O1401" s="166"/>
      <c r="P1401" s="166"/>
      <c r="Q1401" s="166"/>
      <c r="R1401" s="166"/>
      <c r="S1401" s="166"/>
      <c r="T1401" s="166"/>
      <c r="U1401" s="166"/>
      <c r="V1401" s="166"/>
      <c r="W1401" s="166"/>
      <c r="X1401" s="166"/>
      <c r="Y1401" s="166"/>
      <c r="Z1401" s="166"/>
      <c r="AA1401" s="166"/>
      <c r="AB1401" s="166"/>
      <c r="AC1401" s="166"/>
      <c r="AD1401" s="166"/>
      <c r="AE1401" s="166"/>
      <c r="AF1401" s="166"/>
      <c r="AG1401" s="166"/>
      <c r="AH1401" s="166"/>
      <c r="AI1401" s="166"/>
    </row>
    <row r="1402" spans="7:35" x14ac:dyDescent="0.25">
      <c r="G1402" s="165"/>
      <c r="H1402" s="166"/>
      <c r="I1402" s="167"/>
      <c r="J1402" s="167"/>
      <c r="K1402" s="166"/>
      <c r="L1402" s="166"/>
      <c r="M1402" s="166"/>
      <c r="N1402" s="166"/>
      <c r="O1402" s="166"/>
      <c r="P1402" s="166"/>
      <c r="Q1402" s="166"/>
      <c r="R1402" s="166"/>
      <c r="S1402" s="166"/>
      <c r="T1402" s="166"/>
      <c r="U1402" s="166"/>
      <c r="V1402" s="166"/>
      <c r="W1402" s="166"/>
      <c r="X1402" s="166"/>
      <c r="Y1402" s="166"/>
      <c r="Z1402" s="166"/>
      <c r="AA1402" s="166"/>
      <c r="AB1402" s="166"/>
      <c r="AC1402" s="166"/>
      <c r="AD1402" s="166"/>
      <c r="AE1402" s="166"/>
      <c r="AF1402" s="166"/>
      <c r="AG1402" s="166"/>
      <c r="AH1402" s="166"/>
      <c r="AI1402" s="166"/>
    </row>
    <row r="1403" spans="7:35" x14ac:dyDescent="0.25">
      <c r="G1403" s="165"/>
      <c r="H1403" s="166"/>
      <c r="I1403" s="167"/>
      <c r="J1403" s="167"/>
      <c r="K1403" s="166"/>
      <c r="L1403" s="166"/>
      <c r="M1403" s="166"/>
      <c r="N1403" s="166"/>
      <c r="O1403" s="166"/>
      <c r="P1403" s="166"/>
      <c r="Q1403" s="166"/>
      <c r="R1403" s="166"/>
      <c r="S1403" s="166"/>
      <c r="T1403" s="166"/>
      <c r="U1403" s="166"/>
      <c r="V1403" s="166"/>
      <c r="W1403" s="166"/>
      <c r="X1403" s="166"/>
      <c r="Y1403" s="166"/>
      <c r="Z1403" s="166"/>
      <c r="AA1403" s="166"/>
      <c r="AB1403" s="166"/>
      <c r="AC1403" s="166"/>
      <c r="AD1403" s="166"/>
      <c r="AE1403" s="166"/>
      <c r="AF1403" s="166"/>
      <c r="AG1403" s="166"/>
      <c r="AH1403" s="166"/>
      <c r="AI1403" s="166"/>
    </row>
    <row r="1404" spans="7:35" x14ac:dyDescent="0.25">
      <c r="G1404" s="165"/>
      <c r="H1404" s="166"/>
      <c r="I1404" s="167"/>
      <c r="J1404" s="167"/>
      <c r="K1404" s="166"/>
      <c r="L1404" s="166"/>
      <c r="M1404" s="166"/>
      <c r="N1404" s="166"/>
      <c r="O1404" s="166"/>
      <c r="P1404" s="166"/>
      <c r="Q1404" s="166"/>
      <c r="R1404" s="166"/>
      <c r="S1404" s="166"/>
      <c r="T1404" s="166"/>
      <c r="U1404" s="166"/>
      <c r="V1404" s="166"/>
      <c r="W1404" s="166"/>
      <c r="X1404" s="166"/>
      <c r="Y1404" s="166"/>
      <c r="Z1404" s="166"/>
      <c r="AA1404" s="166"/>
      <c r="AB1404" s="166"/>
      <c r="AC1404" s="166"/>
      <c r="AD1404" s="166"/>
      <c r="AE1404" s="166"/>
      <c r="AF1404" s="166"/>
      <c r="AG1404" s="166"/>
      <c r="AH1404" s="166"/>
      <c r="AI1404" s="166"/>
    </row>
    <row r="1405" spans="7:35" x14ac:dyDescent="0.25">
      <c r="G1405" s="165"/>
      <c r="H1405" s="166"/>
      <c r="I1405" s="167"/>
      <c r="J1405" s="167"/>
      <c r="K1405" s="166"/>
      <c r="L1405" s="166"/>
      <c r="M1405" s="166"/>
      <c r="N1405" s="166"/>
      <c r="O1405" s="166"/>
      <c r="P1405" s="166"/>
      <c r="Q1405" s="166"/>
      <c r="R1405" s="166"/>
      <c r="S1405" s="166"/>
      <c r="T1405" s="166"/>
      <c r="U1405" s="166"/>
      <c r="V1405" s="166"/>
      <c r="W1405" s="166"/>
      <c r="X1405" s="166"/>
      <c r="Y1405" s="166"/>
      <c r="Z1405" s="166"/>
      <c r="AA1405" s="166"/>
      <c r="AB1405" s="166"/>
      <c r="AC1405" s="166"/>
      <c r="AD1405" s="166"/>
      <c r="AE1405" s="166"/>
      <c r="AF1405" s="166"/>
      <c r="AG1405" s="166"/>
      <c r="AH1405" s="166"/>
      <c r="AI1405" s="166"/>
    </row>
    <row r="1406" spans="7:35" x14ac:dyDescent="0.25">
      <c r="G1406" s="165"/>
      <c r="H1406" s="166"/>
      <c r="I1406" s="167"/>
      <c r="J1406" s="167"/>
      <c r="K1406" s="166"/>
      <c r="L1406" s="166"/>
      <c r="M1406" s="166"/>
      <c r="N1406" s="166"/>
      <c r="O1406" s="166"/>
      <c r="P1406" s="166"/>
      <c r="Q1406" s="166"/>
      <c r="R1406" s="166"/>
      <c r="S1406" s="166"/>
      <c r="T1406" s="166"/>
      <c r="U1406" s="166"/>
      <c r="V1406" s="166"/>
      <c r="W1406" s="166"/>
      <c r="X1406" s="166"/>
      <c r="Y1406" s="166"/>
      <c r="Z1406" s="166"/>
      <c r="AA1406" s="166"/>
      <c r="AB1406" s="166"/>
      <c r="AC1406" s="166"/>
      <c r="AD1406" s="166"/>
      <c r="AE1406" s="166"/>
      <c r="AF1406" s="166"/>
      <c r="AG1406" s="166"/>
      <c r="AH1406" s="166"/>
      <c r="AI1406" s="166"/>
    </row>
    <row r="1407" spans="7:35" x14ac:dyDescent="0.25">
      <c r="G1407" s="165"/>
      <c r="H1407" s="166"/>
      <c r="I1407" s="167"/>
      <c r="J1407" s="167"/>
      <c r="K1407" s="166"/>
      <c r="L1407" s="166"/>
      <c r="M1407" s="166"/>
      <c r="N1407" s="166"/>
      <c r="O1407" s="166"/>
      <c r="P1407" s="166"/>
      <c r="Q1407" s="166"/>
      <c r="R1407" s="166"/>
      <c r="S1407" s="166"/>
      <c r="T1407" s="166"/>
      <c r="U1407" s="166"/>
      <c r="V1407" s="166"/>
      <c r="W1407" s="166"/>
      <c r="X1407" s="166"/>
      <c r="Y1407" s="166"/>
      <c r="Z1407" s="166"/>
      <c r="AA1407" s="166"/>
      <c r="AB1407" s="166"/>
      <c r="AC1407" s="166"/>
      <c r="AD1407" s="166"/>
      <c r="AE1407" s="166"/>
      <c r="AF1407" s="166"/>
      <c r="AG1407" s="166"/>
      <c r="AH1407" s="166"/>
      <c r="AI1407" s="166"/>
    </row>
    <row r="1408" spans="7:35" x14ac:dyDescent="0.25">
      <c r="G1408" s="165"/>
      <c r="H1408" s="166"/>
      <c r="I1408" s="167"/>
      <c r="J1408" s="167"/>
      <c r="K1408" s="166"/>
      <c r="L1408" s="166"/>
      <c r="M1408" s="166"/>
      <c r="N1408" s="166"/>
      <c r="O1408" s="166"/>
      <c r="P1408" s="166"/>
      <c r="Q1408" s="166"/>
      <c r="R1408" s="166"/>
      <c r="S1408" s="166"/>
      <c r="T1408" s="166"/>
      <c r="U1408" s="166"/>
      <c r="V1408" s="166"/>
      <c r="W1408" s="166"/>
      <c r="X1408" s="166"/>
      <c r="Y1408" s="166"/>
      <c r="Z1408" s="166"/>
      <c r="AA1408" s="166"/>
      <c r="AB1408" s="166"/>
      <c r="AC1408" s="166"/>
      <c r="AD1408" s="166"/>
      <c r="AE1408" s="166"/>
      <c r="AF1408" s="166"/>
      <c r="AG1408" s="166"/>
      <c r="AH1408" s="166"/>
      <c r="AI1408" s="166"/>
    </row>
    <row r="1409" spans="7:35" x14ac:dyDescent="0.25">
      <c r="G1409" s="165"/>
      <c r="H1409" s="166"/>
      <c r="I1409" s="167"/>
      <c r="J1409" s="167"/>
      <c r="K1409" s="166"/>
      <c r="L1409" s="166"/>
      <c r="M1409" s="166"/>
      <c r="N1409" s="166"/>
      <c r="O1409" s="166"/>
      <c r="P1409" s="166"/>
      <c r="Q1409" s="166"/>
      <c r="R1409" s="166"/>
      <c r="S1409" s="166"/>
      <c r="T1409" s="166"/>
      <c r="U1409" s="166"/>
      <c r="V1409" s="166"/>
      <c r="W1409" s="166"/>
      <c r="X1409" s="166"/>
      <c r="Y1409" s="166"/>
      <c r="Z1409" s="166"/>
      <c r="AA1409" s="166"/>
      <c r="AB1409" s="166"/>
      <c r="AC1409" s="166"/>
      <c r="AD1409" s="166"/>
      <c r="AE1409" s="166"/>
      <c r="AF1409" s="166"/>
      <c r="AG1409" s="166"/>
      <c r="AH1409" s="166"/>
      <c r="AI1409" s="166"/>
    </row>
    <row r="1410" spans="7:35" x14ac:dyDescent="0.25">
      <c r="G1410" s="165"/>
      <c r="H1410" s="166"/>
      <c r="I1410" s="167"/>
      <c r="J1410" s="167"/>
      <c r="K1410" s="166"/>
      <c r="L1410" s="166"/>
      <c r="M1410" s="166"/>
      <c r="N1410" s="166"/>
      <c r="O1410" s="166"/>
      <c r="P1410" s="166"/>
      <c r="Q1410" s="166"/>
      <c r="R1410" s="166"/>
      <c r="S1410" s="166"/>
      <c r="T1410" s="166"/>
      <c r="U1410" s="166"/>
      <c r="V1410" s="166"/>
      <c r="W1410" s="166"/>
      <c r="X1410" s="166"/>
      <c r="Y1410" s="166"/>
      <c r="Z1410" s="166"/>
      <c r="AA1410" s="166"/>
      <c r="AB1410" s="166"/>
      <c r="AC1410" s="166"/>
      <c r="AD1410" s="166"/>
      <c r="AE1410" s="166"/>
      <c r="AF1410" s="166"/>
      <c r="AG1410" s="166"/>
      <c r="AH1410" s="166"/>
      <c r="AI1410" s="166"/>
    </row>
    <row r="1411" spans="7:35" x14ac:dyDescent="0.25">
      <c r="G1411" s="165"/>
      <c r="H1411" s="166"/>
      <c r="I1411" s="167"/>
      <c r="J1411" s="167"/>
      <c r="K1411" s="166"/>
      <c r="L1411" s="166"/>
      <c r="M1411" s="166"/>
      <c r="N1411" s="166"/>
      <c r="O1411" s="166"/>
      <c r="P1411" s="166"/>
      <c r="Q1411" s="166"/>
      <c r="R1411" s="166"/>
      <c r="S1411" s="166"/>
      <c r="T1411" s="166"/>
      <c r="U1411" s="166"/>
      <c r="V1411" s="166"/>
      <c r="W1411" s="166"/>
      <c r="X1411" s="166"/>
      <c r="Y1411" s="166"/>
      <c r="Z1411" s="166"/>
      <c r="AA1411" s="166"/>
      <c r="AB1411" s="166"/>
      <c r="AC1411" s="166"/>
      <c r="AD1411" s="166"/>
      <c r="AE1411" s="166"/>
      <c r="AF1411" s="166"/>
      <c r="AG1411" s="166"/>
      <c r="AH1411" s="166"/>
      <c r="AI1411" s="166"/>
    </row>
    <row r="1412" spans="7:35" x14ac:dyDescent="0.25">
      <c r="G1412" s="165"/>
      <c r="H1412" s="166"/>
      <c r="I1412" s="167"/>
      <c r="J1412" s="167"/>
      <c r="K1412" s="166"/>
      <c r="L1412" s="166"/>
      <c r="M1412" s="166"/>
      <c r="N1412" s="166"/>
      <c r="O1412" s="166"/>
      <c r="P1412" s="166"/>
      <c r="Q1412" s="166"/>
      <c r="R1412" s="166"/>
      <c r="S1412" s="166"/>
      <c r="T1412" s="166"/>
      <c r="U1412" s="166"/>
      <c r="V1412" s="166"/>
      <c r="W1412" s="166"/>
      <c r="X1412" s="166"/>
      <c r="Y1412" s="166"/>
      <c r="Z1412" s="166"/>
      <c r="AA1412" s="166"/>
      <c r="AB1412" s="166"/>
      <c r="AC1412" s="166"/>
      <c r="AD1412" s="166"/>
      <c r="AE1412" s="166"/>
      <c r="AF1412" s="166"/>
      <c r="AG1412" s="166"/>
      <c r="AH1412" s="166"/>
      <c r="AI1412" s="166"/>
    </row>
    <row r="1413" spans="7:35" x14ac:dyDescent="0.25">
      <c r="G1413" s="165"/>
      <c r="H1413" s="166"/>
      <c r="I1413" s="167"/>
      <c r="J1413" s="167"/>
      <c r="K1413" s="166"/>
      <c r="L1413" s="166"/>
      <c r="M1413" s="166"/>
      <c r="N1413" s="166"/>
      <c r="O1413" s="166"/>
      <c r="P1413" s="166"/>
      <c r="Q1413" s="166"/>
      <c r="R1413" s="166"/>
      <c r="S1413" s="166"/>
      <c r="T1413" s="166"/>
      <c r="U1413" s="166"/>
      <c r="V1413" s="166"/>
      <c r="W1413" s="166"/>
      <c r="X1413" s="166"/>
      <c r="Y1413" s="166"/>
      <c r="Z1413" s="166"/>
      <c r="AA1413" s="166"/>
      <c r="AB1413" s="166"/>
      <c r="AC1413" s="166"/>
      <c r="AD1413" s="166"/>
      <c r="AE1413" s="166"/>
      <c r="AF1413" s="166"/>
      <c r="AG1413" s="166"/>
      <c r="AH1413" s="166"/>
      <c r="AI1413" s="166"/>
    </row>
    <row r="1414" spans="7:35" x14ac:dyDescent="0.25">
      <c r="G1414" s="165"/>
      <c r="H1414" s="166"/>
      <c r="I1414" s="167"/>
      <c r="J1414" s="167"/>
      <c r="K1414" s="166"/>
      <c r="L1414" s="166"/>
      <c r="M1414" s="166"/>
      <c r="N1414" s="166"/>
      <c r="O1414" s="166"/>
      <c r="P1414" s="166"/>
      <c r="Q1414" s="166"/>
      <c r="R1414" s="166"/>
      <c r="S1414" s="166"/>
      <c r="T1414" s="166"/>
      <c r="U1414" s="166"/>
      <c r="V1414" s="166"/>
      <c r="W1414" s="166"/>
      <c r="X1414" s="166"/>
      <c r="Y1414" s="166"/>
      <c r="Z1414" s="166"/>
      <c r="AA1414" s="166"/>
      <c r="AB1414" s="166"/>
      <c r="AC1414" s="166"/>
      <c r="AD1414" s="166"/>
      <c r="AE1414" s="166"/>
      <c r="AF1414" s="166"/>
      <c r="AG1414" s="166"/>
      <c r="AH1414" s="166"/>
      <c r="AI1414" s="166"/>
    </row>
    <row r="1415" spans="7:35" x14ac:dyDescent="0.25">
      <c r="G1415" s="165"/>
      <c r="H1415" s="166"/>
      <c r="I1415" s="167"/>
      <c r="J1415" s="167"/>
      <c r="K1415" s="166"/>
      <c r="L1415" s="166"/>
      <c r="M1415" s="166"/>
      <c r="N1415" s="166"/>
      <c r="O1415" s="166"/>
      <c r="P1415" s="166"/>
      <c r="Q1415" s="166"/>
      <c r="R1415" s="166"/>
      <c r="S1415" s="166"/>
      <c r="T1415" s="166"/>
      <c r="U1415" s="166"/>
      <c r="V1415" s="166"/>
      <c r="W1415" s="166"/>
      <c r="X1415" s="166"/>
      <c r="Y1415" s="166"/>
      <c r="Z1415" s="166"/>
      <c r="AA1415" s="166"/>
      <c r="AB1415" s="166"/>
      <c r="AC1415" s="166"/>
      <c r="AD1415" s="166"/>
      <c r="AE1415" s="166"/>
      <c r="AF1415" s="166"/>
      <c r="AG1415" s="166"/>
      <c r="AH1415" s="166"/>
      <c r="AI1415" s="166"/>
    </row>
    <row r="1416" spans="7:35" x14ac:dyDescent="0.25">
      <c r="G1416" s="165"/>
      <c r="H1416" s="166"/>
      <c r="I1416" s="167"/>
      <c r="J1416" s="167"/>
      <c r="K1416" s="166"/>
      <c r="L1416" s="166"/>
      <c r="M1416" s="166"/>
      <c r="N1416" s="166"/>
      <c r="O1416" s="166"/>
      <c r="P1416" s="166"/>
      <c r="Q1416" s="166"/>
      <c r="R1416" s="166"/>
      <c r="S1416" s="166"/>
      <c r="T1416" s="166"/>
      <c r="U1416" s="166"/>
      <c r="V1416" s="166"/>
      <c r="W1416" s="166"/>
      <c r="X1416" s="166"/>
      <c r="Y1416" s="166"/>
      <c r="Z1416" s="166"/>
      <c r="AA1416" s="166"/>
      <c r="AB1416" s="166"/>
      <c r="AC1416" s="166"/>
      <c r="AD1416" s="166"/>
      <c r="AE1416" s="166"/>
      <c r="AF1416" s="166"/>
      <c r="AG1416" s="166"/>
      <c r="AH1416" s="166"/>
      <c r="AI1416" s="166"/>
    </row>
    <row r="1417" spans="7:35" x14ac:dyDescent="0.25">
      <c r="G1417" s="165"/>
      <c r="H1417" s="166"/>
      <c r="I1417" s="167"/>
      <c r="J1417" s="167"/>
      <c r="K1417" s="166"/>
      <c r="L1417" s="166"/>
      <c r="M1417" s="166"/>
      <c r="N1417" s="166"/>
      <c r="O1417" s="166"/>
      <c r="P1417" s="166"/>
      <c r="Q1417" s="166"/>
      <c r="R1417" s="166"/>
      <c r="S1417" s="166"/>
      <c r="T1417" s="166"/>
      <c r="U1417" s="166"/>
      <c r="V1417" s="166"/>
      <c r="W1417" s="166"/>
      <c r="X1417" s="166"/>
      <c r="Y1417" s="166"/>
      <c r="Z1417" s="166"/>
      <c r="AA1417" s="166"/>
      <c r="AB1417" s="166"/>
      <c r="AC1417" s="166"/>
      <c r="AD1417" s="166"/>
      <c r="AE1417" s="166"/>
      <c r="AF1417" s="166"/>
      <c r="AG1417" s="166"/>
      <c r="AH1417" s="166"/>
      <c r="AI1417" s="166"/>
    </row>
    <row r="1418" spans="7:35" x14ac:dyDescent="0.25">
      <c r="G1418" s="165"/>
      <c r="H1418" s="166"/>
      <c r="I1418" s="167"/>
      <c r="J1418" s="167"/>
      <c r="K1418" s="166"/>
      <c r="L1418" s="166"/>
      <c r="M1418" s="166"/>
      <c r="N1418" s="166"/>
      <c r="O1418" s="166"/>
      <c r="P1418" s="166"/>
      <c r="Q1418" s="166"/>
      <c r="R1418" s="166"/>
      <c r="S1418" s="166"/>
      <c r="T1418" s="166"/>
      <c r="U1418" s="166"/>
      <c r="V1418" s="166"/>
      <c r="W1418" s="166"/>
      <c r="X1418" s="166"/>
      <c r="Y1418" s="166"/>
      <c r="Z1418" s="166"/>
      <c r="AA1418" s="166"/>
      <c r="AB1418" s="166"/>
      <c r="AC1418" s="166"/>
      <c r="AD1418" s="166"/>
      <c r="AE1418" s="166"/>
      <c r="AF1418" s="166"/>
      <c r="AG1418" s="166"/>
      <c r="AH1418" s="166"/>
      <c r="AI1418" s="166"/>
    </row>
    <row r="1419" spans="7:35" x14ac:dyDescent="0.25">
      <c r="G1419" s="165"/>
      <c r="H1419" s="166"/>
      <c r="I1419" s="167"/>
      <c r="J1419" s="167"/>
      <c r="K1419" s="166"/>
      <c r="L1419" s="166"/>
      <c r="M1419" s="166"/>
      <c r="N1419" s="166"/>
      <c r="O1419" s="166"/>
      <c r="P1419" s="166"/>
      <c r="Q1419" s="166"/>
      <c r="R1419" s="166"/>
      <c r="S1419" s="166"/>
      <c r="T1419" s="166"/>
      <c r="U1419" s="166"/>
      <c r="V1419" s="166"/>
      <c r="W1419" s="166"/>
      <c r="X1419" s="166"/>
      <c r="Y1419" s="166"/>
      <c r="Z1419" s="166"/>
      <c r="AA1419" s="166"/>
      <c r="AB1419" s="166"/>
      <c r="AC1419" s="166"/>
      <c r="AD1419" s="166"/>
      <c r="AE1419" s="166"/>
      <c r="AF1419" s="166"/>
      <c r="AG1419" s="166"/>
      <c r="AH1419" s="166"/>
      <c r="AI1419" s="166"/>
    </row>
    <row r="1420" spans="7:35" x14ac:dyDescent="0.25">
      <c r="G1420" s="165"/>
      <c r="H1420" s="166"/>
      <c r="I1420" s="167"/>
      <c r="J1420" s="167"/>
      <c r="K1420" s="166"/>
      <c r="L1420" s="166"/>
      <c r="M1420" s="166"/>
      <c r="N1420" s="166"/>
      <c r="O1420" s="166"/>
      <c r="P1420" s="166"/>
      <c r="Q1420" s="166"/>
      <c r="R1420" s="166"/>
      <c r="S1420" s="166"/>
      <c r="T1420" s="166"/>
      <c r="U1420" s="166"/>
      <c r="V1420" s="166"/>
      <c r="W1420" s="166"/>
      <c r="X1420" s="166"/>
      <c r="Y1420" s="166"/>
      <c r="Z1420" s="166"/>
      <c r="AA1420" s="166"/>
      <c r="AB1420" s="166"/>
      <c r="AC1420" s="166"/>
      <c r="AD1420" s="166"/>
      <c r="AE1420" s="166"/>
      <c r="AF1420" s="166"/>
      <c r="AG1420" s="166"/>
      <c r="AH1420" s="166"/>
      <c r="AI1420" s="166"/>
    </row>
    <row r="1421" spans="7:35" x14ac:dyDescent="0.25">
      <c r="G1421" s="165"/>
      <c r="H1421" s="166"/>
      <c r="I1421" s="167"/>
      <c r="J1421" s="167"/>
      <c r="K1421" s="166"/>
      <c r="L1421" s="166"/>
      <c r="M1421" s="166"/>
      <c r="N1421" s="166"/>
      <c r="O1421" s="166"/>
      <c r="P1421" s="166"/>
      <c r="Q1421" s="166"/>
      <c r="R1421" s="166"/>
      <c r="S1421" s="166"/>
      <c r="T1421" s="166"/>
      <c r="U1421" s="166"/>
      <c r="V1421" s="166"/>
      <c r="W1421" s="166"/>
      <c r="X1421" s="166"/>
      <c r="Y1421" s="166"/>
      <c r="Z1421" s="166"/>
      <c r="AA1421" s="166"/>
      <c r="AB1421" s="166"/>
      <c r="AC1421" s="166"/>
      <c r="AD1421" s="166"/>
      <c r="AE1421" s="166"/>
      <c r="AF1421" s="166"/>
      <c r="AG1421" s="166"/>
      <c r="AH1421" s="166"/>
      <c r="AI1421" s="166"/>
    </row>
    <row r="1422" spans="7:35" x14ac:dyDescent="0.25">
      <c r="G1422" s="165"/>
      <c r="H1422" s="166"/>
      <c r="I1422" s="167"/>
      <c r="J1422" s="167"/>
      <c r="K1422" s="166"/>
      <c r="L1422" s="166"/>
      <c r="M1422" s="166"/>
      <c r="N1422" s="166"/>
      <c r="O1422" s="166"/>
      <c r="P1422" s="166"/>
      <c r="Q1422" s="166"/>
      <c r="R1422" s="166"/>
      <c r="S1422" s="166"/>
      <c r="T1422" s="166"/>
      <c r="U1422" s="166"/>
      <c r="V1422" s="166"/>
      <c r="W1422" s="166"/>
      <c r="X1422" s="166"/>
      <c r="Y1422" s="166"/>
      <c r="Z1422" s="166"/>
      <c r="AA1422" s="166"/>
      <c r="AB1422" s="166"/>
      <c r="AC1422" s="166"/>
      <c r="AD1422" s="166"/>
      <c r="AE1422" s="166"/>
      <c r="AF1422" s="166"/>
      <c r="AG1422" s="166"/>
      <c r="AH1422" s="166"/>
      <c r="AI1422" s="166"/>
    </row>
    <row r="1423" spans="7:35" x14ac:dyDescent="0.25">
      <c r="G1423" s="165"/>
      <c r="H1423" s="166"/>
      <c r="I1423" s="167"/>
      <c r="J1423" s="167"/>
      <c r="K1423" s="166"/>
      <c r="L1423" s="166"/>
      <c r="M1423" s="166"/>
      <c r="N1423" s="166"/>
      <c r="O1423" s="166"/>
      <c r="P1423" s="166"/>
      <c r="Q1423" s="166"/>
      <c r="R1423" s="166"/>
      <c r="S1423" s="166"/>
      <c r="T1423" s="166"/>
      <c r="U1423" s="166"/>
      <c r="V1423" s="166"/>
      <c r="W1423" s="166"/>
      <c r="X1423" s="166"/>
      <c r="Y1423" s="166"/>
      <c r="Z1423" s="166"/>
      <c r="AA1423" s="166"/>
      <c r="AB1423" s="166"/>
      <c r="AC1423" s="166"/>
      <c r="AD1423" s="166"/>
      <c r="AE1423" s="166"/>
      <c r="AF1423" s="166"/>
      <c r="AG1423" s="166"/>
      <c r="AH1423" s="166"/>
      <c r="AI1423" s="166"/>
    </row>
    <row r="1424" spans="7:35" x14ac:dyDescent="0.25">
      <c r="G1424" s="165"/>
      <c r="H1424" s="166"/>
      <c r="I1424" s="167"/>
      <c r="J1424" s="167"/>
      <c r="K1424" s="166"/>
      <c r="L1424" s="166"/>
      <c r="M1424" s="166"/>
      <c r="N1424" s="166"/>
      <c r="O1424" s="166"/>
      <c r="P1424" s="166"/>
      <c r="Q1424" s="166"/>
      <c r="R1424" s="166"/>
      <c r="S1424" s="166"/>
      <c r="T1424" s="166"/>
      <c r="U1424" s="166"/>
      <c r="V1424" s="166"/>
      <c r="W1424" s="166"/>
      <c r="X1424" s="166"/>
      <c r="Y1424" s="166"/>
      <c r="Z1424" s="166"/>
      <c r="AA1424" s="166"/>
      <c r="AB1424" s="166"/>
      <c r="AC1424" s="166"/>
      <c r="AD1424" s="166"/>
      <c r="AE1424" s="166"/>
      <c r="AF1424" s="166"/>
      <c r="AG1424" s="166"/>
      <c r="AH1424" s="166"/>
      <c r="AI1424" s="166"/>
    </row>
    <row r="1425" spans="7:35" x14ac:dyDescent="0.25">
      <c r="G1425" s="165"/>
      <c r="H1425" s="166"/>
      <c r="I1425" s="167"/>
      <c r="J1425" s="167"/>
      <c r="K1425" s="166"/>
      <c r="L1425" s="166"/>
      <c r="M1425" s="166"/>
      <c r="N1425" s="166"/>
      <c r="O1425" s="166"/>
      <c r="P1425" s="166"/>
      <c r="Q1425" s="166"/>
      <c r="R1425" s="166"/>
      <c r="S1425" s="166"/>
      <c r="T1425" s="166"/>
      <c r="U1425" s="166"/>
      <c r="V1425" s="166"/>
      <c r="W1425" s="166"/>
      <c r="X1425" s="166"/>
      <c r="Y1425" s="166"/>
      <c r="Z1425" s="166"/>
      <c r="AA1425" s="166"/>
      <c r="AB1425" s="166"/>
      <c r="AC1425" s="166"/>
      <c r="AD1425" s="166"/>
      <c r="AE1425" s="166"/>
      <c r="AF1425" s="166"/>
      <c r="AG1425" s="166"/>
      <c r="AH1425" s="166"/>
      <c r="AI1425" s="166"/>
    </row>
    <row r="1426" spans="7:35" x14ac:dyDescent="0.25">
      <c r="G1426" s="165"/>
      <c r="H1426" s="166"/>
      <c r="I1426" s="167"/>
      <c r="J1426" s="167"/>
      <c r="K1426" s="166"/>
      <c r="L1426" s="166"/>
      <c r="M1426" s="166"/>
      <c r="N1426" s="166"/>
      <c r="O1426" s="166"/>
      <c r="P1426" s="166"/>
      <c r="Q1426" s="166"/>
      <c r="R1426" s="166"/>
      <c r="S1426" s="166"/>
      <c r="T1426" s="166"/>
      <c r="U1426" s="166"/>
      <c r="V1426" s="166"/>
      <c r="W1426" s="166"/>
      <c r="X1426" s="166"/>
      <c r="Y1426" s="166"/>
      <c r="Z1426" s="166"/>
      <c r="AA1426" s="166"/>
      <c r="AB1426" s="166"/>
      <c r="AC1426" s="166"/>
      <c r="AD1426" s="166"/>
      <c r="AE1426" s="166"/>
      <c r="AF1426" s="166"/>
      <c r="AG1426" s="166"/>
      <c r="AH1426" s="166"/>
      <c r="AI1426" s="166"/>
    </row>
    <row r="1427" spans="7:35" x14ac:dyDescent="0.25">
      <c r="G1427" s="165"/>
      <c r="H1427" s="166"/>
      <c r="I1427" s="167"/>
      <c r="J1427" s="167"/>
      <c r="K1427" s="166"/>
      <c r="L1427" s="166"/>
      <c r="M1427" s="166"/>
      <c r="N1427" s="166"/>
      <c r="O1427" s="166"/>
      <c r="P1427" s="166"/>
      <c r="Q1427" s="166"/>
      <c r="R1427" s="166"/>
      <c r="S1427" s="166"/>
      <c r="T1427" s="166"/>
      <c r="U1427" s="166"/>
      <c r="V1427" s="166"/>
      <c r="W1427" s="166"/>
      <c r="X1427" s="166"/>
      <c r="Y1427" s="166"/>
      <c r="Z1427" s="166"/>
      <c r="AA1427" s="166"/>
      <c r="AB1427" s="166"/>
      <c r="AC1427" s="166"/>
      <c r="AD1427" s="166"/>
      <c r="AE1427" s="166"/>
      <c r="AF1427" s="166"/>
      <c r="AG1427" s="166"/>
      <c r="AH1427" s="166"/>
      <c r="AI1427" s="166"/>
    </row>
    <row r="1428" spans="7:35" x14ac:dyDescent="0.25">
      <c r="G1428" s="165"/>
      <c r="H1428" s="166"/>
      <c r="I1428" s="167"/>
      <c r="J1428" s="167"/>
      <c r="K1428" s="166"/>
      <c r="L1428" s="166"/>
      <c r="M1428" s="166"/>
      <c r="N1428" s="166"/>
      <c r="O1428" s="166"/>
      <c r="P1428" s="166"/>
      <c r="Q1428" s="166"/>
      <c r="R1428" s="166"/>
      <c r="S1428" s="166"/>
      <c r="T1428" s="166"/>
      <c r="U1428" s="166"/>
      <c r="V1428" s="166"/>
      <c r="W1428" s="166"/>
      <c r="X1428" s="166"/>
      <c r="Y1428" s="166"/>
      <c r="Z1428" s="166"/>
      <c r="AA1428" s="166"/>
      <c r="AB1428" s="166"/>
      <c r="AC1428" s="166"/>
      <c r="AD1428" s="166"/>
      <c r="AE1428" s="166"/>
      <c r="AF1428" s="166"/>
      <c r="AG1428" s="166"/>
      <c r="AH1428" s="166"/>
      <c r="AI1428" s="166"/>
    </row>
    <row r="1429" spans="7:35" x14ac:dyDescent="0.25">
      <c r="G1429" s="165"/>
      <c r="H1429" s="166"/>
      <c r="I1429" s="167"/>
      <c r="J1429" s="167"/>
      <c r="K1429" s="166"/>
      <c r="L1429" s="166"/>
      <c r="M1429" s="166"/>
      <c r="N1429" s="166"/>
      <c r="O1429" s="166"/>
      <c r="P1429" s="166"/>
      <c r="Q1429" s="166"/>
      <c r="R1429" s="166"/>
      <c r="S1429" s="166"/>
      <c r="T1429" s="166"/>
      <c r="U1429" s="166"/>
      <c r="V1429" s="166"/>
      <c r="W1429" s="166"/>
      <c r="X1429" s="166"/>
      <c r="Y1429" s="166"/>
      <c r="Z1429" s="166"/>
      <c r="AA1429" s="166"/>
      <c r="AB1429" s="166"/>
      <c r="AC1429" s="166"/>
      <c r="AD1429" s="166"/>
      <c r="AE1429" s="166"/>
      <c r="AF1429" s="166"/>
      <c r="AG1429" s="166"/>
      <c r="AH1429" s="166"/>
      <c r="AI1429" s="166"/>
    </row>
    <row r="1430" spans="7:35" x14ac:dyDescent="0.25">
      <c r="G1430" s="165"/>
      <c r="H1430" s="166"/>
      <c r="I1430" s="167"/>
      <c r="J1430" s="167"/>
      <c r="K1430" s="166"/>
      <c r="L1430" s="166"/>
      <c r="M1430" s="166"/>
      <c r="N1430" s="166"/>
      <c r="O1430" s="166"/>
      <c r="P1430" s="166"/>
      <c r="Q1430" s="166"/>
      <c r="R1430" s="166"/>
      <c r="S1430" s="166"/>
      <c r="T1430" s="166"/>
      <c r="U1430" s="166"/>
      <c r="V1430" s="166"/>
      <c r="W1430" s="166"/>
      <c r="X1430" s="166"/>
      <c r="Y1430" s="166"/>
      <c r="Z1430" s="166"/>
      <c r="AA1430" s="166"/>
      <c r="AB1430" s="166"/>
      <c r="AC1430" s="166"/>
      <c r="AD1430" s="166"/>
      <c r="AE1430" s="166"/>
      <c r="AF1430" s="166"/>
      <c r="AG1430" s="166"/>
      <c r="AH1430" s="166"/>
      <c r="AI1430" s="166"/>
    </row>
    <row r="1431" spans="7:35" x14ac:dyDescent="0.25">
      <c r="G1431" s="165"/>
      <c r="H1431" s="166"/>
      <c r="I1431" s="167"/>
      <c r="J1431" s="167"/>
      <c r="K1431" s="166"/>
      <c r="L1431" s="166"/>
      <c r="M1431" s="166"/>
      <c r="N1431" s="166"/>
      <c r="O1431" s="166"/>
      <c r="P1431" s="166"/>
      <c r="Q1431" s="166"/>
      <c r="R1431" s="166"/>
      <c r="S1431" s="166"/>
      <c r="T1431" s="166"/>
      <c r="U1431" s="166"/>
      <c r="V1431" s="166"/>
      <c r="W1431" s="166"/>
      <c r="X1431" s="166"/>
      <c r="Y1431" s="166"/>
      <c r="Z1431" s="166"/>
      <c r="AA1431" s="166"/>
      <c r="AB1431" s="166"/>
      <c r="AC1431" s="166"/>
      <c r="AD1431" s="166"/>
      <c r="AE1431" s="166"/>
      <c r="AF1431" s="166"/>
      <c r="AG1431" s="166"/>
      <c r="AH1431" s="166"/>
      <c r="AI1431" s="166"/>
    </row>
    <row r="1432" spans="7:35" x14ac:dyDescent="0.25">
      <c r="G1432" s="165"/>
      <c r="H1432" s="166"/>
      <c r="I1432" s="167"/>
      <c r="J1432" s="167"/>
      <c r="K1432" s="166"/>
      <c r="L1432" s="166"/>
      <c r="M1432" s="166"/>
      <c r="N1432" s="166"/>
      <c r="O1432" s="166"/>
      <c r="P1432" s="166"/>
      <c r="Q1432" s="166"/>
      <c r="R1432" s="166"/>
      <c r="S1432" s="166"/>
      <c r="T1432" s="166"/>
      <c r="U1432" s="166"/>
      <c r="V1432" s="166"/>
      <c r="W1432" s="166"/>
      <c r="X1432" s="166"/>
      <c r="Y1432" s="166"/>
      <c r="Z1432" s="166"/>
      <c r="AA1432" s="166"/>
      <c r="AB1432" s="166"/>
      <c r="AC1432" s="166"/>
      <c r="AD1432" s="166"/>
      <c r="AE1432" s="166"/>
      <c r="AF1432" s="166"/>
      <c r="AG1432" s="166"/>
      <c r="AH1432" s="166"/>
      <c r="AI1432" s="166"/>
    </row>
    <row r="1433" spans="7:35" x14ac:dyDescent="0.25">
      <c r="G1433" s="165"/>
      <c r="H1433" s="166"/>
      <c r="I1433" s="167"/>
      <c r="J1433" s="167"/>
      <c r="K1433" s="166"/>
      <c r="L1433" s="166"/>
      <c r="M1433" s="166"/>
      <c r="N1433" s="166"/>
      <c r="O1433" s="166"/>
      <c r="P1433" s="166"/>
      <c r="Q1433" s="166"/>
      <c r="R1433" s="166"/>
      <c r="S1433" s="166"/>
      <c r="T1433" s="166"/>
      <c r="U1433" s="166"/>
      <c r="V1433" s="166"/>
      <c r="W1433" s="166"/>
      <c r="X1433" s="166"/>
      <c r="Y1433" s="166"/>
      <c r="Z1433" s="166"/>
      <c r="AA1433" s="166"/>
      <c r="AB1433" s="166"/>
      <c r="AC1433" s="166"/>
      <c r="AD1433" s="166"/>
      <c r="AE1433" s="166"/>
      <c r="AF1433" s="166"/>
      <c r="AG1433" s="166"/>
      <c r="AH1433" s="166"/>
      <c r="AI1433" s="166"/>
    </row>
    <row r="1434" spans="7:35" x14ac:dyDescent="0.25">
      <c r="G1434" s="165"/>
      <c r="H1434" s="166"/>
      <c r="I1434" s="167"/>
      <c r="J1434" s="167"/>
      <c r="K1434" s="166"/>
      <c r="L1434" s="166"/>
      <c r="M1434" s="166"/>
      <c r="N1434" s="166"/>
      <c r="O1434" s="166"/>
      <c r="P1434" s="166"/>
      <c r="Q1434" s="166"/>
      <c r="R1434" s="166"/>
      <c r="S1434" s="166"/>
      <c r="T1434" s="166"/>
      <c r="U1434" s="166"/>
      <c r="V1434" s="166"/>
      <c r="W1434" s="166"/>
      <c r="X1434" s="166"/>
      <c r="Y1434" s="166"/>
      <c r="Z1434" s="166"/>
      <c r="AA1434" s="166"/>
      <c r="AB1434" s="166"/>
      <c r="AC1434" s="166"/>
      <c r="AD1434" s="166"/>
      <c r="AE1434" s="166"/>
      <c r="AF1434" s="166"/>
      <c r="AG1434" s="166"/>
      <c r="AH1434" s="166"/>
      <c r="AI1434" s="166"/>
    </row>
    <row r="1435" spans="7:35" x14ac:dyDescent="0.25">
      <c r="G1435" s="165"/>
      <c r="H1435" s="166"/>
      <c r="I1435" s="167"/>
      <c r="J1435" s="167"/>
      <c r="K1435" s="166"/>
      <c r="L1435" s="166"/>
      <c r="M1435" s="166"/>
      <c r="N1435" s="166"/>
      <c r="O1435" s="166"/>
      <c r="P1435" s="166"/>
      <c r="Q1435" s="166"/>
      <c r="R1435" s="166"/>
      <c r="S1435" s="166"/>
      <c r="T1435" s="166"/>
      <c r="U1435" s="166"/>
      <c r="V1435" s="166"/>
      <c r="W1435" s="166"/>
      <c r="X1435" s="166"/>
      <c r="Y1435" s="166"/>
      <c r="Z1435" s="166"/>
      <c r="AA1435" s="166"/>
      <c r="AB1435" s="166"/>
      <c r="AC1435" s="166"/>
      <c r="AD1435" s="166"/>
      <c r="AE1435" s="166"/>
      <c r="AF1435" s="166"/>
      <c r="AG1435" s="166"/>
      <c r="AH1435" s="166"/>
      <c r="AI1435" s="166"/>
    </row>
    <row r="1436" spans="7:35" x14ac:dyDescent="0.25">
      <c r="G1436" s="165"/>
      <c r="H1436" s="166"/>
      <c r="I1436" s="167"/>
      <c r="J1436" s="167"/>
      <c r="K1436" s="166"/>
      <c r="L1436" s="166"/>
      <c r="M1436" s="166"/>
      <c r="N1436" s="166"/>
      <c r="O1436" s="166"/>
      <c r="P1436" s="166"/>
      <c r="Q1436" s="166"/>
      <c r="R1436" s="166"/>
      <c r="S1436" s="166"/>
      <c r="T1436" s="166"/>
      <c r="U1436" s="166"/>
      <c r="V1436" s="166"/>
      <c r="W1436" s="166"/>
      <c r="X1436" s="166"/>
      <c r="Y1436" s="166"/>
      <c r="Z1436" s="166"/>
      <c r="AA1436" s="166"/>
      <c r="AB1436" s="166"/>
      <c r="AC1436" s="166"/>
      <c r="AD1436" s="166"/>
      <c r="AE1436" s="166"/>
      <c r="AF1436" s="166"/>
      <c r="AG1436" s="166"/>
      <c r="AH1436" s="166"/>
      <c r="AI1436" s="166"/>
    </row>
    <row r="1437" spans="7:35" x14ac:dyDescent="0.25">
      <c r="G1437" s="165"/>
      <c r="H1437" s="166"/>
      <c r="I1437" s="167"/>
      <c r="J1437" s="167"/>
      <c r="K1437" s="166"/>
      <c r="L1437" s="166"/>
      <c r="M1437" s="166"/>
      <c r="N1437" s="166"/>
      <c r="O1437" s="166"/>
      <c r="P1437" s="166"/>
      <c r="Q1437" s="166"/>
      <c r="R1437" s="166"/>
      <c r="S1437" s="166"/>
      <c r="T1437" s="166"/>
      <c r="U1437" s="166"/>
      <c r="V1437" s="166"/>
      <c r="W1437" s="166"/>
      <c r="X1437" s="166"/>
      <c r="Y1437" s="166"/>
      <c r="Z1437" s="166"/>
      <c r="AA1437" s="166"/>
      <c r="AB1437" s="166"/>
      <c r="AC1437" s="166"/>
      <c r="AD1437" s="166"/>
      <c r="AE1437" s="166"/>
      <c r="AF1437" s="166"/>
      <c r="AG1437" s="166"/>
      <c r="AH1437" s="166"/>
      <c r="AI1437" s="166"/>
    </row>
    <row r="1438" spans="7:35" x14ac:dyDescent="0.25">
      <c r="G1438" s="165"/>
      <c r="H1438" s="166"/>
      <c r="I1438" s="167"/>
      <c r="J1438" s="167"/>
      <c r="K1438" s="166"/>
      <c r="L1438" s="166"/>
      <c r="M1438" s="166"/>
      <c r="N1438" s="166"/>
      <c r="O1438" s="166"/>
      <c r="P1438" s="166"/>
      <c r="Q1438" s="166"/>
      <c r="R1438" s="166"/>
      <c r="S1438" s="166"/>
      <c r="T1438" s="166"/>
      <c r="U1438" s="166"/>
      <c r="V1438" s="166"/>
      <c r="W1438" s="166"/>
      <c r="X1438" s="166"/>
      <c r="Y1438" s="166"/>
      <c r="Z1438" s="166"/>
      <c r="AA1438" s="166"/>
      <c r="AB1438" s="166"/>
      <c r="AC1438" s="166"/>
      <c r="AD1438" s="166"/>
      <c r="AE1438" s="166"/>
      <c r="AF1438" s="166"/>
      <c r="AG1438" s="166"/>
      <c r="AH1438" s="166"/>
      <c r="AI1438" s="166"/>
    </row>
    <row r="1439" spans="7:35" x14ac:dyDescent="0.25">
      <c r="G1439" s="165"/>
      <c r="H1439" s="166"/>
      <c r="I1439" s="167"/>
      <c r="J1439" s="167"/>
      <c r="K1439" s="166"/>
      <c r="L1439" s="166"/>
      <c r="M1439" s="166"/>
      <c r="N1439" s="166"/>
      <c r="O1439" s="166"/>
      <c r="P1439" s="166"/>
      <c r="Q1439" s="166"/>
      <c r="R1439" s="166"/>
      <c r="S1439" s="166"/>
      <c r="T1439" s="166"/>
      <c r="U1439" s="166"/>
      <c r="V1439" s="166"/>
      <c r="W1439" s="166"/>
      <c r="X1439" s="166"/>
      <c r="Y1439" s="166"/>
      <c r="Z1439" s="166"/>
      <c r="AA1439" s="166"/>
      <c r="AB1439" s="166"/>
      <c r="AC1439" s="166"/>
      <c r="AD1439" s="166"/>
      <c r="AE1439" s="166"/>
      <c r="AF1439" s="166"/>
      <c r="AG1439" s="166"/>
      <c r="AH1439" s="166"/>
      <c r="AI1439" s="166"/>
    </row>
    <row r="1440" spans="7:35" x14ac:dyDescent="0.25">
      <c r="G1440" s="165"/>
      <c r="H1440" s="166"/>
      <c r="I1440" s="167"/>
      <c r="J1440" s="167"/>
      <c r="K1440" s="166"/>
      <c r="L1440" s="166"/>
      <c r="M1440" s="166"/>
      <c r="N1440" s="166"/>
      <c r="O1440" s="166"/>
      <c r="P1440" s="166"/>
      <c r="Q1440" s="166"/>
      <c r="R1440" s="166"/>
      <c r="S1440" s="166"/>
      <c r="T1440" s="166"/>
      <c r="U1440" s="166"/>
      <c r="V1440" s="166"/>
      <c r="W1440" s="166"/>
      <c r="X1440" s="166"/>
      <c r="Y1440" s="166"/>
      <c r="Z1440" s="166"/>
      <c r="AA1440" s="166"/>
      <c r="AB1440" s="166"/>
      <c r="AC1440" s="166"/>
      <c r="AD1440" s="166"/>
      <c r="AE1440" s="166"/>
      <c r="AF1440" s="166"/>
      <c r="AG1440" s="166"/>
      <c r="AH1440" s="166"/>
      <c r="AI1440" s="166"/>
    </row>
    <row r="1441" spans="7:35" x14ac:dyDescent="0.25">
      <c r="G1441" s="165"/>
      <c r="H1441" s="166"/>
      <c r="I1441" s="167"/>
      <c r="J1441" s="167"/>
      <c r="K1441" s="166"/>
      <c r="L1441" s="166"/>
      <c r="M1441" s="166"/>
      <c r="N1441" s="166"/>
      <c r="O1441" s="166"/>
      <c r="P1441" s="166"/>
      <c r="Q1441" s="166"/>
      <c r="R1441" s="166"/>
      <c r="S1441" s="166"/>
      <c r="T1441" s="166"/>
      <c r="U1441" s="166"/>
      <c r="V1441" s="166"/>
      <c r="W1441" s="166"/>
      <c r="X1441" s="166"/>
      <c r="Y1441" s="166"/>
      <c r="Z1441" s="166"/>
      <c r="AA1441" s="166"/>
      <c r="AB1441" s="166"/>
      <c r="AC1441" s="166"/>
      <c r="AD1441" s="166"/>
      <c r="AE1441" s="166"/>
      <c r="AF1441" s="166"/>
      <c r="AG1441" s="166"/>
      <c r="AH1441" s="166"/>
      <c r="AI1441" s="166"/>
    </row>
    <row r="1442" spans="7:35" x14ac:dyDescent="0.25">
      <c r="G1442" s="165"/>
      <c r="H1442" s="166"/>
      <c r="I1442" s="167"/>
      <c r="J1442" s="167"/>
      <c r="K1442" s="166"/>
      <c r="L1442" s="166"/>
      <c r="M1442" s="166"/>
      <c r="N1442" s="166"/>
      <c r="O1442" s="166"/>
      <c r="P1442" s="166"/>
      <c r="Q1442" s="166"/>
      <c r="R1442" s="166"/>
      <c r="S1442" s="166"/>
      <c r="T1442" s="166"/>
      <c r="U1442" s="166"/>
      <c r="V1442" s="166"/>
      <c r="W1442" s="166"/>
      <c r="X1442" s="166"/>
      <c r="Y1442" s="166"/>
      <c r="Z1442" s="166"/>
      <c r="AA1442" s="166"/>
      <c r="AB1442" s="166"/>
      <c r="AC1442" s="166"/>
      <c r="AD1442" s="166"/>
      <c r="AE1442" s="166"/>
      <c r="AF1442" s="166"/>
      <c r="AG1442" s="166"/>
      <c r="AH1442" s="166"/>
      <c r="AI1442" s="166"/>
    </row>
    <row r="1443" spans="7:35" x14ac:dyDescent="0.25">
      <c r="G1443" s="165"/>
      <c r="H1443" s="166"/>
      <c r="I1443" s="167"/>
      <c r="J1443" s="167"/>
      <c r="K1443" s="166"/>
      <c r="L1443" s="166"/>
      <c r="M1443" s="166"/>
      <c r="N1443" s="166"/>
      <c r="O1443" s="166"/>
      <c r="P1443" s="166"/>
      <c r="Q1443" s="166"/>
      <c r="R1443" s="166"/>
      <c r="S1443" s="166"/>
      <c r="T1443" s="166"/>
      <c r="U1443" s="166"/>
      <c r="V1443" s="166"/>
      <c r="W1443" s="166"/>
      <c r="X1443" s="166"/>
      <c r="Y1443" s="166"/>
      <c r="Z1443" s="166"/>
      <c r="AA1443" s="166"/>
      <c r="AB1443" s="166"/>
      <c r="AC1443" s="166"/>
      <c r="AD1443" s="166"/>
      <c r="AE1443" s="166"/>
      <c r="AF1443" s="166"/>
      <c r="AG1443" s="166"/>
      <c r="AH1443" s="166"/>
      <c r="AI1443" s="166"/>
    </row>
    <row r="1444" spans="7:35" x14ac:dyDescent="0.25">
      <c r="G1444" s="165"/>
      <c r="H1444" s="166"/>
      <c r="I1444" s="167"/>
      <c r="J1444" s="167"/>
      <c r="K1444" s="166"/>
      <c r="L1444" s="166"/>
      <c r="M1444" s="166"/>
      <c r="N1444" s="166"/>
      <c r="O1444" s="166"/>
      <c r="P1444" s="166"/>
      <c r="Q1444" s="166"/>
      <c r="R1444" s="166"/>
      <c r="S1444" s="166"/>
      <c r="T1444" s="166"/>
      <c r="U1444" s="166"/>
      <c r="V1444" s="166"/>
      <c r="W1444" s="166"/>
      <c r="X1444" s="166"/>
      <c r="Y1444" s="166"/>
      <c r="Z1444" s="166"/>
      <c r="AA1444" s="166"/>
      <c r="AB1444" s="166"/>
      <c r="AC1444" s="166"/>
      <c r="AD1444" s="166"/>
      <c r="AE1444" s="166"/>
      <c r="AF1444" s="166"/>
      <c r="AG1444" s="166"/>
      <c r="AH1444" s="166"/>
      <c r="AI1444" s="166"/>
    </row>
    <row r="1445" spans="7:35" x14ac:dyDescent="0.25">
      <c r="G1445" s="165"/>
      <c r="H1445" s="166"/>
      <c r="I1445" s="167"/>
      <c r="J1445" s="167"/>
      <c r="K1445" s="166"/>
      <c r="L1445" s="166"/>
      <c r="M1445" s="166"/>
      <c r="N1445" s="166"/>
      <c r="O1445" s="166"/>
      <c r="P1445" s="166"/>
      <c r="Q1445" s="166"/>
      <c r="R1445" s="166"/>
      <c r="S1445" s="166"/>
      <c r="T1445" s="166"/>
      <c r="U1445" s="166"/>
      <c r="V1445" s="166"/>
      <c r="W1445" s="166"/>
      <c r="X1445" s="166"/>
      <c r="Y1445" s="166"/>
      <c r="Z1445" s="166"/>
      <c r="AA1445" s="166"/>
      <c r="AB1445" s="166"/>
      <c r="AC1445" s="166"/>
      <c r="AD1445" s="166"/>
      <c r="AE1445" s="166"/>
      <c r="AF1445" s="166"/>
      <c r="AG1445" s="166"/>
      <c r="AH1445" s="166"/>
      <c r="AI1445" s="166"/>
    </row>
    <row r="1446" spans="7:35" x14ac:dyDescent="0.25">
      <c r="G1446" s="165"/>
      <c r="H1446" s="166"/>
      <c r="I1446" s="167"/>
      <c r="J1446" s="167"/>
      <c r="K1446" s="166"/>
      <c r="L1446" s="166"/>
      <c r="M1446" s="166"/>
      <c r="N1446" s="166"/>
      <c r="O1446" s="166"/>
      <c r="P1446" s="166"/>
      <c r="Q1446" s="166"/>
      <c r="R1446" s="166"/>
      <c r="S1446" s="166"/>
      <c r="T1446" s="166"/>
      <c r="U1446" s="166"/>
      <c r="V1446" s="166"/>
      <c r="W1446" s="166"/>
      <c r="X1446" s="166"/>
      <c r="Y1446" s="166"/>
      <c r="Z1446" s="166"/>
      <c r="AA1446" s="166"/>
      <c r="AB1446" s="166"/>
      <c r="AC1446" s="166"/>
      <c r="AD1446" s="166"/>
      <c r="AE1446" s="166"/>
      <c r="AF1446" s="166"/>
      <c r="AG1446" s="166"/>
      <c r="AH1446" s="166"/>
      <c r="AI1446" s="166"/>
    </row>
    <row r="1447" spans="7:35" x14ac:dyDescent="0.25">
      <c r="G1447" s="165"/>
      <c r="H1447" s="166"/>
      <c r="I1447" s="167"/>
      <c r="J1447" s="167"/>
      <c r="K1447" s="166"/>
      <c r="L1447" s="166"/>
      <c r="M1447" s="166"/>
      <c r="N1447" s="166"/>
      <c r="O1447" s="166"/>
      <c r="P1447" s="166"/>
      <c r="Q1447" s="166"/>
      <c r="R1447" s="166"/>
      <c r="S1447" s="166"/>
      <c r="T1447" s="166"/>
      <c r="U1447" s="166"/>
      <c r="V1447" s="166"/>
      <c r="W1447" s="166"/>
      <c r="X1447" s="166"/>
      <c r="Y1447" s="166"/>
      <c r="Z1447" s="166"/>
      <c r="AA1447" s="166"/>
      <c r="AB1447" s="166"/>
      <c r="AC1447" s="166"/>
      <c r="AD1447" s="166"/>
      <c r="AE1447" s="166"/>
      <c r="AF1447" s="166"/>
      <c r="AG1447" s="166"/>
      <c r="AH1447" s="166"/>
      <c r="AI1447" s="166"/>
    </row>
    <row r="1448" spans="7:35" x14ac:dyDescent="0.25">
      <c r="G1448" s="165"/>
      <c r="H1448" s="166"/>
      <c r="I1448" s="167"/>
      <c r="J1448" s="167"/>
      <c r="K1448" s="166"/>
      <c r="L1448" s="166"/>
      <c r="M1448" s="166"/>
      <c r="N1448" s="166"/>
      <c r="O1448" s="166"/>
      <c r="P1448" s="166"/>
      <c r="Q1448" s="166"/>
      <c r="R1448" s="166"/>
      <c r="S1448" s="166"/>
      <c r="T1448" s="166"/>
      <c r="U1448" s="166"/>
      <c r="V1448" s="166"/>
      <c r="W1448" s="166"/>
      <c r="X1448" s="166"/>
      <c r="Y1448" s="166"/>
      <c r="Z1448" s="166"/>
      <c r="AA1448" s="166"/>
      <c r="AB1448" s="166"/>
      <c r="AC1448" s="166"/>
      <c r="AD1448" s="166"/>
      <c r="AE1448" s="166"/>
      <c r="AF1448" s="166"/>
      <c r="AG1448" s="166"/>
      <c r="AH1448" s="166"/>
      <c r="AI1448" s="166"/>
    </row>
    <row r="1449" spans="7:35" x14ac:dyDescent="0.25">
      <c r="G1449" s="165"/>
      <c r="H1449" s="166"/>
      <c r="I1449" s="167"/>
      <c r="J1449" s="167"/>
      <c r="K1449" s="166"/>
      <c r="L1449" s="166"/>
      <c r="M1449" s="166"/>
      <c r="N1449" s="166"/>
      <c r="O1449" s="166"/>
      <c r="P1449" s="166"/>
      <c r="Q1449" s="166"/>
      <c r="R1449" s="166"/>
      <c r="S1449" s="166"/>
      <c r="T1449" s="166"/>
      <c r="U1449" s="166"/>
      <c r="V1449" s="166"/>
      <c r="W1449" s="166"/>
      <c r="X1449" s="166"/>
      <c r="Y1449" s="166"/>
      <c r="Z1449" s="166"/>
      <c r="AA1449" s="166"/>
      <c r="AB1449" s="166"/>
      <c r="AC1449" s="166"/>
      <c r="AD1449" s="166"/>
      <c r="AE1449" s="166"/>
      <c r="AF1449" s="166"/>
      <c r="AG1449" s="166"/>
      <c r="AH1449" s="166"/>
      <c r="AI1449" s="166"/>
    </row>
    <row r="1450" spans="7:35" x14ac:dyDescent="0.25">
      <c r="G1450" s="165"/>
      <c r="H1450" s="166"/>
      <c r="I1450" s="167"/>
      <c r="J1450" s="167"/>
      <c r="K1450" s="166"/>
      <c r="L1450" s="166"/>
      <c r="M1450" s="166"/>
      <c r="N1450" s="166"/>
      <c r="O1450" s="166"/>
      <c r="P1450" s="166"/>
      <c r="Q1450" s="166"/>
      <c r="R1450" s="166"/>
      <c r="S1450" s="166"/>
      <c r="T1450" s="166"/>
      <c r="U1450" s="166"/>
      <c r="V1450" s="166"/>
      <c r="W1450" s="166"/>
      <c r="X1450" s="166"/>
      <c r="Y1450" s="166"/>
      <c r="Z1450" s="166"/>
      <c r="AA1450" s="166"/>
      <c r="AB1450" s="166"/>
      <c r="AC1450" s="166"/>
      <c r="AD1450" s="166"/>
      <c r="AE1450" s="166"/>
      <c r="AF1450" s="166"/>
      <c r="AG1450" s="166"/>
      <c r="AH1450" s="166"/>
      <c r="AI1450" s="166"/>
    </row>
    <row r="1451" spans="7:35" x14ac:dyDescent="0.25">
      <c r="G1451" s="165"/>
      <c r="H1451" s="166"/>
      <c r="I1451" s="167"/>
      <c r="J1451" s="167"/>
      <c r="K1451" s="166"/>
      <c r="L1451" s="166"/>
      <c r="M1451" s="166"/>
      <c r="N1451" s="166"/>
      <c r="O1451" s="166"/>
      <c r="P1451" s="166"/>
      <c r="Q1451" s="166"/>
      <c r="R1451" s="166"/>
      <c r="S1451" s="166"/>
      <c r="T1451" s="166"/>
      <c r="U1451" s="166"/>
      <c r="V1451" s="166"/>
      <c r="W1451" s="166"/>
      <c r="X1451" s="166"/>
      <c r="Y1451" s="166"/>
      <c r="Z1451" s="166"/>
      <c r="AA1451" s="166"/>
      <c r="AB1451" s="166"/>
      <c r="AC1451" s="166"/>
      <c r="AD1451" s="166"/>
      <c r="AE1451" s="166"/>
      <c r="AF1451" s="166"/>
      <c r="AG1451" s="166"/>
      <c r="AH1451" s="166"/>
      <c r="AI1451" s="166"/>
    </row>
    <row r="1452" spans="7:35" x14ac:dyDescent="0.25">
      <c r="G1452" s="165"/>
      <c r="H1452" s="166"/>
      <c r="I1452" s="167"/>
      <c r="J1452" s="167"/>
      <c r="K1452" s="166"/>
      <c r="L1452" s="166"/>
      <c r="M1452" s="166"/>
      <c r="N1452" s="166"/>
      <c r="O1452" s="166"/>
      <c r="P1452" s="166"/>
      <c r="Q1452" s="166"/>
      <c r="R1452" s="166"/>
      <c r="S1452" s="166"/>
      <c r="T1452" s="166"/>
      <c r="U1452" s="166"/>
      <c r="V1452" s="166"/>
      <c r="W1452" s="166"/>
      <c r="X1452" s="166"/>
      <c r="Y1452" s="166"/>
      <c r="Z1452" s="166"/>
      <c r="AA1452" s="166"/>
      <c r="AB1452" s="166"/>
      <c r="AC1452" s="166"/>
      <c r="AD1452" s="166"/>
      <c r="AE1452" s="166"/>
      <c r="AF1452" s="166"/>
      <c r="AG1452" s="166"/>
      <c r="AH1452" s="166"/>
      <c r="AI1452" s="166"/>
    </row>
    <row r="1453" spans="7:35" x14ac:dyDescent="0.25">
      <c r="G1453" s="165"/>
      <c r="H1453" s="166"/>
      <c r="I1453" s="167"/>
      <c r="J1453" s="167"/>
      <c r="K1453" s="166"/>
      <c r="L1453" s="166"/>
      <c r="M1453" s="166"/>
      <c r="N1453" s="166"/>
      <c r="O1453" s="166"/>
      <c r="P1453" s="166"/>
      <c r="Q1453" s="166"/>
      <c r="R1453" s="166"/>
      <c r="S1453" s="166"/>
      <c r="T1453" s="166"/>
      <c r="U1453" s="166"/>
      <c r="V1453" s="166"/>
      <c r="W1453" s="166"/>
      <c r="X1453" s="166"/>
      <c r="Y1453" s="166"/>
      <c r="Z1453" s="166"/>
      <c r="AA1453" s="166"/>
      <c r="AB1453" s="166"/>
      <c r="AC1453" s="166"/>
      <c r="AD1453" s="166"/>
      <c r="AE1453" s="166"/>
      <c r="AF1453" s="166"/>
      <c r="AG1453" s="166"/>
      <c r="AH1453" s="166"/>
      <c r="AI1453" s="166"/>
    </row>
    <row r="1454" spans="7:35" x14ac:dyDescent="0.25">
      <c r="G1454" s="165"/>
      <c r="H1454" s="166"/>
      <c r="I1454" s="167"/>
      <c r="J1454" s="167"/>
      <c r="K1454" s="166"/>
      <c r="L1454" s="166"/>
      <c r="M1454" s="166"/>
      <c r="N1454" s="166"/>
      <c r="O1454" s="166"/>
      <c r="P1454" s="166"/>
      <c r="Q1454" s="166"/>
      <c r="R1454" s="166"/>
      <c r="S1454" s="166"/>
      <c r="T1454" s="166"/>
      <c r="U1454" s="166"/>
      <c r="V1454" s="166"/>
      <c r="W1454" s="166"/>
      <c r="X1454" s="166"/>
      <c r="Y1454" s="166"/>
      <c r="Z1454" s="166"/>
      <c r="AA1454" s="166"/>
      <c r="AB1454" s="166"/>
      <c r="AC1454" s="166"/>
      <c r="AD1454" s="166"/>
      <c r="AE1454" s="166"/>
      <c r="AF1454" s="166"/>
      <c r="AG1454" s="166"/>
      <c r="AH1454" s="166"/>
      <c r="AI1454" s="166"/>
    </row>
    <row r="1455" spans="7:35" x14ac:dyDescent="0.25">
      <c r="G1455" s="165"/>
      <c r="H1455" s="166"/>
      <c r="I1455" s="167"/>
      <c r="J1455" s="167"/>
      <c r="K1455" s="166"/>
      <c r="L1455" s="166"/>
      <c r="M1455" s="166"/>
      <c r="N1455" s="166"/>
      <c r="O1455" s="166"/>
      <c r="P1455" s="166"/>
      <c r="Q1455" s="166"/>
      <c r="R1455" s="166"/>
      <c r="S1455" s="166"/>
      <c r="T1455" s="166"/>
      <c r="U1455" s="166"/>
      <c r="V1455" s="166"/>
      <c r="W1455" s="166"/>
      <c r="X1455" s="166"/>
      <c r="Y1455" s="166"/>
      <c r="Z1455" s="166"/>
      <c r="AA1455" s="166"/>
      <c r="AB1455" s="166"/>
      <c r="AC1455" s="166"/>
      <c r="AD1455" s="166"/>
      <c r="AE1455" s="166"/>
      <c r="AF1455" s="166"/>
      <c r="AG1455" s="166"/>
      <c r="AH1455" s="166"/>
      <c r="AI1455" s="166"/>
    </row>
    <row r="1456" spans="7:35" x14ac:dyDescent="0.25">
      <c r="G1456" s="165"/>
      <c r="H1456" s="166"/>
      <c r="I1456" s="167"/>
      <c r="J1456" s="167"/>
      <c r="K1456" s="166"/>
      <c r="L1456" s="166"/>
      <c r="M1456" s="166"/>
      <c r="N1456" s="166"/>
      <c r="O1456" s="166"/>
      <c r="P1456" s="166"/>
      <c r="Q1456" s="166"/>
      <c r="R1456" s="166"/>
      <c r="S1456" s="166"/>
      <c r="T1456" s="166"/>
      <c r="U1456" s="166"/>
      <c r="V1456" s="166"/>
      <c r="W1456" s="166"/>
      <c r="X1456" s="166"/>
      <c r="Y1456" s="166"/>
      <c r="Z1456" s="166"/>
      <c r="AA1456" s="166"/>
      <c r="AB1456" s="166"/>
      <c r="AC1456" s="166"/>
      <c r="AD1456" s="166"/>
      <c r="AE1456" s="166"/>
      <c r="AF1456" s="166"/>
      <c r="AG1456" s="166"/>
      <c r="AH1456" s="166"/>
      <c r="AI1456" s="166"/>
    </row>
    <row r="1457" spans="7:35" x14ac:dyDescent="0.25">
      <c r="G1457" s="165"/>
      <c r="H1457" s="166"/>
      <c r="I1457" s="167"/>
      <c r="J1457" s="167"/>
      <c r="K1457" s="166"/>
      <c r="L1457" s="166"/>
      <c r="M1457" s="166"/>
      <c r="N1457" s="166"/>
      <c r="O1457" s="166"/>
      <c r="P1457" s="166"/>
      <c r="Q1457" s="166"/>
      <c r="R1457" s="166"/>
      <c r="S1457" s="166"/>
      <c r="T1457" s="166"/>
      <c r="U1457" s="166"/>
      <c r="V1457" s="166"/>
      <c r="W1457" s="166"/>
      <c r="X1457" s="166"/>
      <c r="Y1457" s="166"/>
      <c r="Z1457" s="166"/>
      <c r="AA1457" s="166"/>
      <c r="AB1457" s="166"/>
      <c r="AC1457" s="166"/>
      <c r="AD1457" s="166"/>
      <c r="AE1457" s="166"/>
      <c r="AF1457" s="166"/>
      <c r="AG1457" s="166"/>
      <c r="AH1457" s="166"/>
      <c r="AI1457" s="166"/>
    </row>
    <row r="1458" spans="7:35" x14ac:dyDescent="0.25">
      <c r="G1458" s="165"/>
      <c r="H1458" s="166"/>
      <c r="I1458" s="167"/>
      <c r="J1458" s="167"/>
      <c r="K1458" s="166"/>
      <c r="L1458" s="166"/>
      <c r="M1458" s="166"/>
      <c r="N1458" s="166"/>
      <c r="O1458" s="166"/>
      <c r="P1458" s="166"/>
      <c r="Q1458" s="166"/>
      <c r="R1458" s="166"/>
      <c r="S1458" s="166"/>
      <c r="T1458" s="166"/>
      <c r="U1458" s="166"/>
      <c r="V1458" s="166"/>
      <c r="W1458" s="166"/>
      <c r="X1458" s="166"/>
      <c r="Y1458" s="166"/>
      <c r="Z1458" s="166"/>
      <c r="AA1458" s="166"/>
      <c r="AB1458" s="166"/>
      <c r="AC1458" s="166"/>
      <c r="AD1458" s="166"/>
      <c r="AE1458" s="166"/>
      <c r="AF1458" s="166"/>
      <c r="AG1458" s="166"/>
      <c r="AH1458" s="166"/>
      <c r="AI1458" s="166"/>
    </row>
    <row r="1459" spans="7:35" x14ac:dyDescent="0.25">
      <c r="G1459" s="165"/>
      <c r="H1459" s="166"/>
      <c r="I1459" s="167"/>
      <c r="J1459" s="167"/>
      <c r="K1459" s="166"/>
      <c r="L1459" s="166"/>
      <c r="M1459" s="166"/>
      <c r="N1459" s="166"/>
      <c r="O1459" s="166"/>
      <c r="P1459" s="166"/>
      <c r="Q1459" s="166"/>
      <c r="R1459" s="166"/>
      <c r="S1459" s="166"/>
      <c r="T1459" s="166"/>
      <c r="U1459" s="166"/>
      <c r="V1459" s="166"/>
      <c r="W1459" s="166"/>
      <c r="X1459" s="166"/>
      <c r="Y1459" s="166"/>
      <c r="Z1459" s="166"/>
      <c r="AA1459" s="166"/>
      <c r="AB1459" s="166"/>
      <c r="AC1459" s="166"/>
      <c r="AD1459" s="166"/>
      <c r="AE1459" s="166"/>
      <c r="AF1459" s="166"/>
      <c r="AG1459" s="166"/>
      <c r="AH1459" s="166"/>
      <c r="AI1459" s="166"/>
    </row>
    <row r="1460" spans="7:35" x14ac:dyDescent="0.25">
      <c r="G1460" s="165"/>
      <c r="H1460" s="166"/>
      <c r="I1460" s="167"/>
      <c r="J1460" s="167"/>
      <c r="K1460" s="166"/>
      <c r="L1460" s="166"/>
      <c r="M1460" s="166"/>
      <c r="N1460" s="166"/>
      <c r="O1460" s="166"/>
      <c r="P1460" s="166"/>
      <c r="Q1460" s="166"/>
      <c r="R1460" s="166"/>
      <c r="S1460" s="166"/>
      <c r="T1460" s="166"/>
      <c r="U1460" s="166"/>
      <c r="V1460" s="166"/>
      <c r="W1460" s="166"/>
      <c r="X1460" s="166"/>
      <c r="Y1460" s="166"/>
      <c r="Z1460" s="166"/>
      <c r="AA1460" s="166"/>
      <c r="AB1460" s="166"/>
      <c r="AC1460" s="166"/>
      <c r="AD1460" s="166"/>
      <c r="AE1460" s="166"/>
      <c r="AF1460" s="166"/>
      <c r="AG1460" s="166"/>
      <c r="AH1460" s="166"/>
      <c r="AI1460" s="166"/>
    </row>
    <row r="1461" spans="7:35" x14ac:dyDescent="0.25">
      <c r="G1461" s="165"/>
      <c r="H1461" s="166"/>
      <c r="I1461" s="167"/>
      <c r="J1461" s="167"/>
      <c r="K1461" s="166"/>
      <c r="L1461" s="166"/>
      <c r="M1461" s="166"/>
      <c r="N1461" s="166"/>
      <c r="O1461" s="166"/>
      <c r="P1461" s="166"/>
      <c r="Q1461" s="166"/>
      <c r="R1461" s="166"/>
      <c r="S1461" s="166"/>
      <c r="T1461" s="166"/>
      <c r="U1461" s="166"/>
      <c r="V1461" s="166"/>
      <c r="W1461" s="166"/>
      <c r="X1461" s="166"/>
      <c r="Y1461" s="166"/>
      <c r="Z1461" s="166"/>
      <c r="AA1461" s="166"/>
      <c r="AB1461" s="166"/>
      <c r="AC1461" s="166"/>
      <c r="AD1461" s="166"/>
      <c r="AE1461" s="166"/>
      <c r="AF1461" s="166"/>
      <c r="AG1461" s="166"/>
      <c r="AH1461" s="166"/>
      <c r="AI1461" s="166"/>
    </row>
    <row r="1462" spans="7:35" x14ac:dyDescent="0.25">
      <c r="G1462" s="165"/>
      <c r="H1462" s="166"/>
      <c r="I1462" s="167"/>
      <c r="J1462" s="167"/>
      <c r="K1462" s="166"/>
      <c r="L1462" s="166"/>
      <c r="M1462" s="166"/>
      <c r="N1462" s="166"/>
      <c r="O1462" s="166"/>
      <c r="P1462" s="166"/>
      <c r="Q1462" s="166"/>
      <c r="R1462" s="166"/>
      <c r="S1462" s="166"/>
      <c r="T1462" s="166"/>
      <c r="U1462" s="166"/>
      <c r="V1462" s="166"/>
      <c r="W1462" s="166"/>
      <c r="X1462" s="166"/>
      <c r="Y1462" s="166"/>
      <c r="Z1462" s="166"/>
      <c r="AA1462" s="166"/>
      <c r="AB1462" s="166"/>
      <c r="AC1462" s="166"/>
      <c r="AD1462" s="166"/>
      <c r="AE1462" s="166"/>
      <c r="AF1462" s="166"/>
      <c r="AG1462" s="166"/>
      <c r="AH1462" s="166"/>
      <c r="AI1462" s="166"/>
    </row>
    <row r="1463" spans="7:35" x14ac:dyDescent="0.25">
      <c r="G1463" s="165"/>
      <c r="H1463" s="166"/>
      <c r="I1463" s="167"/>
      <c r="J1463" s="167"/>
      <c r="K1463" s="166"/>
      <c r="L1463" s="166"/>
      <c r="M1463" s="166"/>
      <c r="N1463" s="166"/>
      <c r="O1463" s="166"/>
      <c r="P1463" s="166"/>
      <c r="Q1463" s="166"/>
      <c r="R1463" s="166"/>
      <c r="S1463" s="166"/>
      <c r="T1463" s="166"/>
      <c r="U1463" s="166"/>
      <c r="V1463" s="166"/>
      <c r="W1463" s="166"/>
      <c r="X1463" s="166"/>
      <c r="Y1463" s="166"/>
      <c r="Z1463" s="166"/>
      <c r="AA1463" s="166"/>
      <c r="AB1463" s="166"/>
      <c r="AC1463" s="166"/>
      <c r="AD1463" s="166"/>
      <c r="AE1463" s="166"/>
      <c r="AF1463" s="166"/>
      <c r="AG1463" s="166"/>
      <c r="AH1463" s="166"/>
      <c r="AI1463" s="166"/>
    </row>
    <row r="1464" spans="7:35" x14ac:dyDescent="0.25">
      <c r="G1464" s="165"/>
      <c r="H1464" s="166"/>
      <c r="I1464" s="167"/>
      <c r="J1464" s="167"/>
      <c r="K1464" s="166"/>
      <c r="L1464" s="166"/>
      <c r="M1464" s="166"/>
      <c r="N1464" s="166"/>
      <c r="O1464" s="166"/>
      <c r="P1464" s="166"/>
      <c r="Q1464" s="166"/>
      <c r="R1464" s="166"/>
      <c r="S1464" s="166"/>
      <c r="T1464" s="166"/>
      <c r="U1464" s="166"/>
      <c r="V1464" s="166"/>
      <c r="W1464" s="166"/>
      <c r="X1464" s="166"/>
      <c r="Y1464" s="166"/>
      <c r="Z1464" s="166"/>
      <c r="AA1464" s="166"/>
      <c r="AB1464" s="166"/>
      <c r="AC1464" s="166"/>
      <c r="AD1464" s="166"/>
      <c r="AE1464" s="166"/>
      <c r="AF1464" s="166"/>
      <c r="AG1464" s="166"/>
      <c r="AH1464" s="166"/>
      <c r="AI1464" s="166"/>
    </row>
    <row r="1465" spans="7:35" x14ac:dyDescent="0.25">
      <c r="G1465" s="165"/>
      <c r="H1465" s="166"/>
      <c r="I1465" s="167"/>
      <c r="J1465" s="167"/>
      <c r="K1465" s="166"/>
      <c r="L1465" s="166"/>
      <c r="M1465" s="166"/>
      <c r="N1465" s="166"/>
      <c r="O1465" s="166"/>
      <c r="P1465" s="166"/>
      <c r="Q1465" s="166"/>
      <c r="R1465" s="166"/>
      <c r="S1465" s="166"/>
      <c r="T1465" s="166"/>
      <c r="U1465" s="166"/>
      <c r="V1465" s="166"/>
      <c r="W1465" s="166"/>
      <c r="X1465" s="166"/>
      <c r="Y1465" s="166"/>
      <c r="Z1465" s="166"/>
      <c r="AA1465" s="166"/>
      <c r="AB1465" s="166"/>
      <c r="AC1465" s="166"/>
      <c r="AD1465" s="166"/>
      <c r="AE1465" s="166"/>
      <c r="AF1465" s="166"/>
      <c r="AG1465" s="166"/>
      <c r="AH1465" s="166"/>
      <c r="AI1465" s="166"/>
    </row>
    <row r="1466" spans="7:35" x14ac:dyDescent="0.25">
      <c r="G1466" s="165"/>
      <c r="H1466" s="166"/>
      <c r="I1466" s="167"/>
      <c r="J1466" s="167"/>
      <c r="K1466" s="166"/>
      <c r="L1466" s="166"/>
      <c r="M1466" s="166"/>
      <c r="N1466" s="166"/>
      <c r="O1466" s="166"/>
      <c r="P1466" s="166"/>
      <c r="Q1466" s="166"/>
      <c r="R1466" s="166"/>
      <c r="S1466" s="166"/>
      <c r="T1466" s="166"/>
      <c r="U1466" s="166"/>
      <c r="V1466" s="166"/>
      <c r="W1466" s="166"/>
      <c r="X1466" s="166"/>
      <c r="Y1466" s="166"/>
      <c r="Z1466" s="166"/>
      <c r="AA1466" s="166"/>
      <c r="AB1466" s="166"/>
      <c r="AC1466" s="166"/>
      <c r="AD1466" s="166"/>
      <c r="AE1466" s="166"/>
      <c r="AF1466" s="166"/>
      <c r="AG1466" s="166"/>
      <c r="AH1466" s="166"/>
      <c r="AI1466" s="166"/>
    </row>
    <row r="1467" spans="7:35" x14ac:dyDescent="0.25">
      <c r="G1467" s="165"/>
      <c r="H1467" s="166"/>
      <c r="I1467" s="167"/>
      <c r="J1467" s="167"/>
      <c r="K1467" s="166"/>
      <c r="L1467" s="166"/>
      <c r="M1467" s="166"/>
      <c r="N1467" s="166"/>
      <c r="O1467" s="166"/>
      <c r="P1467" s="166"/>
      <c r="Q1467" s="166"/>
      <c r="R1467" s="166"/>
      <c r="S1467" s="166"/>
      <c r="T1467" s="166"/>
      <c r="U1467" s="166"/>
      <c r="V1467" s="166"/>
      <c r="W1467" s="166"/>
      <c r="X1467" s="166"/>
      <c r="Y1467" s="166"/>
      <c r="Z1467" s="166"/>
      <c r="AA1467" s="166"/>
      <c r="AB1467" s="166"/>
      <c r="AC1467" s="166"/>
      <c r="AD1467" s="166"/>
      <c r="AE1467" s="166"/>
      <c r="AF1467" s="166"/>
      <c r="AG1467" s="166"/>
      <c r="AH1467" s="166"/>
      <c r="AI1467" s="166"/>
    </row>
    <row r="1468" spans="7:35" x14ac:dyDescent="0.25">
      <c r="G1468" s="165"/>
      <c r="H1468" s="166"/>
      <c r="I1468" s="167"/>
      <c r="J1468" s="167"/>
      <c r="K1468" s="166"/>
      <c r="L1468" s="166"/>
      <c r="M1468" s="166"/>
      <c r="N1468" s="166"/>
      <c r="O1468" s="166"/>
      <c r="P1468" s="166"/>
      <c r="Q1468" s="166"/>
      <c r="R1468" s="166"/>
      <c r="S1468" s="166"/>
      <c r="T1468" s="166"/>
      <c r="U1468" s="166"/>
      <c r="V1468" s="166"/>
      <c r="W1468" s="166"/>
      <c r="X1468" s="166"/>
      <c r="Y1468" s="166"/>
      <c r="Z1468" s="166"/>
      <c r="AA1468" s="166"/>
      <c r="AB1468" s="166"/>
      <c r="AC1468" s="166"/>
      <c r="AD1468" s="166"/>
      <c r="AE1468" s="166"/>
      <c r="AF1468" s="166"/>
      <c r="AG1468" s="166"/>
      <c r="AH1468" s="166"/>
      <c r="AI1468" s="166"/>
    </row>
    <row r="1469" spans="7:35" x14ac:dyDescent="0.25">
      <c r="G1469" s="165"/>
      <c r="H1469" s="166"/>
      <c r="I1469" s="167"/>
      <c r="J1469" s="167"/>
      <c r="K1469" s="166"/>
      <c r="L1469" s="166"/>
      <c r="M1469" s="166"/>
      <c r="N1469" s="166"/>
      <c r="O1469" s="166"/>
      <c r="P1469" s="166"/>
      <c r="Q1469" s="166"/>
      <c r="R1469" s="166"/>
      <c r="S1469" s="166"/>
      <c r="T1469" s="166"/>
      <c r="U1469" s="166"/>
      <c r="V1469" s="166"/>
      <c r="W1469" s="166"/>
      <c r="X1469" s="166"/>
      <c r="Y1469" s="166"/>
      <c r="Z1469" s="166"/>
      <c r="AA1469" s="166"/>
      <c r="AB1469" s="166"/>
      <c r="AC1469" s="166"/>
      <c r="AD1469" s="166"/>
      <c r="AE1469" s="166"/>
      <c r="AF1469" s="166"/>
      <c r="AG1469" s="166"/>
      <c r="AH1469" s="166"/>
      <c r="AI1469" s="166"/>
    </row>
    <row r="1470" spans="7:35" x14ac:dyDescent="0.25">
      <c r="G1470" s="165"/>
      <c r="H1470" s="166"/>
      <c r="I1470" s="167"/>
      <c r="J1470" s="167"/>
      <c r="K1470" s="166"/>
      <c r="L1470" s="166"/>
      <c r="M1470" s="166"/>
      <c r="N1470" s="166"/>
      <c r="O1470" s="166"/>
      <c r="P1470" s="166"/>
      <c r="Q1470" s="166"/>
      <c r="R1470" s="166"/>
      <c r="S1470" s="166"/>
      <c r="T1470" s="166"/>
      <c r="U1470" s="166"/>
      <c r="V1470" s="166"/>
      <c r="W1470" s="166"/>
      <c r="X1470" s="166"/>
      <c r="Y1470" s="166"/>
      <c r="Z1470" s="166"/>
      <c r="AA1470" s="166"/>
      <c r="AB1470" s="166"/>
      <c r="AC1470" s="166"/>
      <c r="AD1470" s="166"/>
      <c r="AE1470" s="166"/>
      <c r="AF1470" s="166"/>
      <c r="AG1470" s="166"/>
      <c r="AH1470" s="166"/>
      <c r="AI1470" s="166"/>
    </row>
    <row r="1471" spans="7:35" x14ac:dyDescent="0.25">
      <c r="G1471" s="165"/>
      <c r="H1471" s="166"/>
      <c r="I1471" s="167"/>
      <c r="J1471" s="167"/>
      <c r="K1471" s="166"/>
      <c r="L1471" s="166"/>
      <c r="M1471" s="166"/>
      <c r="N1471" s="166"/>
      <c r="O1471" s="166"/>
      <c r="P1471" s="166"/>
      <c r="Q1471" s="166"/>
      <c r="R1471" s="166"/>
      <c r="S1471" s="166"/>
      <c r="T1471" s="166"/>
      <c r="U1471" s="166"/>
      <c r="V1471" s="166"/>
      <c r="W1471" s="166"/>
      <c r="X1471" s="166"/>
      <c r="Y1471" s="166"/>
      <c r="Z1471" s="166"/>
      <c r="AA1471" s="166"/>
      <c r="AB1471" s="166"/>
      <c r="AC1471" s="166"/>
      <c r="AD1471" s="166"/>
      <c r="AE1471" s="166"/>
      <c r="AF1471" s="166"/>
      <c r="AG1471" s="166"/>
      <c r="AH1471" s="166"/>
      <c r="AI1471" s="166"/>
    </row>
    <row r="1472" spans="7:35" x14ac:dyDescent="0.25">
      <c r="G1472" s="165"/>
      <c r="H1472" s="166"/>
      <c r="I1472" s="167"/>
      <c r="J1472" s="167"/>
      <c r="K1472" s="166"/>
      <c r="L1472" s="166"/>
      <c r="M1472" s="166"/>
      <c r="N1472" s="166"/>
      <c r="O1472" s="166"/>
      <c r="P1472" s="166"/>
      <c r="Q1472" s="166"/>
      <c r="R1472" s="166"/>
      <c r="S1472" s="166"/>
      <c r="T1472" s="166"/>
      <c r="U1472" s="166"/>
      <c r="V1472" s="166"/>
      <c r="W1472" s="166"/>
      <c r="X1472" s="166"/>
      <c r="Y1472" s="166"/>
      <c r="Z1472" s="166"/>
      <c r="AA1472" s="166"/>
      <c r="AB1472" s="166"/>
      <c r="AC1472" s="166"/>
      <c r="AD1472" s="166"/>
      <c r="AE1472" s="166"/>
      <c r="AF1472" s="166"/>
      <c r="AG1472" s="166"/>
      <c r="AH1472" s="166"/>
      <c r="AI1472" s="166"/>
    </row>
    <row r="1473" spans="7:35" x14ac:dyDescent="0.25">
      <c r="G1473" s="165"/>
      <c r="H1473" s="166"/>
      <c r="I1473" s="167"/>
      <c r="J1473" s="167"/>
      <c r="K1473" s="166"/>
      <c r="L1473" s="166"/>
      <c r="M1473" s="166"/>
      <c r="N1473" s="166"/>
      <c r="O1473" s="166"/>
      <c r="P1473" s="166"/>
      <c r="Q1473" s="166"/>
      <c r="R1473" s="166"/>
      <c r="S1473" s="166"/>
      <c r="T1473" s="166"/>
      <c r="U1473" s="166"/>
      <c r="V1473" s="166"/>
      <c r="W1473" s="166"/>
      <c r="X1473" s="166"/>
      <c r="Y1473" s="166"/>
      <c r="Z1473" s="166"/>
      <c r="AA1473" s="166"/>
      <c r="AB1473" s="166"/>
      <c r="AC1473" s="166"/>
      <c r="AD1473" s="166"/>
      <c r="AE1473" s="166"/>
      <c r="AF1473" s="166"/>
      <c r="AG1473" s="166"/>
      <c r="AH1473" s="166"/>
      <c r="AI1473" s="166"/>
    </row>
    <row r="1474" spans="7:35" x14ac:dyDescent="0.25">
      <c r="G1474" s="165"/>
      <c r="H1474" s="166"/>
      <c r="I1474" s="167"/>
      <c r="J1474" s="167"/>
      <c r="K1474" s="166"/>
      <c r="L1474" s="166"/>
      <c r="M1474" s="166"/>
      <c r="N1474" s="166"/>
      <c r="O1474" s="166"/>
      <c r="P1474" s="166"/>
      <c r="Q1474" s="166"/>
      <c r="R1474" s="166"/>
      <c r="S1474" s="166"/>
      <c r="T1474" s="166"/>
      <c r="U1474" s="166"/>
      <c r="V1474" s="166"/>
      <c r="W1474" s="166"/>
      <c r="X1474" s="166"/>
      <c r="Y1474" s="166"/>
      <c r="Z1474" s="166"/>
      <c r="AA1474" s="166"/>
      <c r="AB1474" s="166"/>
      <c r="AC1474" s="166"/>
      <c r="AD1474" s="166"/>
      <c r="AE1474" s="166"/>
      <c r="AF1474" s="166"/>
      <c r="AG1474" s="166"/>
      <c r="AH1474" s="166"/>
      <c r="AI1474" s="166"/>
    </row>
    <row r="1475" spans="7:35" x14ac:dyDescent="0.25">
      <c r="G1475" s="165"/>
      <c r="H1475" s="166"/>
      <c r="I1475" s="167"/>
      <c r="J1475" s="167"/>
      <c r="K1475" s="166"/>
      <c r="L1475" s="166"/>
      <c r="M1475" s="166"/>
      <c r="N1475" s="166"/>
      <c r="O1475" s="166"/>
      <c r="P1475" s="166"/>
      <c r="Q1475" s="166"/>
      <c r="R1475" s="166"/>
      <c r="S1475" s="166"/>
      <c r="T1475" s="166"/>
      <c r="U1475" s="166"/>
      <c r="V1475" s="166"/>
      <c r="W1475" s="166"/>
      <c r="X1475" s="166"/>
      <c r="Y1475" s="166"/>
      <c r="Z1475" s="166"/>
      <c r="AA1475" s="166"/>
      <c r="AB1475" s="166"/>
      <c r="AC1475" s="166"/>
      <c r="AD1475" s="166"/>
      <c r="AE1475" s="166"/>
      <c r="AF1475" s="166"/>
      <c r="AG1475" s="166"/>
      <c r="AH1475" s="166"/>
      <c r="AI1475" s="166"/>
    </row>
    <row r="1476" spans="7:35" x14ac:dyDescent="0.25">
      <c r="G1476" s="165"/>
      <c r="H1476" s="166"/>
      <c r="I1476" s="167"/>
      <c r="J1476" s="167"/>
      <c r="K1476" s="166"/>
      <c r="L1476" s="166"/>
      <c r="M1476" s="166"/>
      <c r="N1476" s="166"/>
      <c r="O1476" s="166"/>
      <c r="P1476" s="166"/>
      <c r="Q1476" s="166"/>
      <c r="R1476" s="166"/>
      <c r="S1476" s="166"/>
      <c r="T1476" s="166"/>
      <c r="U1476" s="166"/>
      <c r="V1476" s="166"/>
      <c r="W1476" s="166"/>
      <c r="X1476" s="166"/>
      <c r="Y1476" s="166"/>
      <c r="Z1476" s="166"/>
      <c r="AA1476" s="166"/>
      <c r="AB1476" s="166"/>
      <c r="AC1476" s="166"/>
      <c r="AD1476" s="166"/>
      <c r="AE1476" s="166"/>
      <c r="AF1476" s="166"/>
      <c r="AG1476" s="166"/>
      <c r="AH1476" s="166"/>
      <c r="AI1476" s="166"/>
    </row>
    <row r="1477" spans="7:35" x14ac:dyDescent="0.25">
      <c r="G1477" s="165"/>
      <c r="H1477" s="166"/>
      <c r="I1477" s="167"/>
      <c r="J1477" s="167"/>
      <c r="K1477" s="166"/>
      <c r="L1477" s="166"/>
      <c r="M1477" s="166"/>
      <c r="N1477" s="166"/>
      <c r="O1477" s="166"/>
      <c r="P1477" s="166"/>
      <c r="Q1477" s="166"/>
      <c r="R1477" s="166"/>
      <c r="S1477" s="166"/>
      <c r="T1477" s="166"/>
      <c r="U1477" s="166"/>
      <c r="V1477" s="166"/>
      <c r="W1477" s="166"/>
      <c r="X1477" s="166"/>
      <c r="Y1477" s="166"/>
      <c r="Z1477" s="166"/>
      <c r="AA1477" s="166"/>
      <c r="AB1477" s="166"/>
      <c r="AC1477" s="166"/>
      <c r="AD1477" s="166"/>
      <c r="AE1477" s="166"/>
      <c r="AF1477" s="166"/>
      <c r="AG1477" s="166"/>
      <c r="AH1477" s="166"/>
      <c r="AI1477" s="166"/>
    </row>
    <row r="1478" spans="7:35" x14ac:dyDescent="0.25">
      <c r="G1478" s="165"/>
      <c r="H1478" s="166"/>
      <c r="I1478" s="167"/>
      <c r="J1478" s="167"/>
      <c r="K1478" s="166"/>
      <c r="L1478" s="166"/>
      <c r="M1478" s="166"/>
      <c r="N1478" s="166"/>
      <c r="O1478" s="166"/>
      <c r="P1478" s="166"/>
      <c r="Q1478" s="166"/>
      <c r="R1478" s="166"/>
      <c r="S1478" s="166"/>
      <c r="T1478" s="166"/>
      <c r="U1478" s="166"/>
      <c r="V1478" s="166"/>
      <c r="W1478" s="166"/>
      <c r="X1478" s="166"/>
      <c r="Y1478" s="166"/>
      <c r="Z1478" s="166"/>
      <c r="AA1478" s="166"/>
      <c r="AB1478" s="166"/>
      <c r="AC1478" s="166"/>
      <c r="AD1478" s="166"/>
      <c r="AE1478" s="166"/>
      <c r="AF1478" s="166"/>
      <c r="AG1478" s="166"/>
      <c r="AH1478" s="166"/>
      <c r="AI1478" s="166"/>
    </row>
    <row r="1479" spans="7:35" x14ac:dyDescent="0.25">
      <c r="G1479" s="165"/>
      <c r="H1479" s="166"/>
      <c r="I1479" s="167"/>
      <c r="J1479" s="167"/>
      <c r="K1479" s="166"/>
      <c r="L1479" s="166"/>
      <c r="M1479" s="166"/>
      <c r="N1479" s="166"/>
      <c r="O1479" s="166"/>
      <c r="P1479" s="166"/>
      <c r="Q1479" s="166"/>
      <c r="R1479" s="166"/>
      <c r="S1479" s="166"/>
      <c r="T1479" s="166"/>
      <c r="U1479" s="166"/>
      <c r="V1479" s="166"/>
      <c r="W1479" s="166"/>
      <c r="X1479" s="166"/>
      <c r="Y1479" s="166"/>
      <c r="Z1479" s="166"/>
      <c r="AA1479" s="166"/>
      <c r="AB1479" s="166"/>
      <c r="AC1479" s="166"/>
      <c r="AD1479" s="166"/>
      <c r="AE1479" s="166"/>
      <c r="AF1479" s="166"/>
      <c r="AG1479" s="166"/>
      <c r="AH1479" s="166"/>
      <c r="AI1479" s="166"/>
    </row>
    <row r="1480" spans="7:35" x14ac:dyDescent="0.25">
      <c r="G1480" s="165"/>
      <c r="H1480" s="166"/>
      <c r="I1480" s="167"/>
      <c r="J1480" s="167"/>
      <c r="K1480" s="166"/>
      <c r="L1480" s="166"/>
      <c r="M1480" s="166"/>
      <c r="N1480" s="166"/>
      <c r="O1480" s="166"/>
      <c r="P1480" s="166"/>
      <c r="Q1480" s="166"/>
      <c r="R1480" s="166"/>
      <c r="S1480" s="166"/>
      <c r="T1480" s="166"/>
      <c r="U1480" s="166"/>
      <c r="V1480" s="166"/>
      <c r="W1480" s="166"/>
      <c r="X1480" s="166"/>
      <c r="Y1480" s="166"/>
      <c r="Z1480" s="166"/>
      <c r="AA1480" s="166"/>
      <c r="AB1480" s="166"/>
      <c r="AC1480" s="166"/>
      <c r="AD1480" s="166"/>
      <c r="AE1480" s="166"/>
      <c r="AF1480" s="166"/>
      <c r="AG1480" s="166"/>
      <c r="AH1480" s="166"/>
      <c r="AI1480" s="166"/>
    </row>
    <row r="1481" spans="7:35" x14ac:dyDescent="0.25">
      <c r="G1481" s="165"/>
      <c r="H1481" s="166"/>
      <c r="I1481" s="167"/>
      <c r="J1481" s="167"/>
      <c r="K1481" s="166"/>
      <c r="L1481" s="166"/>
      <c r="M1481" s="166"/>
      <c r="N1481" s="166"/>
      <c r="O1481" s="166"/>
      <c r="P1481" s="166"/>
      <c r="Q1481" s="166"/>
      <c r="R1481" s="166"/>
      <c r="S1481" s="166"/>
      <c r="T1481" s="166"/>
      <c r="U1481" s="166"/>
      <c r="V1481" s="166"/>
      <c r="W1481" s="166"/>
      <c r="X1481" s="166"/>
      <c r="Y1481" s="166"/>
      <c r="Z1481" s="166"/>
      <c r="AA1481" s="166"/>
      <c r="AB1481" s="166"/>
      <c r="AC1481" s="166"/>
      <c r="AD1481" s="166"/>
      <c r="AE1481" s="166"/>
      <c r="AF1481" s="166"/>
      <c r="AG1481" s="166"/>
      <c r="AH1481" s="166"/>
      <c r="AI1481" s="166"/>
    </row>
    <row r="1482" spans="7:35" x14ac:dyDescent="0.25">
      <c r="G1482" s="165"/>
      <c r="H1482" s="166"/>
      <c r="I1482" s="167"/>
      <c r="J1482" s="167"/>
      <c r="K1482" s="166"/>
      <c r="L1482" s="166"/>
      <c r="M1482" s="166"/>
      <c r="N1482" s="166"/>
      <c r="O1482" s="166"/>
      <c r="P1482" s="166"/>
      <c r="Q1482" s="166"/>
      <c r="R1482" s="166"/>
      <c r="S1482" s="166"/>
      <c r="T1482" s="166"/>
      <c r="U1482" s="166"/>
      <c r="V1482" s="166"/>
      <c r="W1482" s="166"/>
      <c r="X1482" s="166"/>
      <c r="Y1482" s="166"/>
      <c r="Z1482" s="166"/>
      <c r="AA1482" s="166"/>
      <c r="AB1482" s="166"/>
      <c r="AC1482" s="166"/>
      <c r="AD1482" s="166"/>
      <c r="AE1482" s="166"/>
      <c r="AF1482" s="166"/>
      <c r="AG1482" s="166"/>
      <c r="AH1482" s="166"/>
      <c r="AI1482" s="166"/>
    </row>
    <row r="1483" spans="7:35" x14ac:dyDescent="0.25">
      <c r="G1483" s="165"/>
      <c r="H1483" s="166"/>
      <c r="I1483" s="167"/>
      <c r="J1483" s="167"/>
      <c r="K1483" s="166"/>
      <c r="L1483" s="166"/>
      <c r="M1483" s="166"/>
      <c r="N1483" s="166"/>
      <c r="O1483" s="166"/>
      <c r="P1483" s="166"/>
      <c r="Q1483" s="166"/>
      <c r="R1483" s="166"/>
      <c r="S1483" s="166"/>
      <c r="T1483" s="166"/>
      <c r="U1483" s="166"/>
      <c r="V1483" s="166"/>
      <c r="W1483" s="166"/>
      <c r="X1483" s="166"/>
      <c r="Y1483" s="166"/>
      <c r="Z1483" s="166"/>
      <c r="AA1483" s="166"/>
      <c r="AB1483" s="166"/>
      <c r="AC1483" s="166"/>
      <c r="AD1483" s="166"/>
      <c r="AE1483" s="166"/>
      <c r="AF1483" s="166"/>
      <c r="AG1483" s="166"/>
      <c r="AH1483" s="166"/>
      <c r="AI1483" s="166"/>
    </row>
    <row r="1484" spans="7:35" x14ac:dyDescent="0.25">
      <c r="G1484" s="165"/>
      <c r="H1484" s="166"/>
      <c r="I1484" s="167"/>
      <c r="J1484" s="167"/>
      <c r="K1484" s="166"/>
      <c r="L1484" s="166"/>
      <c r="M1484" s="166"/>
      <c r="N1484" s="166"/>
      <c r="O1484" s="166"/>
      <c r="P1484" s="166"/>
      <c r="Q1484" s="166"/>
      <c r="R1484" s="166"/>
      <c r="S1484" s="166"/>
      <c r="T1484" s="166"/>
      <c r="U1484" s="166"/>
      <c r="V1484" s="166"/>
      <c r="W1484" s="166"/>
      <c r="X1484" s="166"/>
      <c r="Y1484" s="166"/>
      <c r="Z1484" s="166"/>
      <c r="AA1484" s="166"/>
      <c r="AB1484" s="166"/>
      <c r="AC1484" s="166"/>
      <c r="AD1484" s="166"/>
      <c r="AE1484" s="166"/>
      <c r="AF1484" s="166"/>
      <c r="AG1484" s="166"/>
      <c r="AH1484" s="166"/>
      <c r="AI1484" s="166"/>
    </row>
    <row r="1485" spans="7:35" x14ac:dyDescent="0.25">
      <c r="G1485" s="165"/>
      <c r="H1485" s="166"/>
      <c r="I1485" s="167"/>
      <c r="J1485" s="167"/>
      <c r="K1485" s="166"/>
      <c r="L1485" s="166"/>
      <c r="M1485" s="166"/>
      <c r="N1485" s="166"/>
      <c r="O1485" s="166"/>
      <c r="P1485" s="166"/>
      <c r="Q1485" s="166"/>
      <c r="R1485" s="166"/>
      <c r="S1485" s="166"/>
      <c r="T1485" s="166"/>
      <c r="U1485" s="166"/>
      <c r="V1485" s="166"/>
      <c r="W1485" s="166"/>
      <c r="X1485" s="166"/>
      <c r="Y1485" s="166"/>
      <c r="Z1485" s="166"/>
      <c r="AA1485" s="166"/>
      <c r="AB1485" s="166"/>
      <c r="AC1485" s="166"/>
      <c r="AD1485" s="166"/>
      <c r="AE1485" s="166"/>
      <c r="AF1485" s="166"/>
      <c r="AG1485" s="166"/>
      <c r="AH1485" s="166"/>
      <c r="AI1485" s="166"/>
    </row>
    <row r="1486" spans="7:35" x14ac:dyDescent="0.25">
      <c r="G1486" s="165"/>
      <c r="H1486" s="166"/>
      <c r="I1486" s="167"/>
      <c r="J1486" s="167"/>
      <c r="K1486" s="166"/>
      <c r="L1486" s="166"/>
      <c r="M1486" s="166"/>
      <c r="N1486" s="166"/>
      <c r="O1486" s="166"/>
      <c r="P1486" s="166"/>
      <c r="Q1486" s="166"/>
      <c r="R1486" s="166"/>
      <c r="S1486" s="166"/>
      <c r="T1486" s="166"/>
      <c r="U1486" s="166"/>
      <c r="V1486" s="166"/>
      <c r="W1486" s="166"/>
      <c r="X1486" s="166"/>
      <c r="Y1486" s="166"/>
      <c r="Z1486" s="166"/>
      <c r="AA1486" s="166"/>
      <c r="AB1486" s="166"/>
      <c r="AC1486" s="166"/>
      <c r="AD1486" s="166"/>
      <c r="AE1486" s="166"/>
      <c r="AF1486" s="166"/>
      <c r="AG1486" s="166"/>
      <c r="AH1486" s="166"/>
      <c r="AI1486" s="166"/>
    </row>
    <row r="1487" spans="7:35" x14ac:dyDescent="0.25">
      <c r="G1487" s="165"/>
      <c r="H1487" s="166"/>
      <c r="I1487" s="167"/>
      <c r="J1487" s="167"/>
      <c r="K1487" s="166"/>
      <c r="L1487" s="166"/>
      <c r="M1487" s="166"/>
      <c r="N1487" s="166"/>
      <c r="O1487" s="166"/>
      <c r="P1487" s="166"/>
      <c r="Q1487" s="166"/>
      <c r="R1487" s="166"/>
      <c r="S1487" s="166"/>
      <c r="T1487" s="166"/>
      <c r="U1487" s="166"/>
      <c r="V1487" s="166"/>
      <c r="W1487" s="166"/>
      <c r="X1487" s="166"/>
      <c r="Y1487" s="166"/>
      <c r="Z1487" s="166"/>
      <c r="AA1487" s="166"/>
      <c r="AB1487" s="166"/>
      <c r="AC1487" s="166"/>
      <c r="AD1487" s="166"/>
      <c r="AE1487" s="166"/>
      <c r="AF1487" s="166"/>
      <c r="AG1487" s="166"/>
      <c r="AH1487" s="166"/>
      <c r="AI1487" s="166"/>
    </row>
    <row r="1488" spans="7:35" x14ac:dyDescent="0.25">
      <c r="G1488" s="165"/>
      <c r="H1488" s="166"/>
      <c r="I1488" s="167"/>
      <c r="J1488" s="167"/>
      <c r="K1488" s="166"/>
      <c r="L1488" s="166"/>
      <c r="M1488" s="166"/>
      <c r="N1488" s="166"/>
      <c r="O1488" s="166"/>
      <c r="P1488" s="166"/>
      <c r="Q1488" s="166"/>
      <c r="R1488" s="166"/>
      <c r="S1488" s="166"/>
      <c r="T1488" s="166"/>
      <c r="U1488" s="166"/>
      <c r="V1488" s="166"/>
      <c r="W1488" s="166"/>
      <c r="X1488" s="166"/>
      <c r="Y1488" s="166"/>
      <c r="Z1488" s="166"/>
      <c r="AA1488" s="166"/>
      <c r="AB1488" s="166"/>
      <c r="AC1488" s="166"/>
      <c r="AD1488" s="166"/>
      <c r="AE1488" s="166"/>
      <c r="AF1488" s="166"/>
      <c r="AG1488" s="166"/>
      <c r="AH1488" s="166"/>
      <c r="AI1488" s="166"/>
    </row>
    <row r="1489" spans="7:35" x14ac:dyDescent="0.25">
      <c r="G1489" s="165"/>
      <c r="H1489" s="166"/>
      <c r="I1489" s="167"/>
      <c r="J1489" s="167"/>
      <c r="K1489" s="166"/>
      <c r="L1489" s="166"/>
      <c r="M1489" s="166"/>
      <c r="N1489" s="166"/>
      <c r="O1489" s="166"/>
      <c r="P1489" s="166"/>
      <c r="Q1489" s="166"/>
      <c r="R1489" s="166"/>
      <c r="S1489" s="166"/>
      <c r="T1489" s="166"/>
      <c r="U1489" s="166"/>
      <c r="V1489" s="166"/>
      <c r="W1489" s="166"/>
      <c r="X1489" s="166"/>
      <c r="Y1489" s="166"/>
      <c r="Z1489" s="166"/>
      <c r="AA1489" s="166"/>
      <c r="AB1489" s="166"/>
      <c r="AC1489" s="166"/>
      <c r="AD1489" s="166"/>
      <c r="AE1489" s="166"/>
      <c r="AF1489" s="166"/>
      <c r="AG1489" s="166"/>
      <c r="AH1489" s="166"/>
      <c r="AI1489" s="166"/>
    </row>
    <row r="1490" spans="7:35" x14ac:dyDescent="0.25">
      <c r="G1490" s="165"/>
      <c r="H1490" s="166"/>
      <c r="I1490" s="167"/>
      <c r="J1490" s="167"/>
      <c r="K1490" s="166"/>
      <c r="L1490" s="166"/>
      <c r="M1490" s="166"/>
      <c r="N1490" s="166"/>
      <c r="O1490" s="166"/>
      <c r="P1490" s="166"/>
      <c r="Q1490" s="166"/>
      <c r="R1490" s="166"/>
      <c r="S1490" s="166"/>
      <c r="T1490" s="166"/>
      <c r="U1490" s="166"/>
      <c r="V1490" s="166"/>
      <c r="W1490" s="166"/>
      <c r="X1490" s="166"/>
      <c r="Y1490" s="166"/>
      <c r="Z1490" s="166"/>
      <c r="AA1490" s="166"/>
      <c r="AB1490" s="166"/>
      <c r="AC1490" s="166"/>
      <c r="AD1490" s="166"/>
      <c r="AE1490" s="166"/>
      <c r="AF1490" s="166"/>
      <c r="AG1490" s="166"/>
      <c r="AH1490" s="166"/>
      <c r="AI1490" s="166"/>
    </row>
    <row r="1491" spans="7:35" x14ac:dyDescent="0.25">
      <c r="G1491" s="165"/>
      <c r="H1491" s="166"/>
      <c r="I1491" s="167"/>
      <c r="J1491" s="167"/>
      <c r="K1491" s="166"/>
      <c r="L1491" s="166"/>
      <c r="M1491" s="166"/>
      <c r="N1491" s="166"/>
      <c r="O1491" s="166"/>
      <c r="P1491" s="166"/>
      <c r="Q1491" s="166"/>
      <c r="R1491" s="166"/>
      <c r="S1491" s="166"/>
      <c r="T1491" s="166"/>
      <c r="U1491" s="166"/>
      <c r="V1491" s="166"/>
      <c r="W1491" s="166"/>
      <c r="X1491" s="166"/>
      <c r="Y1491" s="166"/>
      <c r="Z1491" s="166"/>
      <c r="AA1491" s="166"/>
      <c r="AB1491" s="166"/>
      <c r="AC1491" s="166"/>
      <c r="AD1491" s="166"/>
      <c r="AE1491" s="166"/>
      <c r="AF1491" s="166"/>
      <c r="AG1491" s="166"/>
      <c r="AH1491" s="166"/>
      <c r="AI1491" s="166"/>
    </row>
    <row r="1492" spans="7:35" x14ac:dyDescent="0.25">
      <c r="G1492" s="165"/>
      <c r="H1492" s="166"/>
      <c r="I1492" s="167"/>
      <c r="J1492" s="167"/>
      <c r="K1492" s="166"/>
      <c r="L1492" s="166"/>
      <c r="M1492" s="166"/>
      <c r="N1492" s="166"/>
      <c r="O1492" s="166"/>
      <c r="P1492" s="166"/>
      <c r="Q1492" s="166"/>
      <c r="R1492" s="166"/>
      <c r="S1492" s="166"/>
      <c r="T1492" s="166"/>
      <c r="U1492" s="166"/>
      <c r="V1492" s="166"/>
      <c r="W1492" s="166"/>
      <c r="X1492" s="166"/>
      <c r="Y1492" s="166"/>
      <c r="Z1492" s="166"/>
      <c r="AA1492" s="166"/>
      <c r="AB1492" s="166"/>
      <c r="AC1492" s="166"/>
      <c r="AD1492" s="166"/>
      <c r="AE1492" s="166"/>
      <c r="AF1492" s="166"/>
      <c r="AG1492" s="166"/>
      <c r="AH1492" s="166"/>
      <c r="AI1492" s="166"/>
    </row>
    <row r="1493" spans="7:35" x14ac:dyDescent="0.25">
      <c r="G1493" s="165"/>
      <c r="H1493" s="166"/>
      <c r="I1493" s="167"/>
      <c r="J1493" s="167"/>
      <c r="K1493" s="166"/>
      <c r="L1493" s="166"/>
      <c r="M1493" s="166"/>
      <c r="N1493" s="166"/>
      <c r="O1493" s="166"/>
      <c r="P1493" s="166"/>
      <c r="Q1493" s="166"/>
      <c r="R1493" s="166"/>
      <c r="S1493" s="166"/>
      <c r="T1493" s="166"/>
      <c r="U1493" s="166"/>
      <c r="V1493" s="166"/>
      <c r="W1493" s="166"/>
      <c r="X1493" s="166"/>
      <c r="Y1493" s="166"/>
      <c r="Z1493" s="166"/>
      <c r="AA1493" s="166"/>
      <c r="AB1493" s="166"/>
      <c r="AC1493" s="166"/>
      <c r="AD1493" s="166"/>
      <c r="AE1493" s="166"/>
      <c r="AF1493" s="166"/>
      <c r="AG1493" s="166"/>
      <c r="AH1493" s="166"/>
      <c r="AI1493" s="166"/>
    </row>
    <row r="1494" spans="7:35" x14ac:dyDescent="0.25">
      <c r="G1494" s="165"/>
      <c r="H1494" s="166"/>
      <c r="I1494" s="167"/>
      <c r="J1494" s="167"/>
      <c r="K1494" s="166"/>
      <c r="L1494" s="166"/>
      <c r="M1494" s="166"/>
      <c r="N1494" s="166"/>
      <c r="O1494" s="166"/>
      <c r="P1494" s="166"/>
      <c r="Q1494" s="166"/>
      <c r="R1494" s="166"/>
      <c r="S1494" s="166"/>
      <c r="T1494" s="166"/>
      <c r="U1494" s="166"/>
      <c r="V1494" s="166"/>
      <c r="W1494" s="166"/>
      <c r="X1494" s="166"/>
      <c r="Y1494" s="166"/>
      <c r="Z1494" s="166"/>
      <c r="AA1494" s="166"/>
      <c r="AB1494" s="166"/>
      <c r="AC1494" s="166"/>
      <c r="AD1494" s="166"/>
      <c r="AE1494" s="166"/>
      <c r="AF1494" s="166"/>
      <c r="AG1494" s="166"/>
      <c r="AH1494" s="166"/>
      <c r="AI1494" s="166"/>
    </row>
    <row r="1495" spans="7:35" x14ac:dyDescent="0.25">
      <c r="G1495" s="165"/>
      <c r="H1495" s="166"/>
      <c r="I1495" s="167"/>
      <c r="J1495" s="167"/>
      <c r="K1495" s="166"/>
      <c r="L1495" s="166"/>
      <c r="M1495" s="166"/>
      <c r="N1495" s="166"/>
      <c r="O1495" s="166"/>
      <c r="P1495" s="166"/>
      <c r="Q1495" s="166"/>
      <c r="R1495" s="166"/>
      <c r="S1495" s="166"/>
      <c r="T1495" s="166"/>
      <c r="U1495" s="166"/>
      <c r="V1495" s="166"/>
      <c r="W1495" s="166"/>
      <c r="X1495" s="166"/>
      <c r="Y1495" s="166"/>
      <c r="Z1495" s="166"/>
      <c r="AA1495" s="166"/>
      <c r="AB1495" s="166"/>
      <c r="AC1495" s="166"/>
      <c r="AD1495" s="166"/>
      <c r="AE1495" s="166"/>
      <c r="AF1495" s="166"/>
      <c r="AG1495" s="166"/>
      <c r="AH1495" s="166"/>
      <c r="AI1495" s="166"/>
    </row>
    <row r="1496" spans="7:35" x14ac:dyDescent="0.25">
      <c r="G1496" s="165"/>
      <c r="H1496" s="166"/>
      <c r="I1496" s="167"/>
      <c r="J1496" s="167"/>
      <c r="K1496" s="166"/>
      <c r="L1496" s="166"/>
      <c r="M1496" s="166"/>
      <c r="N1496" s="166"/>
      <c r="O1496" s="166"/>
      <c r="P1496" s="166"/>
      <c r="Q1496" s="166"/>
      <c r="R1496" s="166"/>
      <c r="S1496" s="166"/>
      <c r="T1496" s="166"/>
      <c r="U1496" s="166"/>
      <c r="V1496" s="166"/>
      <c r="W1496" s="166"/>
      <c r="X1496" s="166"/>
      <c r="Y1496" s="166"/>
      <c r="Z1496" s="166"/>
      <c r="AA1496" s="166"/>
      <c r="AB1496" s="166"/>
      <c r="AC1496" s="166"/>
      <c r="AD1496" s="166"/>
      <c r="AE1496" s="166"/>
      <c r="AF1496" s="166"/>
      <c r="AG1496" s="166"/>
      <c r="AH1496" s="166"/>
      <c r="AI1496" s="166"/>
    </row>
    <row r="1497" spans="7:35" x14ac:dyDescent="0.25">
      <c r="G1497" s="165"/>
      <c r="H1497" s="166"/>
      <c r="I1497" s="167"/>
      <c r="J1497" s="167"/>
      <c r="K1497" s="166"/>
      <c r="L1497" s="166"/>
      <c r="M1497" s="166"/>
      <c r="N1497" s="166"/>
      <c r="O1497" s="166"/>
      <c r="P1497" s="166"/>
      <c r="Q1497" s="166"/>
      <c r="R1497" s="166"/>
      <c r="S1497" s="166"/>
      <c r="T1497" s="166"/>
      <c r="U1497" s="166"/>
      <c r="V1497" s="166"/>
      <c r="W1497" s="166"/>
      <c r="X1497" s="166"/>
      <c r="Y1497" s="166"/>
      <c r="Z1497" s="166"/>
      <c r="AA1497" s="166"/>
      <c r="AB1497" s="166"/>
      <c r="AC1497" s="166"/>
      <c r="AD1497" s="166"/>
      <c r="AE1497" s="166"/>
      <c r="AF1497" s="166"/>
      <c r="AG1497" s="166"/>
      <c r="AH1497" s="166"/>
      <c r="AI1497" s="166"/>
    </row>
    <row r="1498" spans="7:35" x14ac:dyDescent="0.25">
      <c r="G1498" s="165"/>
      <c r="H1498" s="166"/>
      <c r="I1498" s="167"/>
      <c r="J1498" s="167"/>
      <c r="K1498" s="166"/>
      <c r="L1498" s="166"/>
      <c r="M1498" s="166"/>
      <c r="N1498" s="166"/>
      <c r="O1498" s="166"/>
      <c r="P1498" s="166"/>
      <c r="Q1498" s="166"/>
      <c r="R1498" s="166"/>
      <c r="S1498" s="166"/>
      <c r="T1498" s="166"/>
      <c r="U1498" s="166"/>
      <c r="V1498" s="166"/>
      <c r="W1498" s="166"/>
      <c r="X1498" s="166"/>
      <c r="Y1498" s="166"/>
      <c r="Z1498" s="166"/>
      <c r="AA1498" s="166"/>
      <c r="AB1498" s="166"/>
      <c r="AC1498" s="166"/>
      <c r="AD1498" s="166"/>
      <c r="AE1498" s="166"/>
      <c r="AF1498" s="166"/>
      <c r="AG1498" s="166"/>
      <c r="AH1498" s="166"/>
      <c r="AI1498" s="166"/>
    </row>
    <row r="1499" spans="7:35" x14ac:dyDescent="0.25">
      <c r="G1499" s="165"/>
      <c r="H1499" s="166"/>
      <c r="I1499" s="167"/>
      <c r="J1499" s="167"/>
      <c r="K1499" s="166"/>
      <c r="L1499" s="166"/>
      <c r="M1499" s="166"/>
      <c r="N1499" s="166"/>
      <c r="O1499" s="166"/>
      <c r="P1499" s="166"/>
      <c r="Q1499" s="166"/>
      <c r="R1499" s="166"/>
      <c r="S1499" s="166"/>
      <c r="T1499" s="166"/>
      <c r="U1499" s="166"/>
      <c r="V1499" s="166"/>
      <c r="W1499" s="166"/>
      <c r="X1499" s="166"/>
      <c r="Y1499" s="166"/>
      <c r="Z1499" s="166"/>
      <c r="AA1499" s="166"/>
      <c r="AB1499" s="166"/>
      <c r="AC1499" s="166"/>
      <c r="AD1499" s="166"/>
      <c r="AE1499" s="166"/>
      <c r="AF1499" s="166"/>
      <c r="AG1499" s="166"/>
      <c r="AH1499" s="166"/>
      <c r="AI1499" s="166"/>
    </row>
    <row r="1500" spans="7:35" x14ac:dyDescent="0.25">
      <c r="G1500" s="165"/>
      <c r="H1500" s="166"/>
      <c r="I1500" s="167"/>
      <c r="J1500" s="167"/>
      <c r="K1500" s="166"/>
      <c r="L1500" s="166"/>
      <c r="M1500" s="166"/>
      <c r="N1500" s="166"/>
      <c r="O1500" s="166"/>
      <c r="P1500" s="166"/>
      <c r="Q1500" s="166"/>
      <c r="R1500" s="166"/>
      <c r="S1500" s="166"/>
      <c r="T1500" s="166"/>
      <c r="U1500" s="166"/>
      <c r="V1500" s="166"/>
      <c r="W1500" s="166"/>
      <c r="X1500" s="166"/>
      <c r="Y1500" s="166"/>
      <c r="Z1500" s="166"/>
      <c r="AA1500" s="166"/>
      <c r="AB1500" s="166"/>
      <c r="AC1500" s="166"/>
      <c r="AD1500" s="166"/>
      <c r="AE1500" s="166"/>
      <c r="AF1500" s="166"/>
      <c r="AG1500" s="166"/>
      <c r="AH1500" s="166"/>
      <c r="AI1500" s="166"/>
    </row>
    <row r="1501" spans="7:35" x14ac:dyDescent="0.25">
      <c r="G1501" s="165"/>
      <c r="H1501" s="166"/>
      <c r="I1501" s="167"/>
      <c r="J1501" s="167"/>
      <c r="K1501" s="166"/>
      <c r="L1501" s="166"/>
      <c r="M1501" s="166"/>
      <c r="N1501" s="166"/>
      <c r="O1501" s="166"/>
      <c r="P1501" s="166"/>
      <c r="Q1501" s="166"/>
      <c r="R1501" s="166"/>
      <c r="S1501" s="166"/>
      <c r="T1501" s="166"/>
      <c r="U1501" s="166"/>
      <c r="V1501" s="166"/>
      <c r="W1501" s="166"/>
      <c r="X1501" s="166"/>
      <c r="Y1501" s="166"/>
      <c r="Z1501" s="166"/>
      <c r="AA1501" s="166"/>
      <c r="AB1501" s="166"/>
      <c r="AC1501" s="166"/>
      <c r="AD1501" s="166"/>
      <c r="AE1501" s="166"/>
      <c r="AF1501" s="166"/>
      <c r="AG1501" s="166"/>
      <c r="AH1501" s="166"/>
      <c r="AI1501" s="166"/>
    </row>
    <row r="1502" spans="7:35" x14ac:dyDescent="0.25">
      <c r="G1502" s="165"/>
      <c r="H1502" s="166"/>
      <c r="I1502" s="167"/>
      <c r="J1502" s="167"/>
      <c r="K1502" s="166"/>
      <c r="L1502" s="166"/>
      <c r="M1502" s="166"/>
      <c r="N1502" s="166"/>
      <c r="O1502" s="166"/>
      <c r="P1502" s="166"/>
      <c r="Q1502" s="166"/>
      <c r="R1502" s="166"/>
      <c r="S1502" s="166"/>
      <c r="T1502" s="166"/>
      <c r="U1502" s="166"/>
      <c r="V1502" s="166"/>
      <c r="W1502" s="166"/>
      <c r="X1502" s="166"/>
      <c r="Y1502" s="166"/>
      <c r="Z1502" s="166"/>
      <c r="AA1502" s="166"/>
      <c r="AB1502" s="166"/>
      <c r="AC1502" s="166"/>
      <c r="AD1502" s="166"/>
      <c r="AE1502" s="166"/>
      <c r="AF1502" s="166"/>
      <c r="AG1502" s="166"/>
      <c r="AH1502" s="166"/>
      <c r="AI1502" s="166"/>
    </row>
    <row r="1503" spans="7:35" x14ac:dyDescent="0.25">
      <c r="G1503" s="165"/>
      <c r="H1503" s="166"/>
      <c r="I1503" s="167"/>
      <c r="J1503" s="167"/>
      <c r="K1503" s="166"/>
      <c r="L1503" s="166"/>
      <c r="M1503" s="166"/>
      <c r="N1503" s="166"/>
      <c r="O1503" s="166"/>
      <c r="P1503" s="166"/>
      <c r="Q1503" s="166"/>
      <c r="R1503" s="166"/>
      <c r="S1503" s="166"/>
      <c r="T1503" s="166"/>
      <c r="U1503" s="166"/>
      <c r="V1503" s="166"/>
      <c r="W1503" s="166"/>
      <c r="X1503" s="166"/>
      <c r="Y1503" s="166"/>
      <c r="Z1503" s="166"/>
      <c r="AA1503" s="166"/>
      <c r="AB1503" s="166"/>
      <c r="AC1503" s="166"/>
      <c r="AD1503" s="166"/>
      <c r="AE1503" s="166"/>
      <c r="AF1503" s="166"/>
      <c r="AG1503" s="166"/>
      <c r="AH1503" s="166"/>
      <c r="AI1503" s="166"/>
    </row>
    <row r="1504" spans="7:35" x14ac:dyDescent="0.25">
      <c r="G1504" s="165"/>
      <c r="H1504" s="166"/>
      <c r="I1504" s="167"/>
      <c r="J1504" s="167"/>
      <c r="K1504" s="166"/>
      <c r="L1504" s="166"/>
      <c r="M1504" s="166"/>
      <c r="N1504" s="166"/>
      <c r="O1504" s="166"/>
      <c r="P1504" s="166"/>
      <c r="Q1504" s="166"/>
      <c r="R1504" s="166"/>
      <c r="S1504" s="166"/>
      <c r="T1504" s="166"/>
      <c r="U1504" s="166"/>
      <c r="V1504" s="166"/>
      <c r="W1504" s="166"/>
      <c r="X1504" s="166"/>
      <c r="Y1504" s="166"/>
      <c r="Z1504" s="166"/>
      <c r="AA1504" s="166"/>
      <c r="AB1504" s="166"/>
      <c r="AC1504" s="166"/>
      <c r="AD1504" s="166"/>
      <c r="AE1504" s="166"/>
      <c r="AF1504" s="166"/>
      <c r="AG1504" s="166"/>
      <c r="AH1504" s="166"/>
      <c r="AI1504" s="166"/>
    </row>
    <row r="1505" spans="7:35" x14ac:dyDescent="0.25">
      <c r="G1505" s="165"/>
      <c r="H1505" s="166"/>
      <c r="I1505" s="167"/>
      <c r="J1505" s="167"/>
      <c r="K1505" s="166"/>
      <c r="L1505" s="166"/>
      <c r="M1505" s="166"/>
      <c r="N1505" s="166"/>
      <c r="O1505" s="166"/>
      <c r="P1505" s="166"/>
      <c r="Q1505" s="166"/>
      <c r="R1505" s="166"/>
      <c r="S1505" s="166"/>
      <c r="T1505" s="166"/>
      <c r="U1505" s="166"/>
      <c r="V1505" s="166"/>
      <c r="W1505" s="166"/>
      <c r="X1505" s="166"/>
      <c r="Y1505" s="166"/>
      <c r="Z1505" s="166"/>
      <c r="AA1505" s="166"/>
      <c r="AB1505" s="166"/>
      <c r="AC1505" s="166"/>
      <c r="AD1505" s="166"/>
      <c r="AE1505" s="166"/>
      <c r="AF1505" s="166"/>
      <c r="AG1505" s="166"/>
      <c r="AH1505" s="166"/>
      <c r="AI1505" s="166"/>
    </row>
    <row r="1506" spans="7:35" x14ac:dyDescent="0.25">
      <c r="G1506" s="165"/>
      <c r="H1506" s="166"/>
      <c r="I1506" s="167"/>
      <c r="J1506" s="167"/>
      <c r="K1506" s="166"/>
      <c r="L1506" s="166"/>
      <c r="M1506" s="166"/>
      <c r="N1506" s="166"/>
      <c r="O1506" s="166"/>
      <c r="P1506" s="166"/>
      <c r="Q1506" s="166"/>
      <c r="R1506" s="166"/>
      <c r="S1506" s="166"/>
      <c r="T1506" s="166"/>
      <c r="U1506" s="166"/>
      <c r="V1506" s="166"/>
      <c r="W1506" s="166"/>
      <c r="X1506" s="166"/>
      <c r="Y1506" s="166"/>
      <c r="Z1506" s="166"/>
      <c r="AA1506" s="166"/>
      <c r="AB1506" s="166"/>
      <c r="AC1506" s="166"/>
      <c r="AD1506" s="166"/>
      <c r="AE1506" s="166"/>
      <c r="AF1506" s="166"/>
      <c r="AG1506" s="166"/>
      <c r="AH1506" s="166"/>
      <c r="AI1506" s="166"/>
    </row>
    <row r="1507" spans="7:35" x14ac:dyDescent="0.25">
      <c r="G1507" s="165"/>
      <c r="H1507" s="166"/>
      <c r="I1507" s="167"/>
      <c r="J1507" s="167"/>
      <c r="K1507" s="166"/>
      <c r="L1507" s="166"/>
      <c r="M1507" s="166"/>
      <c r="N1507" s="166"/>
      <c r="O1507" s="166"/>
      <c r="P1507" s="166"/>
      <c r="Q1507" s="166"/>
      <c r="R1507" s="166"/>
      <c r="S1507" s="166"/>
      <c r="T1507" s="166"/>
      <c r="U1507" s="166"/>
      <c r="V1507" s="166"/>
      <c r="W1507" s="166"/>
      <c r="X1507" s="166"/>
      <c r="Y1507" s="166"/>
      <c r="Z1507" s="166"/>
      <c r="AA1507" s="166"/>
      <c r="AB1507" s="166"/>
      <c r="AC1507" s="166"/>
      <c r="AD1507" s="166"/>
      <c r="AE1507" s="166"/>
      <c r="AF1507" s="166"/>
      <c r="AG1507" s="166"/>
      <c r="AH1507" s="166"/>
      <c r="AI1507" s="166"/>
    </row>
    <row r="1508" spans="7:35" x14ac:dyDescent="0.25">
      <c r="G1508" s="165"/>
      <c r="H1508" s="166"/>
      <c r="I1508" s="167"/>
      <c r="J1508" s="167"/>
      <c r="K1508" s="166"/>
      <c r="L1508" s="166"/>
      <c r="M1508" s="166"/>
      <c r="N1508" s="166"/>
      <c r="O1508" s="166"/>
      <c r="P1508" s="166"/>
      <c r="Q1508" s="166"/>
      <c r="R1508" s="166"/>
      <c r="S1508" s="166"/>
      <c r="T1508" s="166"/>
      <c r="U1508" s="166"/>
      <c r="V1508" s="166"/>
      <c r="W1508" s="166"/>
      <c r="X1508" s="166"/>
      <c r="Y1508" s="166"/>
      <c r="Z1508" s="166"/>
      <c r="AA1508" s="166"/>
      <c r="AB1508" s="166"/>
      <c r="AC1508" s="166"/>
      <c r="AD1508" s="166"/>
      <c r="AE1508" s="166"/>
      <c r="AF1508" s="166"/>
      <c r="AG1508" s="166"/>
      <c r="AH1508" s="166"/>
      <c r="AI1508" s="166"/>
    </row>
    <row r="1509" spans="7:35" x14ac:dyDescent="0.25">
      <c r="G1509" s="165"/>
      <c r="H1509" s="166"/>
      <c r="I1509" s="167"/>
      <c r="J1509" s="167"/>
      <c r="K1509" s="166"/>
      <c r="L1509" s="166"/>
      <c r="M1509" s="166"/>
      <c r="N1509" s="166"/>
      <c r="O1509" s="166"/>
      <c r="P1509" s="166"/>
      <c r="Q1509" s="166"/>
      <c r="R1509" s="166"/>
      <c r="S1509" s="166"/>
      <c r="T1509" s="166"/>
      <c r="U1509" s="166"/>
      <c r="V1509" s="166"/>
      <c r="W1509" s="166"/>
      <c r="X1509" s="166"/>
      <c r="Y1509" s="166"/>
      <c r="Z1509" s="166"/>
      <c r="AA1509" s="166"/>
      <c r="AB1509" s="166"/>
      <c r="AC1509" s="166"/>
      <c r="AD1509" s="166"/>
      <c r="AE1509" s="166"/>
      <c r="AF1509" s="166"/>
      <c r="AG1509" s="166"/>
      <c r="AH1509" s="166"/>
      <c r="AI1509" s="166"/>
    </row>
    <row r="1510" spans="7:35" x14ac:dyDescent="0.25">
      <c r="G1510" s="165"/>
      <c r="H1510" s="166"/>
      <c r="I1510" s="167"/>
      <c r="J1510" s="167"/>
      <c r="K1510" s="166"/>
      <c r="L1510" s="166"/>
      <c r="M1510" s="166"/>
      <c r="N1510" s="166"/>
      <c r="O1510" s="166"/>
      <c r="P1510" s="166"/>
      <c r="Q1510" s="166"/>
      <c r="R1510" s="166"/>
      <c r="S1510" s="166"/>
      <c r="T1510" s="166"/>
      <c r="U1510" s="166"/>
      <c r="V1510" s="166"/>
      <c r="W1510" s="166"/>
      <c r="X1510" s="166"/>
      <c r="Y1510" s="166"/>
      <c r="Z1510" s="166"/>
      <c r="AA1510" s="166"/>
      <c r="AB1510" s="166"/>
      <c r="AC1510" s="166"/>
      <c r="AD1510" s="166"/>
      <c r="AE1510" s="166"/>
      <c r="AF1510" s="166"/>
      <c r="AG1510" s="166"/>
      <c r="AH1510" s="166"/>
      <c r="AI1510" s="166"/>
    </row>
    <row r="1511" spans="7:35" x14ac:dyDescent="0.25">
      <c r="G1511" s="165"/>
      <c r="H1511" s="166"/>
      <c r="I1511" s="167"/>
      <c r="J1511" s="167"/>
      <c r="K1511" s="166"/>
      <c r="L1511" s="166"/>
      <c r="M1511" s="166"/>
      <c r="N1511" s="166"/>
      <c r="O1511" s="166"/>
      <c r="P1511" s="166"/>
      <c r="Q1511" s="166"/>
      <c r="R1511" s="166"/>
      <c r="S1511" s="166"/>
      <c r="T1511" s="166"/>
      <c r="U1511" s="166"/>
      <c r="V1511" s="166"/>
      <c r="W1511" s="166"/>
      <c r="X1511" s="166"/>
      <c r="Y1511" s="166"/>
      <c r="Z1511" s="166"/>
      <c r="AA1511" s="166"/>
      <c r="AB1511" s="166"/>
      <c r="AC1511" s="166"/>
      <c r="AD1511" s="166"/>
      <c r="AE1511" s="166"/>
      <c r="AF1511" s="166"/>
      <c r="AG1511" s="166"/>
      <c r="AH1511" s="166"/>
      <c r="AI1511" s="166"/>
    </row>
    <row r="1512" spans="7:35" x14ac:dyDescent="0.25">
      <c r="G1512" s="165"/>
      <c r="H1512" s="166"/>
      <c r="I1512" s="167"/>
      <c r="J1512" s="167"/>
      <c r="K1512" s="166"/>
      <c r="L1512" s="166"/>
      <c r="M1512" s="166"/>
      <c r="N1512" s="166"/>
      <c r="O1512" s="166"/>
      <c r="P1512" s="166"/>
      <c r="Q1512" s="166"/>
      <c r="R1512" s="166"/>
      <c r="S1512" s="166"/>
      <c r="T1512" s="166"/>
      <c r="U1512" s="166"/>
      <c r="V1512" s="166"/>
      <c r="W1512" s="166"/>
      <c r="X1512" s="166"/>
      <c r="Y1512" s="166"/>
      <c r="Z1512" s="166"/>
      <c r="AA1512" s="166"/>
      <c r="AB1512" s="166"/>
      <c r="AC1512" s="166"/>
      <c r="AD1512" s="166"/>
      <c r="AE1512" s="166"/>
      <c r="AF1512" s="166"/>
      <c r="AG1512" s="166"/>
      <c r="AH1512" s="166"/>
      <c r="AI1512" s="166"/>
    </row>
    <row r="1513" spans="7:35" x14ac:dyDescent="0.25">
      <c r="G1513" s="165"/>
      <c r="H1513" s="166"/>
      <c r="I1513" s="167"/>
      <c r="J1513" s="167"/>
      <c r="K1513" s="166"/>
      <c r="L1513" s="166"/>
      <c r="M1513" s="166"/>
      <c r="N1513" s="166"/>
      <c r="O1513" s="166"/>
      <c r="P1513" s="166"/>
      <c r="Q1513" s="166"/>
      <c r="R1513" s="166"/>
      <c r="S1513" s="166"/>
      <c r="T1513" s="166"/>
      <c r="U1513" s="166"/>
      <c r="V1513" s="166"/>
      <c r="W1513" s="166"/>
      <c r="X1513" s="166"/>
      <c r="Y1513" s="166"/>
      <c r="Z1513" s="166"/>
      <c r="AA1513" s="166"/>
      <c r="AB1513" s="166"/>
      <c r="AC1513" s="166"/>
      <c r="AD1513" s="166"/>
      <c r="AE1513" s="166"/>
      <c r="AF1513" s="166"/>
      <c r="AG1513" s="166"/>
      <c r="AH1513" s="166"/>
      <c r="AI1513" s="166"/>
    </row>
    <row r="1514" spans="7:35" x14ac:dyDescent="0.25">
      <c r="G1514" s="165"/>
      <c r="H1514" s="166"/>
      <c r="I1514" s="167"/>
      <c r="J1514" s="167"/>
      <c r="K1514" s="166"/>
      <c r="L1514" s="166"/>
      <c r="M1514" s="166"/>
      <c r="N1514" s="166"/>
      <c r="O1514" s="166"/>
      <c r="P1514" s="166"/>
      <c r="Q1514" s="166"/>
      <c r="R1514" s="166"/>
      <c r="S1514" s="166"/>
      <c r="T1514" s="166"/>
      <c r="U1514" s="166"/>
      <c r="V1514" s="166"/>
      <c r="W1514" s="166"/>
      <c r="X1514" s="166"/>
      <c r="Y1514" s="166"/>
      <c r="Z1514" s="166"/>
      <c r="AA1514" s="166"/>
      <c r="AB1514" s="166"/>
      <c r="AC1514" s="166"/>
      <c r="AD1514" s="166"/>
      <c r="AE1514" s="166"/>
      <c r="AF1514" s="166"/>
      <c r="AG1514" s="166"/>
      <c r="AH1514" s="166"/>
      <c r="AI1514" s="166"/>
    </row>
    <row r="1515" spans="7:35" x14ac:dyDescent="0.25">
      <c r="G1515" s="165"/>
      <c r="H1515" s="166"/>
      <c r="I1515" s="167"/>
      <c r="J1515" s="167"/>
      <c r="K1515" s="166"/>
      <c r="L1515" s="166"/>
      <c r="M1515" s="166"/>
      <c r="N1515" s="166"/>
      <c r="O1515" s="166"/>
      <c r="P1515" s="166"/>
      <c r="Q1515" s="166"/>
      <c r="R1515" s="166"/>
      <c r="S1515" s="166"/>
      <c r="T1515" s="166"/>
      <c r="U1515" s="166"/>
      <c r="V1515" s="166"/>
      <c r="W1515" s="166"/>
      <c r="X1515" s="166"/>
      <c r="Y1515" s="166"/>
      <c r="Z1515" s="166"/>
      <c r="AA1515" s="166"/>
      <c r="AB1515" s="166"/>
      <c r="AC1515" s="166"/>
      <c r="AD1515" s="166"/>
      <c r="AE1515" s="166"/>
      <c r="AF1515" s="166"/>
      <c r="AG1515" s="166"/>
      <c r="AH1515" s="166"/>
      <c r="AI1515" s="166"/>
    </row>
    <row r="1516" spans="7:35" x14ac:dyDescent="0.25">
      <c r="G1516" s="165"/>
      <c r="H1516" s="166"/>
      <c r="I1516" s="167"/>
      <c r="J1516" s="167"/>
      <c r="K1516" s="166"/>
      <c r="L1516" s="166"/>
      <c r="M1516" s="166"/>
      <c r="N1516" s="166"/>
      <c r="O1516" s="166"/>
      <c r="P1516" s="166"/>
      <c r="Q1516" s="166"/>
      <c r="R1516" s="166"/>
      <c r="S1516" s="166"/>
      <c r="T1516" s="166"/>
      <c r="U1516" s="166"/>
      <c r="V1516" s="166"/>
      <c r="W1516" s="166"/>
      <c r="X1516" s="166"/>
      <c r="Y1516" s="166"/>
      <c r="Z1516" s="166"/>
      <c r="AA1516" s="166"/>
      <c r="AB1516" s="166"/>
      <c r="AC1516" s="166"/>
      <c r="AD1516" s="166"/>
      <c r="AE1516" s="166"/>
      <c r="AF1516" s="166"/>
      <c r="AG1516" s="166"/>
      <c r="AH1516" s="166"/>
      <c r="AI1516" s="166"/>
    </row>
    <row r="1517" spans="7:35" x14ac:dyDescent="0.25">
      <c r="G1517" s="165"/>
      <c r="H1517" s="166"/>
      <c r="I1517" s="167"/>
      <c r="J1517" s="167"/>
      <c r="K1517" s="166"/>
      <c r="L1517" s="166"/>
      <c r="M1517" s="166"/>
      <c r="N1517" s="166"/>
      <c r="O1517" s="166"/>
      <c r="P1517" s="166"/>
      <c r="Q1517" s="166"/>
      <c r="R1517" s="166"/>
      <c r="S1517" s="166"/>
      <c r="T1517" s="166"/>
      <c r="U1517" s="166"/>
      <c r="V1517" s="166"/>
      <c r="W1517" s="166"/>
      <c r="X1517" s="166"/>
      <c r="Y1517" s="166"/>
      <c r="Z1517" s="166"/>
      <c r="AA1517" s="166"/>
      <c r="AB1517" s="166"/>
      <c r="AC1517" s="166"/>
      <c r="AD1517" s="166"/>
      <c r="AE1517" s="166"/>
      <c r="AF1517" s="166"/>
      <c r="AG1517" s="166"/>
      <c r="AH1517" s="166"/>
      <c r="AI1517" s="166"/>
    </row>
    <row r="1518" spans="7:35" x14ac:dyDescent="0.25">
      <c r="G1518" s="165"/>
      <c r="H1518" s="166"/>
      <c r="I1518" s="167"/>
      <c r="J1518" s="167"/>
      <c r="K1518" s="166"/>
      <c r="L1518" s="166"/>
      <c r="M1518" s="166"/>
      <c r="N1518" s="166"/>
      <c r="O1518" s="166"/>
      <c r="P1518" s="166"/>
      <c r="Q1518" s="166"/>
      <c r="R1518" s="166"/>
      <c r="S1518" s="166"/>
      <c r="T1518" s="166"/>
      <c r="U1518" s="166"/>
      <c r="V1518" s="166"/>
      <c r="W1518" s="166"/>
      <c r="X1518" s="166"/>
      <c r="Y1518" s="166"/>
      <c r="Z1518" s="166"/>
      <c r="AA1518" s="166"/>
      <c r="AB1518" s="166"/>
      <c r="AC1518" s="166"/>
      <c r="AD1518" s="166"/>
      <c r="AE1518" s="166"/>
      <c r="AF1518" s="166"/>
      <c r="AG1518" s="166"/>
      <c r="AH1518" s="166"/>
      <c r="AI1518" s="166"/>
    </row>
    <row r="1519" spans="7:35" x14ac:dyDescent="0.25">
      <c r="G1519" s="165"/>
      <c r="H1519" s="166"/>
      <c r="I1519" s="167"/>
      <c r="J1519" s="167"/>
      <c r="K1519" s="166"/>
      <c r="L1519" s="166"/>
      <c r="M1519" s="166"/>
      <c r="N1519" s="166"/>
      <c r="O1519" s="166"/>
      <c r="P1519" s="166"/>
      <c r="Q1519" s="166"/>
      <c r="R1519" s="166"/>
      <c r="S1519" s="166"/>
      <c r="T1519" s="166"/>
      <c r="U1519" s="166"/>
      <c r="V1519" s="166"/>
      <c r="W1519" s="166"/>
      <c r="X1519" s="166"/>
      <c r="Y1519" s="166"/>
      <c r="Z1519" s="166"/>
      <c r="AA1519" s="166"/>
      <c r="AB1519" s="166"/>
      <c r="AC1519" s="166"/>
      <c r="AD1519" s="166"/>
      <c r="AE1519" s="166"/>
      <c r="AF1519" s="166"/>
      <c r="AG1519" s="166"/>
      <c r="AH1519" s="166"/>
      <c r="AI1519" s="166"/>
    </row>
    <row r="1520" spans="7:35" x14ac:dyDescent="0.25">
      <c r="G1520" s="165"/>
      <c r="H1520" s="166"/>
      <c r="I1520" s="167"/>
      <c r="J1520" s="167"/>
      <c r="K1520" s="166"/>
      <c r="L1520" s="166"/>
      <c r="M1520" s="166"/>
      <c r="N1520" s="166"/>
      <c r="O1520" s="166"/>
      <c r="P1520" s="166"/>
      <c r="Q1520" s="166"/>
      <c r="R1520" s="166"/>
      <c r="S1520" s="166"/>
      <c r="T1520" s="166"/>
      <c r="U1520" s="166"/>
      <c r="V1520" s="166"/>
      <c r="W1520" s="166"/>
      <c r="X1520" s="166"/>
      <c r="Y1520" s="166"/>
      <c r="Z1520" s="166"/>
      <c r="AA1520" s="166"/>
      <c r="AB1520" s="166"/>
      <c r="AC1520" s="166"/>
      <c r="AD1520" s="166"/>
      <c r="AE1520" s="166"/>
      <c r="AF1520" s="166"/>
      <c r="AG1520" s="166"/>
      <c r="AH1520" s="166"/>
      <c r="AI1520" s="166"/>
    </row>
    <row r="1521" spans="7:35" x14ac:dyDescent="0.25">
      <c r="G1521" s="165"/>
      <c r="H1521" s="166"/>
      <c r="I1521" s="167"/>
      <c r="J1521" s="167"/>
      <c r="K1521" s="166"/>
      <c r="L1521" s="166"/>
      <c r="M1521" s="166"/>
      <c r="N1521" s="166"/>
      <c r="O1521" s="166"/>
      <c r="P1521" s="166"/>
      <c r="Q1521" s="166"/>
      <c r="R1521" s="166"/>
      <c r="S1521" s="166"/>
      <c r="T1521" s="166"/>
      <c r="U1521" s="166"/>
      <c r="V1521" s="166"/>
      <c r="W1521" s="166"/>
      <c r="X1521" s="166"/>
      <c r="Y1521" s="166"/>
      <c r="Z1521" s="166"/>
      <c r="AA1521" s="166"/>
      <c r="AB1521" s="166"/>
      <c r="AC1521" s="166"/>
      <c r="AD1521" s="166"/>
      <c r="AE1521" s="166"/>
      <c r="AF1521" s="166"/>
      <c r="AG1521" s="166"/>
      <c r="AH1521" s="166"/>
      <c r="AI1521" s="166"/>
    </row>
    <row r="1522" spans="7:35" x14ac:dyDescent="0.25">
      <c r="G1522" s="165"/>
      <c r="H1522" s="166"/>
      <c r="I1522" s="167"/>
      <c r="J1522" s="167"/>
      <c r="K1522" s="166"/>
      <c r="L1522" s="166"/>
      <c r="M1522" s="166"/>
      <c r="N1522" s="166"/>
      <c r="O1522" s="166"/>
      <c r="P1522" s="166"/>
      <c r="Q1522" s="166"/>
      <c r="R1522" s="166"/>
      <c r="S1522" s="166"/>
      <c r="T1522" s="166"/>
      <c r="U1522" s="166"/>
      <c r="V1522" s="166"/>
      <c r="W1522" s="166"/>
      <c r="X1522" s="166"/>
      <c r="Y1522" s="166"/>
      <c r="Z1522" s="166"/>
      <c r="AA1522" s="166"/>
      <c r="AB1522" s="166"/>
      <c r="AC1522" s="166"/>
      <c r="AD1522" s="166"/>
      <c r="AE1522" s="166"/>
      <c r="AF1522" s="166"/>
      <c r="AG1522" s="166"/>
      <c r="AH1522" s="166"/>
      <c r="AI1522" s="166"/>
    </row>
    <row r="1523" spans="7:35" x14ac:dyDescent="0.25">
      <c r="G1523" s="165"/>
      <c r="H1523" s="166"/>
      <c r="I1523" s="167"/>
      <c r="J1523" s="167"/>
      <c r="K1523" s="166"/>
      <c r="L1523" s="166"/>
      <c r="M1523" s="166"/>
      <c r="N1523" s="166"/>
      <c r="O1523" s="166"/>
      <c r="P1523" s="166"/>
      <c r="Q1523" s="166"/>
      <c r="R1523" s="166"/>
      <c r="S1523" s="166"/>
      <c r="T1523" s="166"/>
      <c r="U1523" s="166"/>
      <c r="V1523" s="166"/>
      <c r="W1523" s="166"/>
      <c r="X1523" s="166"/>
      <c r="Y1523" s="166"/>
      <c r="Z1523" s="166"/>
      <c r="AA1523" s="166"/>
      <c r="AB1523" s="166"/>
      <c r="AC1523" s="166"/>
      <c r="AD1523" s="166"/>
      <c r="AE1523" s="166"/>
      <c r="AF1523" s="166"/>
      <c r="AG1523" s="166"/>
      <c r="AH1523" s="166"/>
      <c r="AI1523" s="166"/>
    </row>
    <row r="1524" spans="7:35" x14ac:dyDescent="0.25">
      <c r="G1524" s="165"/>
      <c r="H1524" s="166"/>
      <c r="I1524" s="167"/>
      <c r="J1524" s="167"/>
      <c r="K1524" s="166"/>
      <c r="L1524" s="166"/>
      <c r="M1524" s="166"/>
      <c r="N1524" s="166"/>
      <c r="O1524" s="166"/>
      <c r="P1524" s="166"/>
      <c r="Q1524" s="166"/>
      <c r="R1524" s="166"/>
      <c r="S1524" s="166"/>
      <c r="T1524" s="166"/>
      <c r="U1524" s="166"/>
      <c r="V1524" s="166"/>
      <c r="W1524" s="166"/>
      <c r="X1524" s="166"/>
      <c r="Y1524" s="166"/>
      <c r="Z1524" s="166"/>
      <c r="AA1524" s="166"/>
      <c r="AB1524" s="166"/>
      <c r="AC1524" s="166"/>
      <c r="AD1524" s="166"/>
      <c r="AE1524" s="166"/>
      <c r="AF1524" s="166"/>
      <c r="AG1524" s="166"/>
      <c r="AH1524" s="166"/>
      <c r="AI1524" s="166"/>
    </row>
    <row r="1525" spans="7:35" x14ac:dyDescent="0.25">
      <c r="G1525" s="165"/>
      <c r="H1525" s="166"/>
      <c r="I1525" s="167"/>
      <c r="J1525" s="167"/>
      <c r="K1525" s="166"/>
      <c r="L1525" s="166"/>
      <c r="M1525" s="166"/>
      <c r="N1525" s="166"/>
      <c r="O1525" s="166"/>
      <c r="P1525" s="166"/>
      <c r="Q1525" s="166"/>
      <c r="R1525" s="166"/>
      <c r="S1525" s="166"/>
      <c r="T1525" s="166"/>
      <c r="U1525" s="166"/>
      <c r="V1525" s="166"/>
      <c r="W1525" s="166"/>
      <c r="X1525" s="166"/>
      <c r="Y1525" s="166"/>
      <c r="Z1525" s="166"/>
      <c r="AA1525" s="166"/>
      <c r="AB1525" s="166"/>
      <c r="AC1525" s="166"/>
      <c r="AD1525" s="166"/>
      <c r="AE1525" s="166"/>
      <c r="AF1525" s="166"/>
      <c r="AG1525" s="166"/>
      <c r="AH1525" s="166"/>
      <c r="AI1525" s="166"/>
    </row>
    <row r="1526" spans="7:35" x14ac:dyDescent="0.25">
      <c r="G1526" s="165"/>
      <c r="H1526" s="166"/>
      <c r="I1526" s="167"/>
      <c r="J1526" s="167"/>
      <c r="K1526" s="166"/>
      <c r="L1526" s="166"/>
      <c r="M1526" s="166"/>
      <c r="N1526" s="166"/>
      <c r="O1526" s="166"/>
      <c r="P1526" s="166"/>
      <c r="Q1526" s="166"/>
      <c r="R1526" s="166"/>
      <c r="S1526" s="166"/>
      <c r="T1526" s="166"/>
      <c r="U1526" s="166"/>
      <c r="V1526" s="166"/>
      <c r="W1526" s="166"/>
      <c r="X1526" s="166"/>
      <c r="Y1526" s="166"/>
      <c r="Z1526" s="166"/>
      <c r="AA1526" s="166"/>
      <c r="AB1526" s="166"/>
      <c r="AC1526" s="166"/>
      <c r="AD1526" s="166"/>
      <c r="AE1526" s="166"/>
      <c r="AF1526" s="166"/>
      <c r="AG1526" s="166"/>
      <c r="AH1526" s="166"/>
      <c r="AI1526" s="166"/>
    </row>
    <row r="1527" spans="7:35" x14ac:dyDescent="0.25">
      <c r="G1527" s="165"/>
      <c r="H1527" s="166"/>
      <c r="I1527" s="167"/>
      <c r="J1527" s="167"/>
      <c r="K1527" s="166"/>
      <c r="L1527" s="166"/>
      <c r="M1527" s="166"/>
      <c r="N1527" s="166"/>
      <c r="O1527" s="166"/>
      <c r="P1527" s="166"/>
      <c r="Q1527" s="166"/>
      <c r="R1527" s="166"/>
      <c r="S1527" s="166"/>
      <c r="T1527" s="166"/>
      <c r="U1527" s="166"/>
      <c r="V1527" s="166"/>
      <c r="W1527" s="166"/>
      <c r="X1527" s="166"/>
      <c r="Y1527" s="166"/>
      <c r="Z1527" s="166"/>
      <c r="AA1527" s="166"/>
      <c r="AB1527" s="166"/>
      <c r="AC1527" s="166"/>
      <c r="AD1527" s="166"/>
      <c r="AE1527" s="166"/>
      <c r="AF1527" s="166"/>
      <c r="AG1527" s="166"/>
      <c r="AH1527" s="166"/>
      <c r="AI1527" s="166"/>
    </row>
    <row r="1528" spans="7:35" x14ac:dyDescent="0.25">
      <c r="G1528" s="165"/>
      <c r="H1528" s="166"/>
      <c r="I1528" s="167"/>
      <c r="J1528" s="167"/>
      <c r="K1528" s="166"/>
      <c r="L1528" s="166"/>
      <c r="M1528" s="166"/>
      <c r="N1528" s="166"/>
      <c r="O1528" s="166"/>
      <c r="P1528" s="166"/>
      <c r="Q1528" s="166"/>
      <c r="R1528" s="166"/>
      <c r="S1528" s="166"/>
      <c r="T1528" s="166"/>
      <c r="U1528" s="166"/>
      <c r="V1528" s="166"/>
      <c r="W1528" s="166"/>
      <c r="X1528" s="166"/>
      <c r="Y1528" s="166"/>
      <c r="Z1528" s="166"/>
      <c r="AA1528" s="166"/>
      <c r="AB1528" s="166"/>
      <c r="AC1528" s="166"/>
      <c r="AD1528" s="166"/>
      <c r="AE1528" s="166"/>
      <c r="AF1528" s="166"/>
      <c r="AG1528" s="166"/>
      <c r="AH1528" s="166"/>
      <c r="AI1528" s="166"/>
    </row>
    <row r="1529" spans="7:35" x14ac:dyDescent="0.25">
      <c r="G1529" s="165"/>
      <c r="H1529" s="166"/>
      <c r="I1529" s="167"/>
      <c r="J1529" s="167"/>
      <c r="K1529" s="166"/>
      <c r="L1529" s="166"/>
      <c r="M1529" s="166"/>
      <c r="N1529" s="166"/>
      <c r="O1529" s="166"/>
      <c r="P1529" s="166"/>
      <c r="Q1529" s="166"/>
      <c r="R1529" s="166"/>
      <c r="S1529" s="166"/>
      <c r="T1529" s="166"/>
      <c r="U1529" s="166"/>
      <c r="V1529" s="166"/>
      <c r="W1529" s="166"/>
      <c r="X1529" s="166"/>
      <c r="Y1529" s="166"/>
      <c r="Z1529" s="166"/>
      <c r="AA1529" s="166"/>
      <c r="AB1529" s="166"/>
      <c r="AC1529" s="166"/>
      <c r="AD1529" s="166"/>
      <c r="AE1529" s="166"/>
      <c r="AF1529" s="166"/>
      <c r="AG1529" s="166"/>
      <c r="AH1529" s="166"/>
      <c r="AI1529" s="166"/>
    </row>
    <row r="1530" spans="7:35" x14ac:dyDescent="0.25">
      <c r="G1530" s="165"/>
      <c r="H1530" s="166"/>
      <c r="I1530" s="167"/>
      <c r="J1530" s="167"/>
      <c r="K1530" s="166"/>
      <c r="L1530" s="166"/>
      <c r="M1530" s="166"/>
      <c r="N1530" s="166"/>
      <c r="O1530" s="166"/>
      <c r="P1530" s="166"/>
      <c r="Q1530" s="166"/>
      <c r="R1530" s="166"/>
      <c r="S1530" s="166"/>
      <c r="T1530" s="166"/>
      <c r="U1530" s="166"/>
      <c r="V1530" s="166"/>
      <c r="W1530" s="166"/>
      <c r="X1530" s="166"/>
      <c r="Y1530" s="166"/>
      <c r="Z1530" s="166"/>
      <c r="AA1530" s="166"/>
      <c r="AB1530" s="166"/>
      <c r="AC1530" s="166"/>
      <c r="AD1530" s="166"/>
      <c r="AE1530" s="166"/>
      <c r="AF1530" s="166"/>
      <c r="AG1530" s="166"/>
      <c r="AH1530" s="166"/>
      <c r="AI1530" s="166"/>
    </row>
    <row r="1531" spans="7:35" x14ac:dyDescent="0.25">
      <c r="G1531" s="165"/>
      <c r="H1531" s="166"/>
      <c r="I1531" s="167"/>
      <c r="J1531" s="167"/>
      <c r="K1531" s="166"/>
      <c r="L1531" s="166"/>
      <c r="M1531" s="166"/>
      <c r="N1531" s="166"/>
      <c r="O1531" s="166"/>
      <c r="P1531" s="166"/>
      <c r="Q1531" s="166"/>
      <c r="R1531" s="166"/>
      <c r="S1531" s="166"/>
      <c r="T1531" s="166"/>
      <c r="U1531" s="166"/>
      <c r="V1531" s="166"/>
      <c r="W1531" s="166"/>
      <c r="X1531" s="166"/>
      <c r="Y1531" s="166"/>
      <c r="Z1531" s="166"/>
      <c r="AA1531" s="166"/>
      <c r="AB1531" s="166"/>
      <c r="AC1531" s="166"/>
      <c r="AD1531" s="166"/>
      <c r="AE1531" s="166"/>
      <c r="AF1531" s="166"/>
      <c r="AG1531" s="166"/>
      <c r="AH1531" s="166"/>
      <c r="AI1531" s="166"/>
    </row>
    <row r="1532" spans="7:35" x14ac:dyDescent="0.25">
      <c r="G1532" s="165"/>
      <c r="H1532" s="166"/>
      <c r="I1532" s="167"/>
      <c r="J1532" s="167"/>
      <c r="K1532" s="166"/>
      <c r="L1532" s="166"/>
      <c r="M1532" s="166"/>
      <c r="N1532" s="166"/>
      <c r="O1532" s="166"/>
      <c r="P1532" s="166"/>
      <c r="Q1532" s="166"/>
      <c r="R1532" s="166"/>
      <c r="S1532" s="166"/>
      <c r="T1532" s="166"/>
      <c r="U1532" s="166"/>
      <c r="V1532" s="166"/>
      <c r="W1532" s="166"/>
      <c r="X1532" s="166"/>
      <c r="Y1532" s="166"/>
      <c r="Z1532" s="166"/>
      <c r="AA1532" s="166"/>
      <c r="AB1532" s="166"/>
      <c r="AC1532" s="166"/>
      <c r="AD1532" s="166"/>
      <c r="AE1532" s="166"/>
      <c r="AF1532" s="166"/>
      <c r="AG1532" s="166"/>
      <c r="AH1532" s="166"/>
      <c r="AI1532" s="166"/>
    </row>
    <row r="1533" spans="7:35" x14ac:dyDescent="0.25">
      <c r="G1533" s="165"/>
      <c r="H1533" s="166"/>
      <c r="I1533" s="167"/>
      <c r="J1533" s="167"/>
      <c r="K1533" s="166"/>
      <c r="L1533" s="166"/>
      <c r="M1533" s="166"/>
      <c r="N1533" s="166"/>
      <c r="O1533" s="166"/>
      <c r="P1533" s="166"/>
      <c r="Q1533" s="166"/>
      <c r="R1533" s="166"/>
      <c r="S1533" s="166"/>
      <c r="T1533" s="166"/>
      <c r="U1533" s="166"/>
      <c r="V1533" s="166"/>
      <c r="W1533" s="166"/>
      <c r="X1533" s="166"/>
      <c r="Y1533" s="166"/>
      <c r="Z1533" s="166"/>
      <c r="AA1533" s="166"/>
      <c r="AB1533" s="166"/>
      <c r="AC1533" s="166"/>
      <c r="AD1533" s="166"/>
      <c r="AE1533" s="166"/>
      <c r="AF1533" s="166"/>
      <c r="AG1533" s="166"/>
      <c r="AH1533" s="166"/>
      <c r="AI1533" s="166"/>
    </row>
    <row r="1534" spans="7:35" x14ac:dyDescent="0.25">
      <c r="G1534" s="165"/>
      <c r="H1534" s="166"/>
      <c r="I1534" s="167"/>
      <c r="J1534" s="167"/>
      <c r="K1534" s="166"/>
      <c r="L1534" s="166"/>
      <c r="M1534" s="166"/>
      <c r="N1534" s="166"/>
      <c r="O1534" s="166"/>
      <c r="P1534" s="166"/>
      <c r="Q1534" s="166"/>
      <c r="R1534" s="166"/>
      <c r="S1534" s="166"/>
      <c r="T1534" s="166"/>
      <c r="U1534" s="166"/>
      <c r="V1534" s="166"/>
      <c r="W1534" s="166"/>
      <c r="X1534" s="166"/>
      <c r="Y1534" s="166"/>
      <c r="Z1534" s="166"/>
      <c r="AA1534" s="166"/>
      <c r="AB1534" s="166"/>
      <c r="AC1534" s="166"/>
      <c r="AD1534" s="166"/>
      <c r="AE1534" s="166"/>
      <c r="AF1534" s="166"/>
      <c r="AG1534" s="166"/>
      <c r="AH1534" s="166"/>
      <c r="AI1534" s="166"/>
    </row>
    <row r="1535" spans="7:35" x14ac:dyDescent="0.25">
      <c r="G1535" s="165"/>
      <c r="H1535" s="166"/>
      <c r="I1535" s="167"/>
      <c r="J1535" s="167"/>
      <c r="K1535" s="166"/>
      <c r="L1535" s="166"/>
      <c r="M1535" s="166"/>
      <c r="N1535" s="166"/>
      <c r="O1535" s="166"/>
      <c r="P1535" s="166"/>
      <c r="Q1535" s="166"/>
      <c r="R1535" s="166"/>
      <c r="S1535" s="166"/>
      <c r="T1535" s="166"/>
      <c r="U1535" s="166"/>
      <c r="V1535" s="166"/>
      <c r="W1535" s="166"/>
      <c r="X1535" s="166"/>
      <c r="Y1535" s="166"/>
      <c r="Z1535" s="166"/>
      <c r="AA1535" s="166"/>
      <c r="AB1535" s="166"/>
      <c r="AC1535" s="166"/>
      <c r="AD1535" s="166"/>
      <c r="AE1535" s="166"/>
      <c r="AF1535" s="166"/>
      <c r="AG1535" s="166"/>
      <c r="AH1535" s="166"/>
      <c r="AI1535" s="166"/>
    </row>
    <row r="1536" spans="7:35" x14ac:dyDescent="0.25">
      <c r="G1536" s="165"/>
      <c r="H1536" s="166"/>
      <c r="I1536" s="167"/>
      <c r="J1536" s="167"/>
      <c r="K1536" s="166"/>
      <c r="L1536" s="166"/>
      <c r="M1536" s="166"/>
      <c r="N1536" s="166"/>
      <c r="O1536" s="166"/>
      <c r="P1536" s="166"/>
      <c r="Q1536" s="166"/>
      <c r="R1536" s="166"/>
      <c r="S1536" s="166"/>
      <c r="T1536" s="166"/>
      <c r="U1536" s="166"/>
      <c r="V1536" s="166"/>
      <c r="W1536" s="166"/>
      <c r="X1536" s="166"/>
      <c r="Y1536" s="166"/>
      <c r="Z1536" s="166"/>
      <c r="AA1536" s="166"/>
      <c r="AB1536" s="166"/>
      <c r="AC1536" s="166"/>
      <c r="AD1536" s="166"/>
      <c r="AE1536" s="166"/>
      <c r="AF1536" s="166"/>
      <c r="AG1536" s="166"/>
      <c r="AH1536" s="166"/>
      <c r="AI1536" s="166"/>
    </row>
    <row r="1537" spans="7:35" x14ac:dyDescent="0.25">
      <c r="G1537" s="165"/>
      <c r="H1537" s="166"/>
      <c r="I1537" s="167"/>
      <c r="J1537" s="167"/>
      <c r="K1537" s="166"/>
      <c r="L1537" s="166"/>
      <c r="M1537" s="166"/>
      <c r="N1537" s="166"/>
      <c r="O1537" s="166"/>
      <c r="P1537" s="166"/>
      <c r="Q1537" s="166"/>
      <c r="R1537" s="166"/>
      <c r="S1537" s="166"/>
      <c r="T1537" s="166"/>
      <c r="U1537" s="166"/>
      <c r="V1537" s="166"/>
      <c r="W1537" s="166"/>
      <c r="X1537" s="166"/>
      <c r="Y1537" s="166"/>
      <c r="Z1537" s="166"/>
      <c r="AA1537" s="166"/>
      <c r="AB1537" s="166"/>
      <c r="AC1537" s="166"/>
      <c r="AD1537" s="166"/>
      <c r="AE1537" s="166"/>
      <c r="AF1537" s="166"/>
      <c r="AG1537" s="166"/>
      <c r="AH1537" s="166"/>
      <c r="AI1537" s="166"/>
    </row>
    <row r="1538" spans="7:35" x14ac:dyDescent="0.25">
      <c r="G1538" s="165"/>
      <c r="H1538" s="166"/>
      <c r="I1538" s="167"/>
      <c r="J1538" s="167"/>
      <c r="K1538" s="166"/>
      <c r="L1538" s="166"/>
      <c r="M1538" s="166"/>
      <c r="N1538" s="166"/>
      <c r="O1538" s="166"/>
      <c r="P1538" s="166"/>
      <c r="Q1538" s="166"/>
      <c r="R1538" s="166"/>
      <c r="S1538" s="166"/>
      <c r="T1538" s="166"/>
      <c r="U1538" s="166"/>
      <c r="V1538" s="166"/>
      <c r="W1538" s="166"/>
      <c r="X1538" s="166"/>
      <c r="Y1538" s="166"/>
      <c r="Z1538" s="166"/>
      <c r="AA1538" s="166"/>
      <c r="AB1538" s="166"/>
      <c r="AC1538" s="166"/>
      <c r="AD1538" s="166"/>
      <c r="AE1538" s="166"/>
      <c r="AF1538" s="166"/>
      <c r="AG1538" s="166"/>
      <c r="AH1538" s="166"/>
      <c r="AI1538" s="166"/>
    </row>
    <row r="1539" spans="7:35" x14ac:dyDescent="0.25">
      <c r="G1539" s="165"/>
      <c r="H1539" s="166"/>
      <c r="I1539" s="167"/>
      <c r="J1539" s="167"/>
      <c r="K1539" s="166"/>
      <c r="L1539" s="166"/>
      <c r="M1539" s="166"/>
      <c r="N1539" s="166"/>
      <c r="O1539" s="166"/>
      <c r="P1539" s="166"/>
      <c r="Q1539" s="166"/>
      <c r="R1539" s="166"/>
      <c r="S1539" s="166"/>
      <c r="T1539" s="166"/>
      <c r="U1539" s="166"/>
      <c r="V1539" s="166"/>
      <c r="W1539" s="166"/>
      <c r="X1539" s="166"/>
      <c r="Y1539" s="166"/>
      <c r="Z1539" s="166"/>
      <c r="AA1539" s="166"/>
      <c r="AB1539" s="166"/>
      <c r="AC1539" s="166"/>
      <c r="AD1539" s="166"/>
      <c r="AE1539" s="166"/>
      <c r="AF1539" s="166"/>
      <c r="AG1539" s="166"/>
      <c r="AH1539" s="166"/>
      <c r="AI1539" s="166"/>
    </row>
    <row r="1540" spans="7:35" x14ac:dyDescent="0.25">
      <c r="G1540" s="165"/>
      <c r="H1540" s="166"/>
      <c r="I1540" s="167"/>
      <c r="J1540" s="167"/>
      <c r="K1540" s="166"/>
      <c r="L1540" s="166"/>
      <c r="M1540" s="166"/>
      <c r="N1540" s="166"/>
      <c r="O1540" s="166"/>
      <c r="P1540" s="166"/>
      <c r="Q1540" s="166"/>
      <c r="R1540" s="166"/>
      <c r="S1540" s="166"/>
      <c r="T1540" s="166"/>
      <c r="U1540" s="166"/>
      <c r="V1540" s="166"/>
      <c r="W1540" s="166"/>
      <c r="X1540" s="166"/>
      <c r="Y1540" s="166"/>
      <c r="Z1540" s="166"/>
      <c r="AA1540" s="166"/>
      <c r="AB1540" s="166"/>
      <c r="AC1540" s="166"/>
      <c r="AD1540" s="166"/>
      <c r="AE1540" s="166"/>
      <c r="AF1540" s="166"/>
      <c r="AG1540" s="166"/>
      <c r="AH1540" s="166"/>
      <c r="AI1540" s="166"/>
    </row>
    <row r="1541" spans="7:35" x14ac:dyDescent="0.25">
      <c r="G1541" s="165"/>
      <c r="H1541" s="166"/>
      <c r="I1541" s="167"/>
      <c r="J1541" s="167"/>
      <c r="K1541" s="166"/>
      <c r="L1541" s="166"/>
      <c r="M1541" s="166"/>
      <c r="N1541" s="166"/>
      <c r="O1541" s="166"/>
      <c r="P1541" s="166"/>
      <c r="Q1541" s="166"/>
      <c r="R1541" s="166"/>
      <c r="S1541" s="166"/>
      <c r="T1541" s="166"/>
      <c r="U1541" s="166"/>
      <c r="V1541" s="166"/>
      <c r="W1541" s="166"/>
      <c r="X1541" s="166"/>
      <c r="Y1541" s="166"/>
      <c r="Z1541" s="166"/>
      <c r="AA1541" s="166"/>
      <c r="AB1541" s="166"/>
      <c r="AC1541" s="166"/>
      <c r="AD1541" s="166"/>
      <c r="AE1541" s="166"/>
      <c r="AF1541" s="166"/>
      <c r="AG1541" s="166"/>
      <c r="AH1541" s="166"/>
      <c r="AI1541" s="166"/>
    </row>
    <row r="1542" spans="7:35" x14ac:dyDescent="0.25">
      <c r="G1542" s="165"/>
      <c r="H1542" s="166"/>
      <c r="I1542" s="167"/>
      <c r="J1542" s="167"/>
      <c r="K1542" s="166"/>
      <c r="L1542" s="166"/>
      <c r="M1542" s="166"/>
      <c r="N1542" s="166"/>
      <c r="O1542" s="166"/>
      <c r="P1542" s="166"/>
      <c r="Q1542" s="166"/>
      <c r="R1542" s="166"/>
      <c r="S1542" s="166"/>
      <c r="T1542" s="166"/>
      <c r="U1542" s="166"/>
      <c r="V1542" s="166"/>
      <c r="W1542" s="166"/>
      <c r="X1542" s="166"/>
      <c r="Y1542" s="166"/>
      <c r="Z1542" s="166"/>
      <c r="AA1542" s="166"/>
      <c r="AB1542" s="166"/>
      <c r="AC1542" s="166"/>
      <c r="AD1542" s="166"/>
      <c r="AE1542" s="166"/>
      <c r="AF1542" s="166"/>
      <c r="AG1542" s="166"/>
      <c r="AH1542" s="166"/>
      <c r="AI1542" s="166"/>
    </row>
    <row r="1543" spans="7:35" x14ac:dyDescent="0.25">
      <c r="G1543" s="165"/>
      <c r="H1543" s="166"/>
      <c r="I1543" s="167"/>
      <c r="J1543" s="167"/>
      <c r="K1543" s="166"/>
      <c r="L1543" s="166"/>
      <c r="M1543" s="166"/>
      <c r="N1543" s="166"/>
      <c r="O1543" s="166"/>
      <c r="P1543" s="166"/>
      <c r="Q1543" s="166"/>
      <c r="R1543" s="166"/>
      <c r="S1543" s="166"/>
      <c r="T1543" s="166"/>
      <c r="U1543" s="166"/>
      <c r="V1543" s="166"/>
      <c r="W1543" s="166"/>
      <c r="X1543" s="166"/>
      <c r="Y1543" s="166"/>
      <c r="Z1543" s="166"/>
      <c r="AA1543" s="166"/>
      <c r="AB1543" s="166"/>
      <c r="AC1543" s="166"/>
      <c r="AD1543" s="166"/>
      <c r="AE1543" s="166"/>
      <c r="AF1543" s="166"/>
      <c r="AG1543" s="166"/>
      <c r="AH1543" s="166"/>
      <c r="AI1543" s="166"/>
    </row>
    <row r="1544" spans="7:35" x14ac:dyDescent="0.25">
      <c r="G1544" s="165"/>
      <c r="H1544" s="166"/>
      <c r="I1544" s="167"/>
      <c r="J1544" s="167"/>
      <c r="K1544" s="166"/>
      <c r="L1544" s="166"/>
      <c r="M1544" s="166"/>
      <c r="N1544" s="166"/>
      <c r="O1544" s="166"/>
      <c r="P1544" s="166"/>
      <c r="Q1544" s="166"/>
      <c r="R1544" s="166"/>
      <c r="S1544" s="166"/>
      <c r="T1544" s="166"/>
      <c r="U1544" s="166"/>
      <c r="V1544" s="166"/>
      <c r="W1544" s="166"/>
      <c r="X1544" s="166"/>
      <c r="Y1544" s="166"/>
      <c r="Z1544" s="166"/>
      <c r="AA1544" s="166"/>
      <c r="AB1544" s="166"/>
      <c r="AC1544" s="166"/>
      <c r="AD1544" s="166"/>
      <c r="AE1544" s="166"/>
      <c r="AF1544" s="166"/>
      <c r="AG1544" s="166"/>
      <c r="AH1544" s="166"/>
      <c r="AI1544" s="166"/>
    </row>
    <row r="1545" spans="7:35" x14ac:dyDescent="0.25">
      <c r="G1545" s="165"/>
      <c r="H1545" s="166"/>
      <c r="I1545" s="167"/>
      <c r="J1545" s="167"/>
      <c r="K1545" s="166"/>
      <c r="L1545" s="166"/>
      <c r="M1545" s="166"/>
      <c r="N1545" s="166"/>
      <c r="O1545" s="166"/>
      <c r="P1545" s="166"/>
      <c r="Q1545" s="166"/>
      <c r="R1545" s="166"/>
      <c r="S1545" s="166"/>
      <c r="T1545" s="166"/>
      <c r="U1545" s="166"/>
      <c r="V1545" s="166"/>
      <c r="W1545" s="166"/>
      <c r="X1545" s="166"/>
      <c r="Y1545" s="166"/>
      <c r="Z1545" s="166"/>
      <c r="AA1545" s="166"/>
      <c r="AB1545" s="166"/>
      <c r="AC1545" s="166"/>
      <c r="AD1545" s="166"/>
      <c r="AE1545" s="166"/>
      <c r="AF1545" s="166"/>
      <c r="AG1545" s="166"/>
      <c r="AH1545" s="166"/>
      <c r="AI1545" s="166"/>
    </row>
    <row r="1546" spans="7:35" x14ac:dyDescent="0.25">
      <c r="G1546" s="165"/>
      <c r="H1546" s="166"/>
      <c r="I1546" s="167"/>
      <c r="J1546" s="167"/>
      <c r="K1546" s="166"/>
      <c r="L1546" s="166"/>
      <c r="M1546" s="166"/>
      <c r="N1546" s="166"/>
      <c r="O1546" s="166"/>
      <c r="P1546" s="166"/>
      <c r="Q1546" s="166"/>
      <c r="R1546" s="166"/>
      <c r="S1546" s="166"/>
      <c r="T1546" s="166"/>
      <c r="U1546" s="166"/>
      <c r="V1546" s="166"/>
      <c r="W1546" s="166"/>
      <c r="X1546" s="166"/>
      <c r="Y1546" s="166"/>
      <c r="Z1546" s="166"/>
      <c r="AA1546" s="166"/>
      <c r="AB1546" s="166"/>
      <c r="AC1546" s="166"/>
      <c r="AD1546" s="166"/>
      <c r="AE1546" s="166"/>
      <c r="AF1546" s="166"/>
      <c r="AG1546" s="166"/>
      <c r="AH1546" s="166"/>
      <c r="AI1546" s="166"/>
    </row>
    <row r="1547" spans="7:35" x14ac:dyDescent="0.25">
      <c r="G1547" s="165"/>
      <c r="H1547" s="166"/>
      <c r="I1547" s="167"/>
      <c r="J1547" s="167"/>
      <c r="K1547" s="166"/>
      <c r="L1547" s="166"/>
      <c r="M1547" s="166"/>
      <c r="N1547" s="166"/>
      <c r="O1547" s="166"/>
      <c r="P1547" s="166"/>
      <c r="Q1547" s="166"/>
      <c r="R1547" s="166"/>
      <c r="S1547" s="166"/>
      <c r="T1547" s="166"/>
      <c r="U1547" s="166"/>
      <c r="V1547" s="166"/>
      <c r="W1547" s="166"/>
      <c r="X1547" s="166"/>
      <c r="Y1547" s="166"/>
      <c r="Z1547" s="166"/>
      <c r="AA1547" s="166"/>
      <c r="AB1547" s="166"/>
      <c r="AC1547" s="166"/>
      <c r="AD1547" s="166"/>
      <c r="AE1547" s="166"/>
      <c r="AF1547" s="166"/>
      <c r="AG1547" s="166"/>
      <c r="AH1547" s="166"/>
      <c r="AI1547" s="166"/>
    </row>
    <row r="1548" spans="7:35" x14ac:dyDescent="0.25">
      <c r="G1548" s="165"/>
      <c r="H1548" s="166"/>
      <c r="I1548" s="167"/>
      <c r="J1548" s="167"/>
      <c r="K1548" s="166"/>
      <c r="L1548" s="166"/>
      <c r="M1548" s="166"/>
      <c r="N1548" s="166"/>
      <c r="O1548" s="166"/>
      <c r="P1548" s="166"/>
      <c r="Q1548" s="166"/>
      <c r="R1548" s="166"/>
      <c r="S1548" s="166"/>
      <c r="T1548" s="166"/>
      <c r="U1548" s="166"/>
      <c r="V1548" s="166"/>
      <c r="W1548" s="166"/>
      <c r="X1548" s="166"/>
      <c r="Y1548" s="166"/>
      <c r="Z1548" s="166"/>
      <c r="AA1548" s="166"/>
      <c r="AB1548" s="166"/>
      <c r="AC1548" s="166"/>
      <c r="AD1548" s="166"/>
      <c r="AE1548" s="166"/>
      <c r="AF1548" s="166"/>
      <c r="AG1548" s="166"/>
      <c r="AH1548" s="166"/>
      <c r="AI1548" s="166"/>
    </row>
    <row r="1549" spans="7:35" x14ac:dyDescent="0.25">
      <c r="G1549" s="165"/>
      <c r="H1549" s="166"/>
      <c r="I1549" s="167"/>
      <c r="J1549" s="167"/>
      <c r="K1549" s="166"/>
      <c r="L1549" s="166"/>
      <c r="M1549" s="166"/>
      <c r="N1549" s="166"/>
      <c r="O1549" s="166"/>
      <c r="P1549" s="166"/>
      <c r="Q1549" s="166"/>
      <c r="R1549" s="166"/>
      <c r="S1549" s="166"/>
      <c r="T1549" s="166"/>
      <c r="U1549" s="166"/>
      <c r="V1549" s="166"/>
      <c r="W1549" s="166"/>
      <c r="X1549" s="166"/>
      <c r="Y1549" s="166"/>
      <c r="Z1549" s="166"/>
      <c r="AA1549" s="166"/>
      <c r="AB1549" s="166"/>
      <c r="AC1549" s="166"/>
      <c r="AD1549" s="166"/>
      <c r="AE1549" s="166"/>
      <c r="AF1549" s="166"/>
      <c r="AG1549" s="166"/>
      <c r="AH1549" s="166"/>
      <c r="AI1549" s="166"/>
    </row>
    <row r="1550" spans="7:35" x14ac:dyDescent="0.25">
      <c r="G1550" s="165"/>
      <c r="H1550" s="166"/>
      <c r="I1550" s="167"/>
      <c r="J1550" s="167"/>
      <c r="K1550" s="166"/>
      <c r="L1550" s="166"/>
      <c r="M1550" s="166"/>
      <c r="N1550" s="166"/>
      <c r="O1550" s="166"/>
      <c r="P1550" s="166"/>
      <c r="Q1550" s="166"/>
      <c r="R1550" s="166"/>
      <c r="S1550" s="166"/>
      <c r="T1550" s="166"/>
      <c r="U1550" s="166"/>
      <c r="V1550" s="166"/>
      <c r="W1550" s="166"/>
      <c r="X1550" s="166"/>
      <c r="Y1550" s="166"/>
      <c r="Z1550" s="166"/>
      <c r="AA1550" s="166"/>
      <c r="AB1550" s="166"/>
      <c r="AC1550" s="166"/>
      <c r="AD1550" s="166"/>
      <c r="AE1550" s="166"/>
      <c r="AF1550" s="166"/>
      <c r="AG1550" s="166"/>
      <c r="AH1550" s="166"/>
      <c r="AI1550" s="166"/>
    </row>
    <row r="1551" spans="7:35" x14ac:dyDescent="0.25">
      <c r="G1551" s="165"/>
      <c r="H1551" s="166"/>
      <c r="I1551" s="167"/>
      <c r="J1551" s="167"/>
      <c r="K1551" s="166"/>
      <c r="L1551" s="166"/>
      <c r="M1551" s="166"/>
      <c r="N1551" s="166"/>
      <c r="O1551" s="166"/>
      <c r="P1551" s="166"/>
      <c r="Q1551" s="166"/>
      <c r="R1551" s="166"/>
      <c r="S1551" s="166"/>
      <c r="T1551" s="166"/>
      <c r="U1551" s="166"/>
      <c r="V1551" s="166"/>
      <c r="W1551" s="166"/>
      <c r="X1551" s="166"/>
      <c r="Y1551" s="166"/>
      <c r="Z1551" s="166"/>
      <c r="AA1551" s="166"/>
      <c r="AB1551" s="166"/>
      <c r="AC1551" s="166"/>
      <c r="AD1551" s="166"/>
      <c r="AE1551" s="166"/>
      <c r="AF1551" s="166"/>
      <c r="AG1551" s="166"/>
      <c r="AH1551" s="166"/>
      <c r="AI1551" s="166"/>
    </row>
    <row r="1552" spans="7:35" x14ac:dyDescent="0.25">
      <c r="G1552" s="165"/>
      <c r="H1552" s="166"/>
      <c r="I1552" s="167"/>
      <c r="J1552" s="167"/>
      <c r="K1552" s="166"/>
      <c r="L1552" s="166"/>
      <c r="M1552" s="166"/>
      <c r="N1552" s="166"/>
      <c r="O1552" s="166"/>
      <c r="P1552" s="166"/>
      <c r="Q1552" s="166"/>
      <c r="R1552" s="166"/>
      <c r="S1552" s="166"/>
      <c r="T1552" s="166"/>
      <c r="U1552" s="166"/>
      <c r="V1552" s="166"/>
      <c r="W1552" s="166"/>
      <c r="X1552" s="166"/>
      <c r="Y1552" s="166"/>
      <c r="Z1552" s="166"/>
      <c r="AA1552" s="166"/>
      <c r="AB1552" s="166"/>
      <c r="AC1552" s="166"/>
      <c r="AD1552" s="166"/>
      <c r="AE1552" s="166"/>
      <c r="AF1552" s="166"/>
      <c r="AG1552" s="166"/>
      <c r="AH1552" s="166"/>
      <c r="AI1552" s="166"/>
    </row>
    <row r="1553" spans="7:35" x14ac:dyDescent="0.25">
      <c r="G1553" s="165"/>
      <c r="H1553" s="166"/>
      <c r="I1553" s="167"/>
      <c r="J1553" s="167"/>
      <c r="K1553" s="166"/>
      <c r="L1553" s="166"/>
      <c r="M1553" s="166"/>
      <c r="N1553" s="166"/>
      <c r="O1553" s="166"/>
      <c r="P1553" s="166"/>
      <c r="Q1553" s="166"/>
      <c r="R1553" s="166"/>
      <c r="S1553" s="166"/>
      <c r="T1553" s="166"/>
      <c r="U1553" s="166"/>
      <c r="V1553" s="166"/>
      <c r="W1553" s="166"/>
      <c r="X1553" s="166"/>
      <c r="Y1553" s="166"/>
      <c r="Z1553" s="166"/>
      <c r="AA1553" s="166"/>
      <c r="AB1553" s="166"/>
      <c r="AC1553" s="166"/>
      <c r="AD1553" s="166"/>
      <c r="AE1553" s="166"/>
      <c r="AF1553" s="166"/>
      <c r="AG1553" s="166"/>
      <c r="AH1553" s="166"/>
      <c r="AI1553" s="166"/>
    </row>
    <row r="1554" spans="7:35" x14ac:dyDescent="0.25">
      <c r="G1554" s="165"/>
      <c r="H1554" s="166"/>
      <c r="I1554" s="167"/>
      <c r="J1554" s="167"/>
      <c r="K1554" s="166"/>
      <c r="L1554" s="166"/>
      <c r="M1554" s="166"/>
      <c r="N1554" s="166"/>
      <c r="O1554" s="166"/>
      <c r="P1554" s="166"/>
      <c r="Q1554" s="166"/>
      <c r="R1554" s="166"/>
      <c r="S1554" s="166"/>
      <c r="T1554" s="166"/>
      <c r="U1554" s="166"/>
      <c r="V1554" s="166"/>
      <c r="W1554" s="166"/>
      <c r="X1554" s="166"/>
      <c r="Y1554" s="166"/>
      <c r="Z1554" s="166"/>
      <c r="AA1554" s="166"/>
      <c r="AB1554" s="166"/>
      <c r="AC1554" s="166"/>
      <c r="AD1554" s="166"/>
      <c r="AE1554" s="166"/>
      <c r="AF1554" s="166"/>
      <c r="AG1554" s="166"/>
      <c r="AH1554" s="166"/>
      <c r="AI1554" s="166"/>
    </row>
    <row r="1555" spans="7:35" x14ac:dyDescent="0.25">
      <c r="G1555" s="165"/>
      <c r="H1555" s="166"/>
      <c r="I1555" s="167"/>
      <c r="J1555" s="167"/>
      <c r="K1555" s="166"/>
      <c r="L1555" s="166"/>
      <c r="M1555" s="166"/>
      <c r="N1555" s="166"/>
      <c r="O1555" s="166"/>
      <c r="P1555" s="166"/>
      <c r="Q1555" s="166"/>
      <c r="R1555" s="166"/>
      <c r="S1555" s="166"/>
      <c r="T1555" s="166"/>
      <c r="U1555" s="166"/>
      <c r="V1555" s="166"/>
      <c r="W1555" s="166"/>
      <c r="X1555" s="166"/>
      <c r="Y1555" s="166"/>
      <c r="Z1555" s="166"/>
      <c r="AA1555" s="166"/>
      <c r="AB1555" s="166"/>
      <c r="AC1555" s="166"/>
      <c r="AD1555" s="166"/>
      <c r="AE1555" s="166"/>
      <c r="AF1555" s="166"/>
      <c r="AG1555" s="166"/>
      <c r="AH1555" s="166"/>
      <c r="AI1555" s="166"/>
    </row>
    <row r="1556" spans="7:35" x14ac:dyDescent="0.25">
      <c r="G1556" s="165"/>
      <c r="H1556" s="166"/>
      <c r="I1556" s="167"/>
      <c r="J1556" s="167"/>
      <c r="K1556" s="166"/>
      <c r="L1556" s="166"/>
      <c r="M1556" s="166"/>
      <c r="N1556" s="166"/>
      <c r="O1556" s="166"/>
      <c r="P1556" s="166"/>
      <c r="Q1556" s="166"/>
      <c r="R1556" s="166"/>
      <c r="S1556" s="166"/>
      <c r="T1556" s="166"/>
      <c r="U1556" s="166"/>
      <c r="V1556" s="166"/>
      <c r="W1556" s="166"/>
      <c r="X1556" s="166"/>
      <c r="Y1556" s="166"/>
      <c r="Z1556" s="166"/>
      <c r="AA1556" s="166"/>
      <c r="AB1556" s="166"/>
      <c r="AC1556" s="166"/>
      <c r="AD1556" s="166"/>
      <c r="AE1556" s="166"/>
      <c r="AF1556" s="166"/>
      <c r="AG1556" s="166"/>
      <c r="AH1556" s="166"/>
      <c r="AI1556" s="166"/>
    </row>
    <row r="1557" spans="7:35" x14ac:dyDescent="0.25">
      <c r="G1557" s="165"/>
      <c r="H1557" s="166"/>
      <c r="I1557" s="167"/>
      <c r="J1557" s="167"/>
      <c r="K1557" s="166"/>
      <c r="L1557" s="166"/>
      <c r="M1557" s="166"/>
      <c r="N1557" s="166"/>
      <c r="O1557" s="166"/>
      <c r="P1557" s="166"/>
      <c r="Q1557" s="166"/>
      <c r="R1557" s="166"/>
      <c r="S1557" s="166"/>
      <c r="T1557" s="166"/>
      <c r="U1557" s="166"/>
      <c r="V1557" s="166"/>
      <c r="W1557" s="166"/>
      <c r="X1557" s="166"/>
      <c r="Y1557" s="166"/>
      <c r="Z1557" s="166"/>
      <c r="AA1557" s="166"/>
      <c r="AB1557" s="166"/>
      <c r="AC1557" s="166"/>
      <c r="AD1557" s="166"/>
      <c r="AE1557" s="166"/>
      <c r="AF1557" s="166"/>
      <c r="AG1557" s="166"/>
      <c r="AH1557" s="166"/>
      <c r="AI1557" s="166"/>
    </row>
    <row r="1558" spans="7:35" x14ac:dyDescent="0.25">
      <c r="G1558" s="165"/>
      <c r="H1558" s="166"/>
      <c r="I1558" s="167"/>
      <c r="J1558" s="167"/>
      <c r="K1558" s="166"/>
      <c r="L1558" s="166"/>
      <c r="M1558" s="166"/>
      <c r="N1558" s="166"/>
      <c r="O1558" s="166"/>
      <c r="P1558" s="166"/>
      <c r="Q1558" s="166"/>
      <c r="R1558" s="166"/>
      <c r="S1558" s="166"/>
      <c r="T1558" s="166"/>
      <c r="U1558" s="166"/>
      <c r="V1558" s="166"/>
      <c r="W1558" s="166"/>
      <c r="X1558" s="166"/>
      <c r="Y1558" s="166"/>
      <c r="Z1558" s="166"/>
      <c r="AA1558" s="166"/>
      <c r="AB1558" s="166"/>
      <c r="AC1558" s="166"/>
      <c r="AD1558" s="166"/>
      <c r="AE1558" s="166"/>
      <c r="AF1558" s="166"/>
      <c r="AG1558" s="166"/>
      <c r="AH1558" s="166"/>
      <c r="AI1558" s="166"/>
    </row>
    <row r="1559" spans="7:35" x14ac:dyDescent="0.25">
      <c r="G1559" s="165"/>
      <c r="H1559" s="166"/>
      <c r="I1559" s="167"/>
      <c r="J1559" s="167"/>
      <c r="K1559" s="166"/>
      <c r="L1559" s="166"/>
      <c r="M1559" s="166"/>
      <c r="N1559" s="166"/>
      <c r="O1559" s="166"/>
      <c r="P1559" s="166"/>
      <c r="Q1559" s="166"/>
      <c r="R1559" s="166"/>
      <c r="S1559" s="166"/>
      <c r="T1559" s="166"/>
      <c r="U1559" s="166"/>
      <c r="V1559" s="166"/>
      <c r="W1559" s="166"/>
      <c r="X1559" s="166"/>
      <c r="Y1559" s="166"/>
      <c r="Z1559" s="166"/>
      <c r="AA1559" s="166"/>
      <c r="AB1559" s="166"/>
      <c r="AC1559" s="166"/>
      <c r="AD1559" s="166"/>
      <c r="AE1559" s="166"/>
      <c r="AF1559" s="166"/>
      <c r="AG1559" s="166"/>
      <c r="AH1559" s="166"/>
      <c r="AI1559" s="166"/>
    </row>
    <row r="1560" spans="7:35" x14ac:dyDescent="0.25">
      <c r="G1560" s="165"/>
      <c r="H1560" s="166"/>
      <c r="I1560" s="167"/>
      <c r="J1560" s="167"/>
      <c r="K1560" s="166"/>
      <c r="L1560" s="166"/>
      <c r="M1560" s="166"/>
      <c r="N1560" s="166"/>
      <c r="O1560" s="166"/>
      <c r="P1560" s="166"/>
      <c r="Q1560" s="166"/>
      <c r="R1560" s="166"/>
      <c r="S1560" s="166"/>
      <c r="T1560" s="166"/>
      <c r="U1560" s="166"/>
      <c r="V1560" s="166"/>
      <c r="W1560" s="166"/>
      <c r="X1560" s="166"/>
      <c r="Y1560" s="166"/>
      <c r="Z1560" s="166"/>
      <c r="AA1560" s="166"/>
      <c r="AB1560" s="166"/>
      <c r="AC1560" s="166"/>
      <c r="AD1560" s="166"/>
      <c r="AE1560" s="166"/>
      <c r="AF1560" s="166"/>
      <c r="AG1560" s="166"/>
      <c r="AH1560" s="166"/>
      <c r="AI1560" s="166"/>
    </row>
    <row r="1561" spans="7:35" x14ac:dyDescent="0.25">
      <c r="G1561" s="165"/>
      <c r="H1561" s="166"/>
      <c r="I1561" s="167"/>
      <c r="J1561" s="167"/>
      <c r="K1561" s="166"/>
      <c r="L1561" s="166"/>
      <c r="M1561" s="166"/>
      <c r="N1561" s="166"/>
      <c r="O1561" s="166"/>
      <c r="P1561" s="166"/>
      <c r="Q1561" s="166"/>
      <c r="R1561" s="166"/>
      <c r="S1561" s="166"/>
      <c r="T1561" s="166"/>
      <c r="U1561" s="166"/>
      <c r="V1561" s="166"/>
      <c r="W1561" s="166"/>
      <c r="X1561" s="166"/>
      <c r="Y1561" s="166"/>
      <c r="Z1561" s="166"/>
      <c r="AA1561" s="166"/>
      <c r="AB1561" s="166"/>
      <c r="AC1561" s="166"/>
      <c r="AD1561" s="166"/>
      <c r="AE1561" s="166"/>
      <c r="AF1561" s="166"/>
      <c r="AG1561" s="166"/>
      <c r="AH1561" s="166"/>
      <c r="AI1561" s="166"/>
    </row>
    <row r="1562" spans="7:35" x14ac:dyDescent="0.25">
      <c r="G1562" s="165"/>
      <c r="H1562" s="166"/>
      <c r="I1562" s="167"/>
      <c r="J1562" s="167"/>
      <c r="K1562" s="166"/>
      <c r="L1562" s="166"/>
      <c r="M1562" s="166"/>
      <c r="N1562" s="166"/>
      <c r="O1562" s="166"/>
      <c r="P1562" s="166"/>
      <c r="Q1562" s="166"/>
      <c r="R1562" s="166"/>
      <c r="S1562" s="166"/>
      <c r="T1562" s="166"/>
      <c r="U1562" s="166"/>
      <c r="V1562" s="166"/>
      <c r="W1562" s="166"/>
      <c r="X1562" s="166"/>
      <c r="Y1562" s="166"/>
      <c r="Z1562" s="166"/>
      <c r="AA1562" s="166"/>
      <c r="AB1562" s="166"/>
      <c r="AC1562" s="166"/>
      <c r="AD1562" s="166"/>
      <c r="AE1562" s="166"/>
      <c r="AF1562" s="166"/>
      <c r="AG1562" s="166"/>
      <c r="AH1562" s="166"/>
      <c r="AI1562" s="166"/>
    </row>
    <row r="1563" spans="7:35" x14ac:dyDescent="0.25">
      <c r="G1563" s="165"/>
      <c r="H1563" s="166"/>
      <c r="I1563" s="167"/>
      <c r="J1563" s="167"/>
      <c r="K1563" s="166"/>
      <c r="L1563" s="166"/>
      <c r="M1563" s="166"/>
      <c r="N1563" s="166"/>
      <c r="O1563" s="166"/>
      <c r="P1563" s="166"/>
      <c r="Q1563" s="166"/>
      <c r="R1563" s="166"/>
      <c r="S1563" s="166"/>
      <c r="T1563" s="166"/>
      <c r="U1563" s="166"/>
      <c r="V1563" s="166"/>
      <c r="W1563" s="166"/>
      <c r="X1563" s="166"/>
      <c r="Y1563" s="166"/>
      <c r="Z1563" s="166"/>
      <c r="AA1563" s="166"/>
      <c r="AB1563" s="166"/>
      <c r="AC1563" s="166"/>
      <c r="AD1563" s="166"/>
      <c r="AE1563" s="166"/>
      <c r="AF1563" s="166"/>
      <c r="AG1563" s="166"/>
      <c r="AH1563" s="166"/>
      <c r="AI1563" s="166"/>
    </row>
    <row r="1564" spans="7:35" x14ac:dyDescent="0.25">
      <c r="G1564" s="165"/>
      <c r="H1564" s="166"/>
      <c r="I1564" s="167"/>
      <c r="J1564" s="167"/>
      <c r="K1564" s="166"/>
      <c r="L1564" s="166"/>
      <c r="M1564" s="166"/>
      <c r="N1564" s="166"/>
      <c r="O1564" s="166"/>
      <c r="P1564" s="166"/>
      <c r="Q1564" s="166"/>
      <c r="R1564" s="166"/>
      <c r="S1564" s="166"/>
      <c r="T1564" s="166"/>
      <c r="U1564" s="166"/>
      <c r="V1564" s="166"/>
      <c r="W1564" s="166"/>
      <c r="X1564" s="166"/>
      <c r="Y1564" s="166"/>
      <c r="Z1564" s="166"/>
      <c r="AA1564" s="166"/>
      <c r="AB1564" s="166"/>
      <c r="AC1564" s="166"/>
      <c r="AD1564" s="166"/>
      <c r="AE1564" s="166"/>
      <c r="AF1564" s="166"/>
      <c r="AG1564" s="166"/>
      <c r="AH1564" s="166"/>
      <c r="AI1564" s="166"/>
    </row>
    <row r="1565" spans="7:35" x14ac:dyDescent="0.25">
      <c r="G1565" s="165"/>
      <c r="H1565" s="166"/>
      <c r="I1565" s="167"/>
      <c r="J1565" s="167"/>
      <c r="K1565" s="166"/>
      <c r="L1565" s="166"/>
      <c r="M1565" s="166"/>
      <c r="N1565" s="166"/>
      <c r="O1565" s="166"/>
      <c r="P1565" s="166"/>
      <c r="Q1565" s="166"/>
      <c r="R1565" s="166"/>
      <c r="S1565" s="166"/>
      <c r="T1565" s="166"/>
      <c r="U1565" s="166"/>
      <c r="V1565" s="166"/>
      <c r="W1565" s="166"/>
      <c r="X1565" s="166"/>
      <c r="Y1565" s="166"/>
      <c r="Z1565" s="166"/>
      <c r="AA1565" s="166"/>
      <c r="AB1565" s="166"/>
      <c r="AC1565" s="166"/>
      <c r="AD1565" s="166"/>
      <c r="AE1565" s="166"/>
      <c r="AF1565" s="166"/>
      <c r="AG1565" s="166"/>
      <c r="AH1565" s="166"/>
      <c r="AI1565" s="166"/>
    </row>
    <row r="1566" spans="7:35" x14ac:dyDescent="0.25">
      <c r="G1566" s="165"/>
      <c r="H1566" s="166"/>
      <c r="I1566" s="167"/>
      <c r="J1566" s="167"/>
      <c r="K1566" s="166"/>
      <c r="L1566" s="166"/>
      <c r="M1566" s="166"/>
      <c r="N1566" s="166"/>
      <c r="O1566" s="166"/>
      <c r="P1566" s="166"/>
      <c r="Q1566" s="166"/>
      <c r="R1566" s="166"/>
      <c r="S1566" s="166"/>
      <c r="T1566" s="166"/>
      <c r="U1566" s="166"/>
      <c r="V1566" s="166"/>
      <c r="W1566" s="166"/>
      <c r="X1566" s="166"/>
      <c r="Y1566" s="166"/>
      <c r="Z1566" s="166"/>
      <c r="AA1566" s="166"/>
      <c r="AB1566" s="166"/>
      <c r="AC1566" s="166"/>
      <c r="AD1566" s="166"/>
      <c r="AE1566" s="166"/>
      <c r="AF1566" s="166"/>
      <c r="AG1566" s="166"/>
      <c r="AH1566" s="166"/>
      <c r="AI1566" s="166"/>
    </row>
    <row r="1567" spans="7:35" x14ac:dyDescent="0.25">
      <c r="G1567" s="165"/>
      <c r="H1567" s="166"/>
      <c r="I1567" s="167"/>
      <c r="J1567" s="167"/>
      <c r="K1567" s="166"/>
      <c r="L1567" s="166"/>
      <c r="M1567" s="166"/>
      <c r="N1567" s="166"/>
      <c r="O1567" s="166"/>
      <c r="P1567" s="166"/>
      <c r="Q1567" s="166"/>
      <c r="R1567" s="166"/>
      <c r="S1567" s="166"/>
      <c r="T1567" s="166"/>
      <c r="U1567" s="166"/>
      <c r="V1567" s="166"/>
      <c r="W1567" s="166"/>
      <c r="X1567" s="166"/>
      <c r="Y1567" s="166"/>
      <c r="Z1567" s="166"/>
      <c r="AA1567" s="166"/>
      <c r="AB1567" s="166"/>
      <c r="AC1567" s="166"/>
      <c r="AD1567" s="166"/>
      <c r="AE1567" s="166"/>
      <c r="AF1567" s="166"/>
      <c r="AG1567" s="166"/>
      <c r="AH1567" s="166"/>
      <c r="AI1567" s="166"/>
    </row>
    <row r="1568" spans="7:35" x14ac:dyDescent="0.25">
      <c r="G1568" s="165"/>
      <c r="H1568" s="166"/>
      <c r="I1568" s="167"/>
      <c r="J1568" s="167"/>
      <c r="K1568" s="166"/>
      <c r="L1568" s="166"/>
      <c r="M1568" s="166"/>
      <c r="N1568" s="166"/>
      <c r="O1568" s="166"/>
      <c r="P1568" s="166"/>
      <c r="Q1568" s="166"/>
      <c r="R1568" s="166"/>
      <c r="S1568" s="166"/>
      <c r="T1568" s="166"/>
      <c r="U1568" s="166"/>
      <c r="V1568" s="166"/>
      <c r="W1568" s="166"/>
      <c r="X1568" s="166"/>
      <c r="Y1568" s="166"/>
      <c r="Z1568" s="166"/>
      <c r="AA1568" s="166"/>
      <c r="AB1568" s="166"/>
      <c r="AC1568" s="166"/>
      <c r="AD1568" s="166"/>
      <c r="AE1568" s="166"/>
      <c r="AF1568" s="166"/>
      <c r="AG1568" s="166"/>
      <c r="AH1568" s="166"/>
      <c r="AI1568" s="166"/>
    </row>
    <row r="1569" spans="7:35" x14ac:dyDescent="0.25">
      <c r="G1569" s="165"/>
      <c r="H1569" s="166"/>
      <c r="I1569" s="167"/>
      <c r="J1569" s="167"/>
      <c r="K1569" s="166"/>
      <c r="L1569" s="166"/>
      <c r="M1569" s="166"/>
      <c r="N1569" s="166"/>
      <c r="O1569" s="166"/>
      <c r="P1569" s="166"/>
      <c r="Q1569" s="166"/>
      <c r="R1569" s="166"/>
      <c r="S1569" s="166"/>
      <c r="T1569" s="166"/>
      <c r="U1569" s="166"/>
      <c r="V1569" s="166"/>
      <c r="W1569" s="166"/>
      <c r="X1569" s="166"/>
      <c r="Y1569" s="166"/>
      <c r="Z1569" s="166"/>
      <c r="AA1569" s="166"/>
      <c r="AB1569" s="166"/>
      <c r="AC1569" s="166"/>
      <c r="AD1569" s="166"/>
      <c r="AE1569" s="166"/>
      <c r="AF1569" s="166"/>
      <c r="AG1569" s="166"/>
      <c r="AH1569" s="166"/>
      <c r="AI1569" s="166"/>
    </row>
    <row r="1570" spans="7:35" x14ac:dyDescent="0.25">
      <c r="G1570" s="165"/>
      <c r="H1570" s="166"/>
      <c r="I1570" s="167"/>
      <c r="J1570" s="167"/>
      <c r="K1570" s="166"/>
      <c r="L1570" s="166"/>
      <c r="M1570" s="166"/>
      <c r="N1570" s="166"/>
      <c r="O1570" s="166"/>
      <c r="P1570" s="166"/>
      <c r="Q1570" s="166"/>
      <c r="R1570" s="166"/>
      <c r="S1570" s="166"/>
      <c r="T1570" s="166"/>
      <c r="U1570" s="166"/>
      <c r="V1570" s="166"/>
      <c r="W1570" s="166"/>
      <c r="X1570" s="166"/>
      <c r="Y1570" s="166"/>
      <c r="Z1570" s="166"/>
      <c r="AA1570" s="166"/>
      <c r="AB1570" s="166"/>
      <c r="AC1570" s="166"/>
      <c r="AD1570" s="166"/>
      <c r="AE1570" s="166"/>
      <c r="AF1570" s="166"/>
      <c r="AG1570" s="166"/>
      <c r="AH1570" s="166"/>
      <c r="AI1570" s="166"/>
    </row>
    <row r="1571" spans="7:35" x14ac:dyDescent="0.25">
      <c r="G1571" s="165"/>
      <c r="H1571" s="166"/>
      <c r="I1571" s="167"/>
      <c r="J1571" s="167"/>
      <c r="K1571" s="166"/>
      <c r="L1571" s="166"/>
      <c r="M1571" s="166"/>
      <c r="N1571" s="166"/>
      <c r="O1571" s="166"/>
      <c r="P1571" s="166"/>
      <c r="Q1571" s="166"/>
      <c r="R1571" s="166"/>
      <c r="S1571" s="166"/>
      <c r="T1571" s="166"/>
      <c r="U1571" s="166"/>
      <c r="V1571" s="166"/>
      <c r="W1571" s="166"/>
      <c r="X1571" s="166"/>
      <c r="Y1571" s="166"/>
      <c r="Z1571" s="166"/>
      <c r="AA1571" s="166"/>
      <c r="AB1571" s="166"/>
      <c r="AC1571" s="166"/>
      <c r="AD1571" s="166"/>
      <c r="AE1571" s="166"/>
      <c r="AF1571" s="166"/>
      <c r="AG1571" s="166"/>
      <c r="AH1571" s="166"/>
      <c r="AI1571" s="166"/>
    </row>
    <row r="1572" spans="7:35" x14ac:dyDescent="0.25">
      <c r="G1572" s="165"/>
      <c r="H1572" s="166"/>
      <c r="I1572" s="167"/>
      <c r="J1572" s="167"/>
      <c r="K1572" s="166"/>
      <c r="L1572" s="166"/>
      <c r="M1572" s="166"/>
      <c r="N1572" s="166"/>
      <c r="O1572" s="166"/>
      <c r="P1572" s="166"/>
      <c r="Q1572" s="166"/>
      <c r="R1572" s="166"/>
      <c r="S1572" s="166"/>
      <c r="T1572" s="166"/>
      <c r="U1572" s="166"/>
      <c r="V1572" s="166"/>
      <c r="W1572" s="166"/>
      <c r="X1572" s="166"/>
      <c r="Y1572" s="166"/>
      <c r="Z1572" s="166"/>
      <c r="AA1572" s="166"/>
      <c r="AB1572" s="166"/>
      <c r="AC1572" s="166"/>
      <c r="AD1572" s="166"/>
      <c r="AE1572" s="166"/>
      <c r="AF1572" s="166"/>
      <c r="AG1572" s="166"/>
      <c r="AH1572" s="166"/>
      <c r="AI1572" s="166"/>
    </row>
    <row r="1573" spans="7:35" x14ac:dyDescent="0.25">
      <c r="G1573" s="165"/>
      <c r="H1573" s="166"/>
      <c r="I1573" s="167"/>
      <c r="J1573" s="167"/>
      <c r="K1573" s="166"/>
      <c r="L1573" s="166"/>
      <c r="M1573" s="166"/>
      <c r="N1573" s="166"/>
      <c r="O1573" s="166"/>
      <c r="P1573" s="166"/>
      <c r="Q1573" s="166"/>
      <c r="R1573" s="166"/>
      <c r="S1573" s="166"/>
      <c r="T1573" s="166"/>
      <c r="U1573" s="166"/>
      <c r="V1573" s="166"/>
      <c r="W1573" s="166"/>
      <c r="X1573" s="166"/>
      <c r="Y1573" s="166"/>
      <c r="Z1573" s="166"/>
      <c r="AA1573" s="166"/>
      <c r="AB1573" s="166"/>
      <c r="AC1573" s="166"/>
      <c r="AD1573" s="166"/>
      <c r="AE1573" s="166"/>
      <c r="AF1573" s="166"/>
      <c r="AG1573" s="166"/>
      <c r="AH1573" s="166"/>
      <c r="AI1573" s="166"/>
    </row>
    <row r="1574" spans="7:35" x14ac:dyDescent="0.25">
      <c r="G1574" s="165"/>
      <c r="H1574" s="166"/>
      <c r="I1574" s="167"/>
      <c r="J1574" s="167"/>
      <c r="K1574" s="166"/>
      <c r="L1574" s="166"/>
      <c r="M1574" s="166"/>
      <c r="N1574" s="166"/>
      <c r="O1574" s="166"/>
      <c r="P1574" s="166"/>
      <c r="Q1574" s="166"/>
      <c r="R1574" s="166"/>
      <c r="S1574" s="166"/>
      <c r="T1574" s="166"/>
      <c r="U1574" s="166"/>
      <c r="V1574" s="166"/>
      <c r="W1574" s="166"/>
      <c r="X1574" s="166"/>
      <c r="Y1574" s="166"/>
      <c r="Z1574" s="166"/>
      <c r="AA1574" s="166"/>
      <c r="AB1574" s="166"/>
      <c r="AC1574" s="166"/>
      <c r="AD1574" s="166"/>
      <c r="AE1574" s="166"/>
      <c r="AF1574" s="166"/>
      <c r="AG1574" s="166"/>
      <c r="AH1574" s="166"/>
      <c r="AI1574" s="166"/>
    </row>
    <row r="1575" spans="7:35" x14ac:dyDescent="0.25">
      <c r="G1575" s="165"/>
      <c r="H1575" s="166"/>
      <c r="I1575" s="167"/>
      <c r="J1575" s="167"/>
      <c r="K1575" s="166"/>
      <c r="L1575" s="166"/>
      <c r="M1575" s="166"/>
      <c r="N1575" s="166"/>
      <c r="O1575" s="166"/>
      <c r="P1575" s="166"/>
      <c r="Q1575" s="166"/>
      <c r="R1575" s="166"/>
      <c r="S1575" s="166"/>
      <c r="T1575" s="166"/>
      <c r="U1575" s="166"/>
      <c r="V1575" s="166"/>
      <c r="W1575" s="166"/>
      <c r="X1575" s="166"/>
      <c r="Y1575" s="166"/>
      <c r="Z1575" s="166"/>
      <c r="AA1575" s="166"/>
      <c r="AB1575" s="166"/>
      <c r="AC1575" s="166"/>
      <c r="AD1575" s="166"/>
      <c r="AE1575" s="166"/>
      <c r="AF1575" s="166"/>
      <c r="AG1575" s="166"/>
      <c r="AH1575" s="166"/>
      <c r="AI1575" s="166"/>
    </row>
    <row r="1576" spans="7:35" x14ac:dyDescent="0.25">
      <c r="G1576" s="165"/>
      <c r="H1576" s="166"/>
      <c r="I1576" s="167"/>
      <c r="J1576" s="167"/>
      <c r="K1576" s="166"/>
      <c r="L1576" s="166"/>
      <c r="M1576" s="166"/>
      <c r="N1576" s="166"/>
      <c r="O1576" s="166"/>
      <c r="P1576" s="166"/>
      <c r="Q1576" s="166"/>
      <c r="R1576" s="166"/>
      <c r="S1576" s="166"/>
      <c r="T1576" s="166"/>
      <c r="U1576" s="166"/>
      <c r="V1576" s="166"/>
      <c r="W1576" s="166"/>
      <c r="X1576" s="166"/>
      <c r="Y1576" s="166"/>
      <c r="Z1576" s="166"/>
      <c r="AA1576" s="166"/>
      <c r="AB1576" s="166"/>
      <c r="AC1576" s="166"/>
      <c r="AD1576" s="166"/>
      <c r="AE1576" s="166"/>
      <c r="AF1576" s="166"/>
      <c r="AG1576" s="166"/>
      <c r="AH1576" s="166"/>
      <c r="AI1576" s="166"/>
    </row>
    <row r="1577" spans="7:35" x14ac:dyDescent="0.25">
      <c r="G1577" s="165"/>
      <c r="H1577" s="166"/>
      <c r="I1577" s="167"/>
      <c r="J1577" s="167"/>
      <c r="K1577" s="166"/>
      <c r="L1577" s="166"/>
      <c r="M1577" s="166"/>
      <c r="N1577" s="166"/>
      <c r="O1577" s="166"/>
      <c r="P1577" s="166"/>
      <c r="Q1577" s="166"/>
      <c r="R1577" s="166"/>
      <c r="S1577" s="166"/>
      <c r="T1577" s="166"/>
      <c r="U1577" s="166"/>
      <c r="V1577" s="166"/>
      <c r="W1577" s="166"/>
      <c r="X1577" s="166"/>
      <c r="Y1577" s="166"/>
      <c r="Z1577" s="166"/>
      <c r="AA1577" s="166"/>
      <c r="AB1577" s="166"/>
      <c r="AC1577" s="166"/>
      <c r="AD1577" s="166"/>
      <c r="AE1577" s="166"/>
      <c r="AF1577" s="166"/>
      <c r="AG1577" s="166"/>
      <c r="AH1577" s="166"/>
      <c r="AI1577" s="166"/>
    </row>
    <row r="1578" spans="7:35" x14ac:dyDescent="0.25">
      <c r="G1578" s="165"/>
      <c r="H1578" s="166"/>
      <c r="I1578" s="167"/>
      <c r="J1578" s="167"/>
      <c r="K1578" s="166"/>
      <c r="L1578" s="166"/>
      <c r="M1578" s="166"/>
      <c r="N1578" s="166"/>
      <c r="O1578" s="166"/>
      <c r="P1578" s="166"/>
      <c r="Q1578" s="166"/>
      <c r="R1578" s="166"/>
      <c r="S1578" s="166"/>
      <c r="T1578" s="166"/>
      <c r="U1578" s="166"/>
      <c r="V1578" s="166"/>
      <c r="W1578" s="166"/>
      <c r="X1578" s="166"/>
      <c r="Y1578" s="166"/>
      <c r="Z1578" s="166"/>
      <c r="AA1578" s="166"/>
      <c r="AB1578" s="166"/>
      <c r="AC1578" s="166"/>
      <c r="AD1578" s="166"/>
      <c r="AE1578" s="166"/>
      <c r="AF1578" s="166"/>
      <c r="AG1578" s="166"/>
      <c r="AH1578" s="166"/>
      <c r="AI1578" s="166"/>
    </row>
    <row r="1579" spans="7:35" x14ac:dyDescent="0.25">
      <c r="G1579" s="165"/>
      <c r="H1579" s="166"/>
      <c r="I1579" s="167"/>
      <c r="J1579" s="167"/>
      <c r="K1579" s="166"/>
      <c r="L1579" s="166"/>
      <c r="M1579" s="166"/>
      <c r="N1579" s="166"/>
      <c r="O1579" s="166"/>
      <c r="P1579" s="166"/>
      <c r="Q1579" s="166"/>
      <c r="R1579" s="166"/>
      <c r="S1579" s="166"/>
      <c r="T1579" s="166"/>
      <c r="U1579" s="166"/>
      <c r="V1579" s="166"/>
      <c r="W1579" s="166"/>
      <c r="X1579" s="166"/>
      <c r="Y1579" s="166"/>
      <c r="Z1579" s="166"/>
      <c r="AA1579" s="166"/>
      <c r="AB1579" s="166"/>
      <c r="AC1579" s="166"/>
      <c r="AD1579" s="166"/>
      <c r="AE1579" s="166"/>
      <c r="AF1579" s="166"/>
      <c r="AG1579" s="166"/>
      <c r="AH1579" s="166"/>
      <c r="AI1579" s="166"/>
    </row>
    <row r="1580" spans="7:35" x14ac:dyDescent="0.25">
      <c r="G1580" s="165"/>
      <c r="H1580" s="166"/>
      <c r="I1580" s="167"/>
      <c r="J1580" s="167"/>
      <c r="K1580" s="166"/>
      <c r="L1580" s="166"/>
      <c r="M1580" s="166"/>
      <c r="N1580" s="166"/>
      <c r="O1580" s="166"/>
      <c r="P1580" s="166"/>
      <c r="Q1580" s="166"/>
      <c r="R1580" s="166"/>
      <c r="S1580" s="166"/>
      <c r="T1580" s="166"/>
      <c r="U1580" s="166"/>
      <c r="V1580" s="166"/>
      <c r="W1580" s="166"/>
      <c r="X1580" s="166"/>
      <c r="Y1580" s="166"/>
      <c r="Z1580" s="166"/>
      <c r="AA1580" s="166"/>
      <c r="AB1580" s="166"/>
      <c r="AC1580" s="166"/>
      <c r="AD1580" s="166"/>
      <c r="AE1580" s="166"/>
      <c r="AF1580" s="166"/>
      <c r="AG1580" s="166"/>
      <c r="AH1580" s="166"/>
      <c r="AI1580" s="166"/>
    </row>
    <row r="1581" spans="7:35" x14ac:dyDescent="0.25">
      <c r="G1581" s="165"/>
      <c r="H1581" s="166"/>
      <c r="I1581" s="167"/>
      <c r="J1581" s="167"/>
      <c r="K1581" s="166"/>
      <c r="L1581" s="166"/>
      <c r="M1581" s="166"/>
      <c r="N1581" s="166"/>
      <c r="O1581" s="166"/>
      <c r="P1581" s="166"/>
      <c r="Q1581" s="166"/>
      <c r="R1581" s="166"/>
      <c r="S1581" s="166"/>
      <c r="T1581" s="166"/>
      <c r="U1581" s="166"/>
      <c r="V1581" s="166"/>
      <c r="W1581" s="166"/>
      <c r="X1581" s="166"/>
      <c r="Y1581" s="166"/>
      <c r="Z1581" s="166"/>
      <c r="AA1581" s="166"/>
      <c r="AB1581" s="166"/>
      <c r="AC1581" s="166"/>
      <c r="AD1581" s="166"/>
      <c r="AE1581" s="166"/>
      <c r="AF1581" s="166"/>
      <c r="AG1581" s="166"/>
      <c r="AH1581" s="166"/>
      <c r="AI1581" s="166"/>
    </row>
    <row r="1582" spans="7:35" x14ac:dyDescent="0.25">
      <c r="G1582" s="165"/>
      <c r="H1582" s="166"/>
      <c r="I1582" s="167"/>
      <c r="J1582" s="167"/>
      <c r="K1582" s="166"/>
      <c r="L1582" s="166"/>
      <c r="M1582" s="166"/>
      <c r="N1582" s="166"/>
      <c r="O1582" s="166"/>
      <c r="P1582" s="166"/>
      <c r="Q1582" s="166"/>
      <c r="R1582" s="166"/>
      <c r="S1582" s="166"/>
      <c r="T1582" s="166"/>
      <c r="U1582" s="166"/>
      <c r="V1582" s="166"/>
      <c r="W1582" s="166"/>
      <c r="X1582" s="166"/>
      <c r="Y1582" s="166"/>
      <c r="Z1582" s="166"/>
      <c r="AA1582" s="166"/>
      <c r="AB1582" s="166"/>
      <c r="AC1582" s="166"/>
      <c r="AD1582" s="166"/>
      <c r="AE1582" s="166"/>
      <c r="AF1582" s="166"/>
      <c r="AG1582" s="166"/>
      <c r="AH1582" s="166"/>
      <c r="AI1582" s="166"/>
    </row>
    <row r="1583" spans="7:35" x14ac:dyDescent="0.25">
      <c r="G1583" s="165"/>
      <c r="H1583" s="166"/>
      <c r="I1583" s="167"/>
      <c r="J1583" s="167"/>
      <c r="K1583" s="166"/>
      <c r="L1583" s="166"/>
      <c r="M1583" s="166"/>
      <c r="N1583" s="166"/>
      <c r="O1583" s="166"/>
      <c r="P1583" s="166"/>
      <c r="Q1583" s="166"/>
      <c r="R1583" s="166"/>
      <c r="S1583" s="166"/>
      <c r="T1583" s="166"/>
      <c r="U1583" s="166"/>
      <c r="V1583" s="166"/>
      <c r="W1583" s="166"/>
      <c r="X1583" s="166"/>
      <c r="Y1583" s="166"/>
      <c r="Z1583" s="166"/>
      <c r="AA1583" s="166"/>
      <c r="AB1583" s="166"/>
      <c r="AC1583" s="166"/>
      <c r="AD1583" s="166"/>
      <c r="AE1583" s="166"/>
      <c r="AF1583" s="166"/>
      <c r="AG1583" s="166"/>
      <c r="AH1583" s="166"/>
      <c r="AI1583" s="166"/>
    </row>
    <row r="1584" spans="7:35" x14ac:dyDescent="0.25">
      <c r="G1584" s="165"/>
      <c r="H1584" s="166"/>
      <c r="I1584" s="167"/>
      <c r="J1584" s="167"/>
      <c r="K1584" s="166"/>
      <c r="L1584" s="166"/>
      <c r="M1584" s="166"/>
      <c r="N1584" s="166"/>
      <c r="O1584" s="166"/>
      <c r="P1584" s="166"/>
      <c r="Q1584" s="166"/>
      <c r="R1584" s="166"/>
      <c r="S1584" s="166"/>
      <c r="T1584" s="166"/>
      <c r="U1584" s="166"/>
      <c r="V1584" s="166"/>
      <c r="W1584" s="166"/>
      <c r="X1584" s="166"/>
      <c r="Y1584" s="166"/>
      <c r="Z1584" s="166"/>
      <c r="AA1584" s="166"/>
      <c r="AB1584" s="166"/>
      <c r="AC1584" s="166"/>
      <c r="AD1584" s="166"/>
      <c r="AE1584" s="166"/>
      <c r="AF1584" s="166"/>
      <c r="AG1584" s="166"/>
      <c r="AH1584" s="166"/>
      <c r="AI1584" s="166"/>
    </row>
    <row r="1585" spans="7:35" x14ac:dyDescent="0.25">
      <c r="G1585" s="165"/>
      <c r="H1585" s="166"/>
      <c r="I1585" s="167"/>
      <c r="J1585" s="167"/>
      <c r="K1585" s="166"/>
      <c r="L1585" s="166"/>
      <c r="M1585" s="166"/>
      <c r="N1585" s="166"/>
      <c r="O1585" s="166"/>
      <c r="P1585" s="166"/>
      <c r="Q1585" s="166"/>
      <c r="R1585" s="166"/>
      <c r="S1585" s="166"/>
      <c r="T1585" s="166"/>
      <c r="U1585" s="166"/>
      <c r="V1585" s="166"/>
      <c r="W1585" s="166"/>
      <c r="X1585" s="166"/>
      <c r="Y1585" s="166"/>
      <c r="Z1585" s="166"/>
      <c r="AA1585" s="166"/>
      <c r="AB1585" s="166"/>
      <c r="AC1585" s="166"/>
      <c r="AD1585" s="166"/>
      <c r="AE1585" s="166"/>
      <c r="AF1585" s="166"/>
      <c r="AG1585" s="166"/>
      <c r="AH1585" s="166"/>
      <c r="AI1585" s="166"/>
    </row>
    <row r="1586" spans="7:35" x14ac:dyDescent="0.25">
      <c r="G1586" s="165"/>
      <c r="H1586" s="166"/>
      <c r="I1586" s="167"/>
      <c r="J1586" s="167"/>
      <c r="K1586" s="166"/>
      <c r="L1586" s="166"/>
      <c r="M1586" s="166"/>
      <c r="N1586" s="166"/>
      <c r="O1586" s="166"/>
      <c r="P1586" s="166"/>
      <c r="Q1586" s="166"/>
      <c r="R1586" s="166"/>
      <c r="S1586" s="166"/>
      <c r="T1586" s="166"/>
      <c r="U1586" s="166"/>
      <c r="V1586" s="166"/>
      <c r="W1586" s="166"/>
      <c r="X1586" s="166"/>
      <c r="Y1586" s="166"/>
      <c r="Z1586" s="166"/>
      <c r="AA1586" s="166"/>
      <c r="AB1586" s="166"/>
      <c r="AC1586" s="166"/>
      <c r="AD1586" s="166"/>
      <c r="AE1586" s="166"/>
      <c r="AF1586" s="166"/>
      <c r="AG1586" s="166"/>
      <c r="AH1586" s="166"/>
      <c r="AI1586" s="166"/>
    </row>
    <row r="1587" spans="7:35" x14ac:dyDescent="0.25">
      <c r="G1587" s="165"/>
      <c r="H1587" s="166"/>
      <c r="I1587" s="167"/>
      <c r="J1587" s="167"/>
      <c r="K1587" s="166"/>
      <c r="L1587" s="166"/>
      <c r="M1587" s="166"/>
      <c r="N1587" s="166"/>
      <c r="O1587" s="166"/>
      <c r="P1587" s="166"/>
      <c r="Q1587" s="166"/>
      <c r="R1587" s="166"/>
      <c r="S1587" s="166"/>
      <c r="T1587" s="166"/>
      <c r="U1587" s="166"/>
      <c r="V1587" s="166"/>
      <c r="W1587" s="166"/>
      <c r="X1587" s="166"/>
      <c r="Y1587" s="166"/>
      <c r="Z1587" s="166"/>
      <c r="AA1587" s="166"/>
      <c r="AB1587" s="166"/>
      <c r="AC1587" s="166"/>
      <c r="AD1587" s="166"/>
      <c r="AE1587" s="166"/>
      <c r="AF1587" s="166"/>
      <c r="AG1587" s="166"/>
      <c r="AH1587" s="166"/>
      <c r="AI1587" s="166"/>
    </row>
    <row r="1588" spans="7:35" x14ac:dyDescent="0.25">
      <c r="G1588" s="165"/>
      <c r="H1588" s="166"/>
      <c r="I1588" s="167"/>
      <c r="J1588" s="167"/>
      <c r="K1588" s="166"/>
      <c r="L1588" s="166"/>
      <c r="M1588" s="166"/>
      <c r="N1588" s="166"/>
      <c r="O1588" s="166"/>
      <c r="P1588" s="166"/>
      <c r="Q1588" s="166"/>
      <c r="R1588" s="166"/>
      <c r="S1588" s="166"/>
      <c r="T1588" s="166"/>
      <c r="U1588" s="166"/>
      <c r="V1588" s="166"/>
      <c r="W1588" s="166"/>
      <c r="X1588" s="166"/>
      <c r="Y1588" s="166"/>
      <c r="Z1588" s="166"/>
      <c r="AA1588" s="166"/>
      <c r="AB1588" s="166"/>
      <c r="AC1588" s="166"/>
      <c r="AD1588" s="166"/>
      <c r="AE1588" s="166"/>
      <c r="AF1588" s="166"/>
      <c r="AG1588" s="166"/>
      <c r="AH1588" s="166"/>
      <c r="AI1588" s="166"/>
    </row>
    <row r="1589" spans="7:35" x14ac:dyDescent="0.25">
      <c r="G1589" s="165"/>
      <c r="H1589" s="166"/>
      <c r="I1589" s="167"/>
      <c r="J1589" s="167"/>
      <c r="K1589" s="166"/>
      <c r="L1589" s="166"/>
      <c r="M1589" s="166"/>
      <c r="N1589" s="166"/>
      <c r="O1589" s="166"/>
      <c r="P1589" s="166"/>
      <c r="Q1589" s="166"/>
      <c r="R1589" s="166"/>
      <c r="S1589" s="166"/>
      <c r="T1589" s="166"/>
      <c r="U1589" s="166"/>
      <c r="V1589" s="166"/>
      <c r="W1589" s="166"/>
      <c r="X1589" s="166"/>
      <c r="Y1589" s="166"/>
      <c r="Z1589" s="166"/>
      <c r="AA1589" s="166"/>
      <c r="AB1589" s="166"/>
      <c r="AC1589" s="166"/>
      <c r="AD1589" s="166"/>
      <c r="AE1589" s="166"/>
      <c r="AF1589" s="166"/>
      <c r="AG1589" s="166"/>
      <c r="AH1589" s="166"/>
      <c r="AI1589" s="166"/>
    </row>
    <row r="1590" spans="7:35" x14ac:dyDescent="0.25">
      <c r="G1590" s="165"/>
      <c r="H1590" s="166"/>
      <c r="I1590" s="167"/>
      <c r="J1590" s="167"/>
      <c r="K1590" s="166"/>
      <c r="L1590" s="166"/>
      <c r="M1590" s="166"/>
      <c r="N1590" s="166"/>
      <c r="O1590" s="166"/>
      <c r="P1590" s="166"/>
      <c r="Q1590" s="166"/>
      <c r="R1590" s="166"/>
      <c r="S1590" s="166"/>
      <c r="T1590" s="166"/>
      <c r="U1590" s="166"/>
      <c r="V1590" s="166"/>
      <c r="W1590" s="166"/>
      <c r="X1590" s="166"/>
      <c r="Y1590" s="166"/>
      <c r="Z1590" s="166"/>
      <c r="AA1590" s="166"/>
      <c r="AB1590" s="166"/>
      <c r="AC1590" s="166"/>
      <c r="AD1590" s="166"/>
      <c r="AE1590" s="166"/>
      <c r="AF1590" s="166"/>
      <c r="AG1590" s="166"/>
      <c r="AH1590" s="166"/>
      <c r="AI1590" s="166"/>
    </row>
    <row r="1591" spans="7:35" x14ac:dyDescent="0.25">
      <c r="G1591" s="165"/>
      <c r="H1591" s="166"/>
      <c r="I1591" s="167"/>
      <c r="J1591" s="167"/>
      <c r="K1591" s="166"/>
      <c r="L1591" s="166"/>
      <c r="M1591" s="166"/>
      <c r="N1591" s="166"/>
      <c r="O1591" s="166"/>
      <c r="P1591" s="166"/>
      <c r="Q1591" s="166"/>
      <c r="R1591" s="166"/>
      <c r="S1591" s="166"/>
      <c r="T1591" s="166"/>
      <c r="U1591" s="166"/>
      <c r="V1591" s="166"/>
      <c r="W1591" s="166"/>
      <c r="X1591" s="166"/>
      <c r="Y1591" s="166"/>
      <c r="Z1591" s="166"/>
      <c r="AA1591" s="166"/>
      <c r="AB1591" s="166"/>
      <c r="AC1591" s="166"/>
      <c r="AD1591" s="166"/>
      <c r="AE1591" s="166"/>
      <c r="AF1591" s="166"/>
      <c r="AG1591" s="166"/>
      <c r="AH1591" s="166"/>
      <c r="AI1591" s="166"/>
    </row>
    <row r="1592" spans="7:35" x14ac:dyDescent="0.25">
      <c r="G1592" s="165"/>
      <c r="H1592" s="166"/>
      <c r="I1592" s="167"/>
      <c r="J1592" s="167"/>
      <c r="K1592" s="166"/>
      <c r="L1592" s="166"/>
      <c r="M1592" s="166"/>
      <c r="N1592" s="166"/>
      <c r="O1592" s="166"/>
      <c r="P1592" s="166"/>
      <c r="Q1592" s="166"/>
      <c r="R1592" s="166"/>
      <c r="S1592" s="166"/>
      <c r="T1592" s="166"/>
      <c r="U1592" s="166"/>
      <c r="V1592" s="166"/>
      <c r="W1592" s="166"/>
      <c r="X1592" s="166"/>
      <c r="Y1592" s="166"/>
      <c r="Z1592" s="166"/>
      <c r="AA1592" s="166"/>
      <c r="AB1592" s="166"/>
      <c r="AC1592" s="166"/>
      <c r="AD1592" s="166"/>
      <c r="AE1592" s="166"/>
      <c r="AF1592" s="166"/>
      <c r="AG1592" s="166"/>
      <c r="AH1592" s="166"/>
      <c r="AI1592" s="166"/>
    </row>
    <row r="1593" spans="7:35" x14ac:dyDescent="0.25">
      <c r="G1593" s="165"/>
      <c r="H1593" s="166"/>
      <c r="I1593" s="167"/>
      <c r="J1593" s="167"/>
      <c r="K1593" s="166"/>
      <c r="L1593" s="166"/>
      <c r="M1593" s="166"/>
      <c r="N1593" s="166"/>
      <c r="O1593" s="166"/>
      <c r="P1593" s="166"/>
      <c r="Q1593" s="166"/>
      <c r="R1593" s="166"/>
      <c r="S1593" s="166"/>
      <c r="T1593" s="166"/>
      <c r="U1593" s="166"/>
      <c r="V1593" s="166"/>
      <c r="W1593" s="166"/>
      <c r="X1593" s="166"/>
      <c r="Y1593" s="166"/>
      <c r="Z1593" s="166"/>
      <c r="AA1593" s="166"/>
      <c r="AB1593" s="166"/>
      <c r="AC1593" s="166"/>
      <c r="AD1593" s="166"/>
      <c r="AE1593" s="166"/>
      <c r="AF1593" s="166"/>
      <c r="AG1593" s="166"/>
      <c r="AH1593" s="166"/>
      <c r="AI1593" s="166"/>
    </row>
    <row r="1594" spans="7:35" x14ac:dyDescent="0.25">
      <c r="G1594" s="165"/>
      <c r="H1594" s="166"/>
      <c r="I1594" s="167"/>
      <c r="J1594" s="167"/>
      <c r="K1594" s="166"/>
      <c r="L1594" s="166"/>
      <c r="M1594" s="166"/>
      <c r="N1594" s="166"/>
      <c r="O1594" s="166"/>
      <c r="P1594" s="166"/>
      <c r="Q1594" s="166"/>
      <c r="R1594" s="166"/>
      <c r="S1594" s="166"/>
      <c r="T1594" s="166"/>
      <c r="U1594" s="166"/>
      <c r="V1594" s="166"/>
      <c r="W1594" s="166"/>
      <c r="X1594" s="166"/>
      <c r="Y1594" s="166"/>
      <c r="Z1594" s="166"/>
      <c r="AA1594" s="166"/>
      <c r="AB1594" s="166"/>
      <c r="AC1594" s="166"/>
      <c r="AD1594" s="166"/>
      <c r="AE1594" s="166"/>
      <c r="AF1594" s="166"/>
      <c r="AG1594" s="166"/>
      <c r="AH1594" s="166"/>
      <c r="AI1594" s="166"/>
    </row>
    <row r="1595" spans="7:35" x14ac:dyDescent="0.25">
      <c r="G1595" s="165"/>
      <c r="H1595" s="166"/>
      <c r="I1595" s="167"/>
      <c r="J1595" s="167"/>
      <c r="K1595" s="166"/>
      <c r="L1595" s="166"/>
      <c r="M1595" s="166"/>
      <c r="N1595" s="166"/>
      <c r="O1595" s="166"/>
      <c r="P1595" s="166"/>
      <c r="Q1595" s="166"/>
      <c r="R1595" s="166"/>
      <c r="S1595" s="166"/>
      <c r="T1595" s="166"/>
      <c r="U1595" s="166"/>
      <c r="V1595" s="166"/>
      <c r="W1595" s="166"/>
      <c r="X1595" s="166"/>
      <c r="Y1595" s="166"/>
      <c r="Z1595" s="166"/>
      <c r="AA1595" s="166"/>
      <c r="AB1595" s="166"/>
      <c r="AC1595" s="166"/>
      <c r="AD1595" s="166"/>
      <c r="AE1595" s="166"/>
      <c r="AF1595" s="166"/>
      <c r="AG1595" s="166"/>
      <c r="AH1595" s="166"/>
      <c r="AI1595" s="166"/>
    </row>
    <row r="1596" spans="7:35" x14ac:dyDescent="0.25">
      <c r="G1596" s="165"/>
      <c r="H1596" s="166"/>
      <c r="I1596" s="167"/>
      <c r="J1596" s="167"/>
      <c r="K1596" s="166"/>
      <c r="L1596" s="166"/>
      <c r="M1596" s="166"/>
      <c r="N1596" s="166"/>
      <c r="O1596" s="166"/>
      <c r="P1596" s="166"/>
      <c r="Q1596" s="166"/>
      <c r="R1596" s="166"/>
      <c r="S1596" s="166"/>
      <c r="T1596" s="166"/>
      <c r="U1596" s="166"/>
      <c r="V1596" s="166"/>
      <c r="W1596" s="166"/>
      <c r="X1596" s="166"/>
      <c r="Y1596" s="166"/>
      <c r="Z1596" s="166"/>
      <c r="AA1596" s="166"/>
      <c r="AB1596" s="166"/>
      <c r="AC1596" s="166"/>
      <c r="AD1596" s="166"/>
      <c r="AE1596" s="166"/>
      <c r="AF1596" s="166"/>
      <c r="AG1596" s="166"/>
      <c r="AH1596" s="166"/>
      <c r="AI1596" s="166"/>
    </row>
    <row r="1597" spans="7:35" x14ac:dyDescent="0.25">
      <c r="G1597" s="165"/>
      <c r="H1597" s="166"/>
      <c r="I1597" s="167"/>
      <c r="J1597" s="167"/>
      <c r="K1597" s="166"/>
      <c r="L1597" s="166"/>
      <c r="M1597" s="166"/>
      <c r="N1597" s="166"/>
      <c r="O1597" s="166"/>
      <c r="P1597" s="166"/>
      <c r="Q1597" s="166"/>
      <c r="R1597" s="166"/>
      <c r="S1597" s="166"/>
      <c r="T1597" s="166"/>
      <c r="U1597" s="166"/>
      <c r="V1597" s="166"/>
      <c r="W1597" s="166"/>
      <c r="X1597" s="166"/>
      <c r="Y1597" s="166"/>
      <c r="Z1597" s="166"/>
      <c r="AA1597" s="166"/>
      <c r="AB1597" s="166"/>
      <c r="AC1597" s="166"/>
      <c r="AD1597" s="166"/>
      <c r="AE1597" s="166"/>
      <c r="AF1597" s="166"/>
      <c r="AG1597" s="166"/>
      <c r="AH1597" s="166"/>
      <c r="AI1597" s="166"/>
    </row>
    <row r="1598" spans="7:35" x14ac:dyDescent="0.25">
      <c r="G1598" s="165"/>
      <c r="H1598" s="166"/>
      <c r="I1598" s="167"/>
      <c r="J1598" s="167"/>
      <c r="K1598" s="166"/>
      <c r="L1598" s="166"/>
      <c r="M1598" s="166"/>
      <c r="N1598" s="166"/>
      <c r="O1598" s="166"/>
      <c r="P1598" s="166"/>
      <c r="Q1598" s="166"/>
      <c r="R1598" s="166"/>
      <c r="S1598" s="166"/>
      <c r="T1598" s="166"/>
      <c r="U1598" s="166"/>
      <c r="V1598" s="166"/>
      <c r="W1598" s="166"/>
      <c r="X1598" s="166"/>
      <c r="Y1598" s="166"/>
      <c r="Z1598" s="166"/>
      <c r="AA1598" s="166"/>
      <c r="AB1598" s="166"/>
      <c r="AC1598" s="166"/>
      <c r="AD1598" s="166"/>
      <c r="AE1598" s="166"/>
      <c r="AF1598" s="166"/>
      <c r="AG1598" s="166"/>
      <c r="AH1598" s="166"/>
      <c r="AI1598" s="166"/>
    </row>
    <row r="1599" spans="7:35" x14ac:dyDescent="0.25">
      <c r="G1599" s="165"/>
      <c r="H1599" s="166"/>
      <c r="I1599" s="167"/>
      <c r="J1599" s="167"/>
      <c r="K1599" s="166"/>
      <c r="L1599" s="166"/>
      <c r="M1599" s="166"/>
      <c r="N1599" s="166"/>
      <c r="O1599" s="166"/>
      <c r="P1599" s="166"/>
      <c r="Q1599" s="166"/>
      <c r="R1599" s="166"/>
      <c r="S1599" s="166"/>
      <c r="T1599" s="166"/>
      <c r="U1599" s="166"/>
      <c r="V1599" s="166"/>
      <c r="W1599" s="166"/>
      <c r="X1599" s="166"/>
      <c r="Y1599" s="166"/>
      <c r="Z1599" s="166"/>
      <c r="AA1599" s="166"/>
      <c r="AB1599" s="166"/>
      <c r="AC1599" s="166"/>
      <c r="AD1599" s="166"/>
      <c r="AE1599" s="166"/>
      <c r="AF1599" s="166"/>
      <c r="AG1599" s="166"/>
      <c r="AH1599" s="166"/>
      <c r="AI1599" s="166"/>
    </row>
    <row r="1600" spans="7:35" x14ac:dyDescent="0.25">
      <c r="G1600" s="165"/>
      <c r="H1600" s="166"/>
      <c r="I1600" s="167"/>
      <c r="J1600" s="167"/>
      <c r="K1600" s="166"/>
      <c r="L1600" s="166"/>
      <c r="M1600" s="166"/>
      <c r="N1600" s="166"/>
      <c r="O1600" s="166"/>
      <c r="P1600" s="166"/>
      <c r="Q1600" s="166"/>
      <c r="R1600" s="166"/>
      <c r="S1600" s="166"/>
      <c r="T1600" s="166"/>
      <c r="U1600" s="166"/>
      <c r="V1600" s="166"/>
      <c r="W1600" s="166"/>
      <c r="X1600" s="166"/>
      <c r="Y1600" s="166"/>
      <c r="Z1600" s="166"/>
      <c r="AA1600" s="166"/>
      <c r="AB1600" s="166"/>
      <c r="AC1600" s="166"/>
      <c r="AD1600" s="166"/>
      <c r="AE1600" s="166"/>
      <c r="AF1600" s="166"/>
      <c r="AG1600" s="166"/>
      <c r="AH1600" s="166"/>
      <c r="AI1600" s="166"/>
    </row>
    <row r="1601" spans="7:35" x14ac:dyDescent="0.25">
      <c r="G1601" s="165"/>
      <c r="H1601" s="166"/>
      <c r="I1601" s="167"/>
      <c r="J1601" s="167"/>
      <c r="K1601" s="166"/>
      <c r="L1601" s="166"/>
      <c r="M1601" s="166"/>
      <c r="N1601" s="166"/>
      <c r="O1601" s="166"/>
      <c r="P1601" s="166"/>
      <c r="Q1601" s="166"/>
      <c r="R1601" s="166"/>
      <c r="S1601" s="166"/>
      <c r="T1601" s="166"/>
      <c r="U1601" s="166"/>
      <c r="V1601" s="166"/>
      <c r="W1601" s="166"/>
      <c r="X1601" s="166"/>
      <c r="Y1601" s="166"/>
      <c r="Z1601" s="166"/>
      <c r="AA1601" s="166"/>
      <c r="AB1601" s="166"/>
      <c r="AC1601" s="166"/>
      <c r="AD1601" s="166"/>
      <c r="AE1601" s="166"/>
      <c r="AF1601" s="166"/>
      <c r="AG1601" s="166"/>
      <c r="AH1601" s="166"/>
      <c r="AI1601" s="166"/>
    </row>
    <row r="1602" spans="7:35" x14ac:dyDescent="0.25">
      <c r="G1602" s="165"/>
      <c r="H1602" s="166"/>
      <c r="I1602" s="167"/>
      <c r="J1602" s="167"/>
      <c r="K1602" s="166"/>
      <c r="L1602" s="166"/>
      <c r="M1602" s="166"/>
      <c r="N1602" s="166"/>
      <c r="O1602" s="166"/>
      <c r="P1602" s="166"/>
      <c r="Q1602" s="166"/>
      <c r="R1602" s="166"/>
      <c r="S1602" s="166"/>
      <c r="T1602" s="166"/>
      <c r="U1602" s="166"/>
      <c r="V1602" s="166"/>
      <c r="W1602" s="166"/>
      <c r="X1602" s="166"/>
      <c r="Y1602" s="166"/>
      <c r="Z1602" s="166"/>
      <c r="AA1602" s="166"/>
      <c r="AB1602" s="166"/>
      <c r="AC1602" s="166"/>
      <c r="AD1602" s="166"/>
      <c r="AE1602" s="166"/>
      <c r="AF1602" s="166"/>
      <c r="AG1602" s="166"/>
      <c r="AH1602" s="166"/>
      <c r="AI1602" s="166"/>
    </row>
    <row r="1603" spans="7:35" x14ac:dyDescent="0.25">
      <c r="G1603" s="165"/>
      <c r="H1603" s="166"/>
      <c r="I1603" s="167"/>
      <c r="J1603" s="167"/>
      <c r="K1603" s="166"/>
      <c r="L1603" s="166"/>
      <c r="M1603" s="166"/>
      <c r="N1603" s="166"/>
      <c r="O1603" s="166"/>
      <c r="P1603" s="166"/>
      <c r="Q1603" s="166"/>
      <c r="R1603" s="166"/>
      <c r="S1603" s="166"/>
      <c r="T1603" s="166"/>
      <c r="U1603" s="166"/>
      <c r="V1603" s="166"/>
      <c r="W1603" s="166"/>
      <c r="X1603" s="166"/>
      <c r="Y1603" s="166"/>
      <c r="Z1603" s="166"/>
      <c r="AA1603" s="166"/>
      <c r="AB1603" s="166"/>
      <c r="AC1603" s="166"/>
      <c r="AD1603" s="166"/>
      <c r="AE1603" s="166"/>
      <c r="AF1603" s="166"/>
      <c r="AG1603" s="166"/>
      <c r="AH1603" s="166"/>
      <c r="AI1603" s="166"/>
    </row>
    <row r="1604" spans="7:35" x14ac:dyDescent="0.25">
      <c r="G1604" s="165"/>
      <c r="H1604" s="166"/>
      <c r="I1604" s="167"/>
      <c r="J1604" s="167"/>
      <c r="K1604" s="166"/>
      <c r="L1604" s="166"/>
      <c r="M1604" s="166"/>
      <c r="N1604" s="166"/>
      <c r="O1604" s="166"/>
      <c r="P1604" s="166"/>
      <c r="Q1604" s="166"/>
      <c r="R1604" s="166"/>
      <c r="S1604" s="166"/>
      <c r="T1604" s="166"/>
      <c r="U1604" s="166"/>
      <c r="V1604" s="166"/>
      <c r="W1604" s="166"/>
      <c r="X1604" s="166"/>
      <c r="Y1604" s="166"/>
      <c r="Z1604" s="166"/>
      <c r="AA1604" s="166"/>
      <c r="AB1604" s="166"/>
      <c r="AC1604" s="166"/>
      <c r="AD1604" s="166"/>
      <c r="AE1604" s="166"/>
      <c r="AF1604" s="166"/>
      <c r="AG1604" s="166"/>
      <c r="AH1604" s="166"/>
      <c r="AI1604" s="166"/>
    </row>
    <row r="1605" spans="7:35" x14ac:dyDescent="0.25">
      <c r="G1605" s="165"/>
      <c r="H1605" s="166"/>
      <c r="I1605" s="167"/>
      <c r="J1605" s="167"/>
      <c r="K1605" s="166"/>
      <c r="L1605" s="166"/>
      <c r="M1605" s="166"/>
      <c r="N1605" s="166"/>
      <c r="O1605" s="166"/>
      <c r="P1605" s="166"/>
      <c r="Q1605" s="166"/>
      <c r="R1605" s="166"/>
      <c r="S1605" s="166"/>
      <c r="T1605" s="166"/>
      <c r="U1605" s="166"/>
      <c r="V1605" s="166"/>
      <c r="W1605" s="166"/>
      <c r="X1605" s="166"/>
      <c r="Y1605" s="166"/>
      <c r="Z1605" s="166"/>
      <c r="AA1605" s="166"/>
      <c r="AB1605" s="166"/>
      <c r="AC1605" s="166"/>
      <c r="AD1605" s="166"/>
      <c r="AE1605" s="166"/>
      <c r="AF1605" s="166"/>
      <c r="AG1605" s="166"/>
      <c r="AH1605" s="166"/>
      <c r="AI1605" s="166"/>
    </row>
    <row r="1606" spans="7:35" x14ac:dyDescent="0.25">
      <c r="G1606" s="165"/>
      <c r="H1606" s="166"/>
      <c r="I1606" s="167"/>
      <c r="J1606" s="167"/>
      <c r="K1606" s="166"/>
      <c r="L1606" s="166"/>
      <c r="M1606" s="166"/>
      <c r="N1606" s="166"/>
      <c r="O1606" s="166"/>
      <c r="P1606" s="166"/>
      <c r="Q1606" s="166"/>
      <c r="R1606" s="166"/>
      <c r="S1606" s="166"/>
      <c r="T1606" s="166"/>
      <c r="U1606" s="166"/>
      <c r="V1606" s="166"/>
      <c r="W1606" s="166"/>
      <c r="X1606" s="166"/>
      <c r="Y1606" s="166"/>
      <c r="Z1606" s="166"/>
      <c r="AA1606" s="166"/>
      <c r="AB1606" s="166"/>
      <c r="AC1606" s="166"/>
      <c r="AD1606" s="166"/>
      <c r="AE1606" s="166"/>
      <c r="AF1606" s="166"/>
      <c r="AG1606" s="166"/>
      <c r="AH1606" s="166"/>
      <c r="AI1606" s="166"/>
    </row>
    <row r="1607" spans="7:35" x14ac:dyDescent="0.25">
      <c r="G1607" s="165"/>
      <c r="H1607" s="166"/>
      <c r="I1607" s="167"/>
      <c r="J1607" s="167"/>
      <c r="K1607" s="166"/>
      <c r="L1607" s="166"/>
      <c r="M1607" s="166"/>
      <c r="N1607" s="166"/>
      <c r="O1607" s="166"/>
      <c r="P1607" s="166"/>
      <c r="Q1607" s="166"/>
      <c r="R1607" s="166"/>
      <c r="S1607" s="166"/>
      <c r="T1607" s="166"/>
      <c r="U1607" s="166"/>
      <c r="V1607" s="166"/>
      <c r="W1607" s="166"/>
      <c r="X1607" s="166"/>
      <c r="Y1607" s="166"/>
      <c r="Z1607" s="166"/>
      <c r="AA1607" s="166"/>
      <c r="AB1607" s="166"/>
      <c r="AC1607" s="166"/>
      <c r="AD1607" s="166"/>
      <c r="AE1607" s="166"/>
      <c r="AF1607" s="166"/>
      <c r="AG1607" s="166"/>
      <c r="AH1607" s="166"/>
      <c r="AI1607" s="166"/>
    </row>
    <row r="1608" spans="7:35" x14ac:dyDescent="0.25">
      <c r="G1608" s="165"/>
      <c r="H1608" s="166"/>
      <c r="I1608" s="167"/>
      <c r="J1608" s="167"/>
      <c r="K1608" s="166"/>
      <c r="L1608" s="166"/>
      <c r="M1608" s="166"/>
      <c r="N1608" s="166"/>
      <c r="O1608" s="166"/>
      <c r="P1608" s="166"/>
      <c r="Q1608" s="166"/>
      <c r="R1608" s="166"/>
      <c r="S1608" s="166"/>
      <c r="T1608" s="166"/>
      <c r="U1608" s="166"/>
      <c r="V1608" s="166"/>
      <c r="W1608" s="166"/>
      <c r="X1608" s="166"/>
      <c r="Y1608" s="166"/>
      <c r="Z1608" s="166"/>
      <c r="AA1608" s="166"/>
      <c r="AB1608" s="166"/>
      <c r="AC1608" s="166"/>
      <c r="AD1608" s="166"/>
      <c r="AE1608" s="166"/>
      <c r="AF1608" s="166"/>
      <c r="AG1608" s="166"/>
      <c r="AH1608" s="166"/>
      <c r="AI1608" s="166"/>
    </row>
    <row r="1609" spans="7:35" x14ac:dyDescent="0.25">
      <c r="G1609" s="165"/>
      <c r="H1609" s="166"/>
      <c r="I1609" s="167"/>
      <c r="J1609" s="167"/>
      <c r="K1609" s="166"/>
      <c r="L1609" s="166"/>
      <c r="M1609" s="166"/>
      <c r="N1609" s="166"/>
      <c r="O1609" s="166"/>
      <c r="P1609" s="166"/>
      <c r="Q1609" s="166"/>
      <c r="R1609" s="166"/>
      <c r="S1609" s="166"/>
      <c r="T1609" s="166"/>
      <c r="U1609" s="166"/>
      <c r="V1609" s="166"/>
      <c r="W1609" s="166"/>
      <c r="X1609" s="166"/>
      <c r="Y1609" s="166"/>
      <c r="Z1609" s="166"/>
      <c r="AA1609" s="166"/>
      <c r="AB1609" s="166"/>
      <c r="AC1609" s="166"/>
      <c r="AD1609" s="166"/>
      <c r="AE1609" s="166"/>
      <c r="AF1609" s="166"/>
      <c r="AG1609" s="166"/>
      <c r="AH1609" s="166"/>
      <c r="AI1609" s="166"/>
    </row>
    <row r="1610" spans="7:35" x14ac:dyDescent="0.25">
      <c r="G1610" s="165"/>
      <c r="H1610" s="166"/>
      <c r="I1610" s="167"/>
      <c r="J1610" s="167"/>
      <c r="K1610" s="166"/>
      <c r="L1610" s="166"/>
      <c r="M1610" s="166"/>
      <c r="N1610" s="166"/>
      <c r="O1610" s="166"/>
      <c r="P1610" s="166"/>
      <c r="Q1610" s="166"/>
      <c r="R1610" s="166"/>
      <c r="S1610" s="166"/>
      <c r="T1610" s="166"/>
      <c r="U1610" s="166"/>
      <c r="V1610" s="166"/>
      <c r="W1610" s="166"/>
      <c r="X1610" s="166"/>
      <c r="Y1610" s="166"/>
      <c r="Z1610" s="166"/>
      <c r="AA1610" s="166"/>
      <c r="AB1610" s="166"/>
      <c r="AC1610" s="166"/>
      <c r="AD1610" s="166"/>
      <c r="AE1610" s="166"/>
      <c r="AF1610" s="166"/>
      <c r="AG1610" s="166"/>
      <c r="AH1610" s="166"/>
      <c r="AI1610" s="166"/>
    </row>
    <row r="1611" spans="7:35" x14ac:dyDescent="0.25">
      <c r="G1611" s="165"/>
      <c r="H1611" s="166"/>
      <c r="I1611" s="167"/>
      <c r="J1611" s="167"/>
      <c r="K1611" s="166"/>
      <c r="L1611" s="166"/>
      <c r="M1611" s="166"/>
      <c r="N1611" s="166"/>
      <c r="O1611" s="166"/>
      <c r="P1611" s="166"/>
      <c r="Q1611" s="166"/>
      <c r="R1611" s="166"/>
      <c r="S1611" s="166"/>
      <c r="T1611" s="166"/>
      <c r="U1611" s="166"/>
      <c r="V1611" s="166"/>
      <c r="W1611" s="166"/>
      <c r="X1611" s="166"/>
      <c r="Y1611" s="166"/>
      <c r="Z1611" s="166"/>
      <c r="AA1611" s="166"/>
      <c r="AB1611" s="166"/>
      <c r="AC1611" s="166"/>
      <c r="AD1611" s="166"/>
      <c r="AE1611" s="166"/>
      <c r="AF1611" s="166"/>
      <c r="AG1611" s="166"/>
      <c r="AH1611" s="166"/>
      <c r="AI1611" s="166"/>
    </row>
    <row r="1612" spans="7:35" x14ac:dyDescent="0.25">
      <c r="G1612" s="165"/>
      <c r="H1612" s="166"/>
      <c r="I1612" s="167"/>
      <c r="J1612" s="167"/>
      <c r="K1612" s="166"/>
      <c r="L1612" s="166"/>
      <c r="M1612" s="166"/>
      <c r="N1612" s="166"/>
      <c r="O1612" s="166"/>
      <c r="P1612" s="166"/>
      <c r="Q1612" s="166"/>
      <c r="R1612" s="166"/>
      <c r="S1612" s="166"/>
      <c r="T1612" s="166"/>
      <c r="U1612" s="166"/>
      <c r="V1612" s="166"/>
      <c r="W1612" s="166"/>
      <c r="X1612" s="166"/>
      <c r="Y1612" s="166"/>
      <c r="Z1612" s="166"/>
      <c r="AA1612" s="166"/>
      <c r="AB1612" s="166"/>
      <c r="AC1612" s="166"/>
      <c r="AD1612" s="166"/>
      <c r="AE1612" s="166"/>
      <c r="AF1612" s="166"/>
      <c r="AG1612" s="166"/>
      <c r="AH1612" s="166"/>
      <c r="AI1612" s="166"/>
    </row>
    <row r="1613" spans="7:35" x14ac:dyDescent="0.25">
      <c r="G1613" s="165"/>
      <c r="H1613" s="166"/>
      <c r="I1613" s="167"/>
      <c r="J1613" s="167"/>
      <c r="K1613" s="166"/>
      <c r="L1613" s="166"/>
      <c r="M1613" s="166"/>
      <c r="N1613" s="166"/>
      <c r="O1613" s="166"/>
      <c r="P1613" s="166"/>
      <c r="Q1613" s="166"/>
      <c r="R1613" s="166"/>
      <c r="S1613" s="166"/>
      <c r="T1613" s="166"/>
      <c r="U1613" s="166"/>
      <c r="V1613" s="166"/>
      <c r="W1613" s="166"/>
      <c r="X1613" s="166"/>
      <c r="Y1613" s="166"/>
      <c r="Z1613" s="166"/>
      <c r="AA1613" s="166"/>
      <c r="AB1613" s="166"/>
      <c r="AC1613" s="166"/>
      <c r="AD1613" s="166"/>
      <c r="AE1613" s="166"/>
      <c r="AF1613" s="166"/>
      <c r="AG1613" s="166"/>
      <c r="AH1613" s="166"/>
      <c r="AI1613" s="166"/>
    </row>
    <row r="1614" spans="7:35" x14ac:dyDescent="0.25">
      <c r="G1614" s="165"/>
      <c r="H1614" s="166"/>
      <c r="I1614" s="167"/>
      <c r="J1614" s="167"/>
      <c r="K1614" s="166"/>
      <c r="L1614" s="166"/>
      <c r="M1614" s="166"/>
      <c r="N1614" s="166"/>
      <c r="O1614" s="166"/>
      <c r="P1614" s="166"/>
      <c r="Q1614" s="166"/>
      <c r="R1614" s="166"/>
      <c r="S1614" s="166"/>
      <c r="T1614" s="166"/>
      <c r="U1614" s="166"/>
      <c r="V1614" s="166"/>
      <c r="W1614" s="166"/>
      <c r="X1614" s="166"/>
      <c r="Y1614" s="166"/>
      <c r="Z1614" s="166"/>
      <c r="AA1614" s="166"/>
      <c r="AB1614" s="166"/>
      <c r="AC1614" s="166"/>
      <c r="AD1614" s="166"/>
      <c r="AE1614" s="166"/>
      <c r="AF1614" s="166"/>
      <c r="AG1614" s="166"/>
      <c r="AH1614" s="166"/>
      <c r="AI1614" s="166"/>
    </row>
    <row r="1615" spans="7:35" x14ac:dyDescent="0.25">
      <c r="G1615" s="165"/>
      <c r="H1615" s="166"/>
      <c r="I1615" s="167"/>
      <c r="J1615" s="167"/>
      <c r="K1615" s="166"/>
      <c r="L1615" s="166"/>
      <c r="M1615" s="166"/>
      <c r="N1615" s="166"/>
      <c r="O1615" s="166"/>
      <c r="P1615" s="166"/>
      <c r="Q1615" s="166"/>
      <c r="R1615" s="166"/>
      <c r="S1615" s="166"/>
      <c r="T1615" s="166"/>
      <c r="U1615" s="166"/>
      <c r="V1615" s="166"/>
      <c r="W1615" s="166"/>
      <c r="X1615" s="166"/>
      <c r="Y1615" s="166"/>
      <c r="Z1615" s="166"/>
      <c r="AA1615" s="166"/>
      <c r="AB1615" s="166"/>
      <c r="AC1615" s="166"/>
      <c r="AD1615" s="166"/>
      <c r="AE1615" s="166"/>
      <c r="AF1615" s="166"/>
      <c r="AG1615" s="166"/>
      <c r="AH1615" s="166"/>
      <c r="AI1615" s="166"/>
    </row>
    <row r="1616" spans="7:35" x14ac:dyDescent="0.25">
      <c r="G1616" s="165"/>
      <c r="H1616" s="166"/>
      <c r="I1616" s="167"/>
      <c r="J1616" s="167"/>
      <c r="K1616" s="166"/>
      <c r="L1616" s="166"/>
      <c r="M1616" s="166"/>
      <c r="N1616" s="166"/>
      <c r="O1616" s="166"/>
      <c r="P1616" s="166"/>
      <c r="Q1616" s="166"/>
      <c r="R1616" s="166"/>
      <c r="S1616" s="166"/>
      <c r="T1616" s="166"/>
      <c r="U1616" s="166"/>
      <c r="V1616" s="166"/>
      <c r="W1616" s="166"/>
      <c r="X1616" s="166"/>
      <c r="Y1616" s="166"/>
      <c r="Z1616" s="166"/>
      <c r="AA1616" s="166"/>
      <c r="AB1616" s="166"/>
      <c r="AC1616" s="166"/>
      <c r="AD1616" s="166"/>
      <c r="AE1616" s="166"/>
      <c r="AF1616" s="166"/>
      <c r="AG1616" s="166"/>
      <c r="AH1616" s="166"/>
      <c r="AI1616" s="166"/>
    </row>
    <row r="1617" spans="7:35" x14ac:dyDescent="0.25">
      <c r="G1617" s="165"/>
      <c r="H1617" s="166"/>
      <c r="I1617" s="167"/>
      <c r="J1617" s="167"/>
      <c r="K1617" s="166"/>
      <c r="L1617" s="166"/>
      <c r="M1617" s="166"/>
      <c r="N1617" s="166"/>
      <c r="O1617" s="166"/>
      <c r="P1617" s="166"/>
      <c r="Q1617" s="166"/>
      <c r="R1617" s="166"/>
      <c r="S1617" s="166"/>
      <c r="T1617" s="166"/>
      <c r="U1617" s="166"/>
      <c r="V1617" s="166"/>
      <c r="W1617" s="166"/>
      <c r="X1617" s="166"/>
      <c r="Y1617" s="166"/>
      <c r="Z1617" s="166"/>
      <c r="AA1617" s="166"/>
      <c r="AB1617" s="166"/>
      <c r="AC1617" s="166"/>
      <c r="AD1617" s="166"/>
      <c r="AE1617" s="166"/>
      <c r="AF1617" s="166"/>
      <c r="AG1617" s="166"/>
      <c r="AH1617" s="166"/>
      <c r="AI1617" s="166"/>
    </row>
    <row r="1618" spans="7:35" x14ac:dyDescent="0.25">
      <c r="G1618" s="165"/>
      <c r="H1618" s="166"/>
      <c r="I1618" s="167"/>
      <c r="J1618" s="167"/>
      <c r="K1618" s="166"/>
      <c r="L1618" s="166"/>
      <c r="M1618" s="166"/>
      <c r="N1618" s="166"/>
      <c r="O1618" s="166"/>
      <c r="P1618" s="166"/>
      <c r="Q1618" s="166"/>
      <c r="R1618" s="166"/>
      <c r="S1618" s="166"/>
      <c r="T1618" s="166"/>
      <c r="U1618" s="166"/>
      <c r="V1618" s="166"/>
      <c r="W1618" s="166"/>
      <c r="X1618" s="166"/>
      <c r="Y1618" s="166"/>
      <c r="Z1618" s="166"/>
      <c r="AA1618" s="166"/>
      <c r="AB1618" s="166"/>
      <c r="AC1618" s="166"/>
      <c r="AD1618" s="166"/>
      <c r="AE1618" s="166"/>
      <c r="AF1618" s="166"/>
      <c r="AG1618" s="166"/>
      <c r="AH1618" s="166"/>
      <c r="AI1618" s="166"/>
    </row>
    <row r="1619" spans="7:35" x14ac:dyDescent="0.25">
      <c r="G1619" s="165"/>
      <c r="H1619" s="166"/>
      <c r="I1619" s="167"/>
      <c r="J1619" s="167"/>
      <c r="K1619" s="166"/>
      <c r="L1619" s="166"/>
      <c r="M1619" s="166"/>
      <c r="N1619" s="166"/>
      <c r="O1619" s="166"/>
      <c r="P1619" s="166"/>
      <c r="Q1619" s="166"/>
      <c r="R1619" s="166"/>
      <c r="S1619" s="166"/>
      <c r="T1619" s="166"/>
      <c r="U1619" s="166"/>
      <c r="V1619" s="166"/>
      <c r="W1619" s="166"/>
      <c r="X1619" s="166"/>
      <c r="Y1619" s="166"/>
      <c r="Z1619" s="166"/>
      <c r="AA1619" s="166"/>
      <c r="AB1619" s="166"/>
      <c r="AC1619" s="166"/>
      <c r="AD1619" s="166"/>
      <c r="AE1619" s="166"/>
      <c r="AF1619" s="166"/>
      <c r="AG1619" s="166"/>
      <c r="AH1619" s="166"/>
      <c r="AI1619" s="166"/>
    </row>
    <row r="1620" spans="7:35" x14ac:dyDescent="0.25">
      <c r="G1620" s="165"/>
      <c r="H1620" s="166"/>
      <c r="I1620" s="167"/>
      <c r="J1620" s="167"/>
      <c r="K1620" s="166"/>
      <c r="L1620" s="166"/>
      <c r="M1620" s="166"/>
      <c r="N1620" s="166"/>
      <c r="O1620" s="166"/>
      <c r="P1620" s="166"/>
      <c r="Q1620" s="166"/>
      <c r="R1620" s="166"/>
      <c r="S1620" s="166"/>
      <c r="T1620" s="166"/>
      <c r="U1620" s="166"/>
      <c r="V1620" s="166"/>
      <c r="W1620" s="166"/>
      <c r="X1620" s="166"/>
      <c r="Y1620" s="166"/>
      <c r="Z1620" s="166"/>
      <c r="AA1620" s="166"/>
      <c r="AB1620" s="166"/>
      <c r="AC1620" s="166"/>
      <c r="AD1620" s="166"/>
      <c r="AE1620" s="166"/>
      <c r="AF1620" s="166"/>
      <c r="AG1620" s="166"/>
      <c r="AH1620" s="166"/>
      <c r="AI1620" s="166"/>
    </row>
    <row r="1621" spans="7:35" x14ac:dyDescent="0.25">
      <c r="G1621" s="165"/>
      <c r="H1621" s="166"/>
      <c r="I1621" s="167"/>
      <c r="J1621" s="167"/>
      <c r="K1621" s="166"/>
      <c r="L1621" s="166"/>
      <c r="M1621" s="166"/>
      <c r="N1621" s="166"/>
      <c r="O1621" s="166"/>
      <c r="P1621" s="166"/>
      <c r="Q1621" s="166"/>
      <c r="R1621" s="166"/>
      <c r="S1621" s="166"/>
      <c r="T1621" s="166"/>
      <c r="U1621" s="166"/>
      <c r="V1621" s="166"/>
      <c r="W1621" s="166"/>
      <c r="X1621" s="166"/>
      <c r="Y1621" s="166"/>
      <c r="Z1621" s="166"/>
      <c r="AA1621" s="166"/>
      <c r="AB1621" s="166"/>
      <c r="AC1621" s="166"/>
      <c r="AD1621" s="166"/>
      <c r="AE1621" s="166"/>
      <c r="AF1621" s="166"/>
      <c r="AG1621" s="166"/>
      <c r="AH1621" s="166"/>
      <c r="AI1621" s="166"/>
    </row>
    <row r="1622" spans="7:35" x14ac:dyDescent="0.25">
      <c r="G1622" s="165"/>
      <c r="H1622" s="166"/>
      <c r="I1622" s="167"/>
      <c r="J1622" s="167"/>
      <c r="K1622" s="166"/>
      <c r="L1622" s="166"/>
      <c r="M1622" s="166"/>
      <c r="N1622" s="166"/>
      <c r="O1622" s="166"/>
      <c r="P1622" s="166"/>
      <c r="Q1622" s="166"/>
      <c r="R1622" s="166"/>
      <c r="S1622" s="166"/>
      <c r="T1622" s="166"/>
      <c r="U1622" s="166"/>
      <c r="V1622" s="166"/>
      <c r="W1622" s="166"/>
      <c r="X1622" s="166"/>
      <c r="Y1622" s="166"/>
      <c r="Z1622" s="166"/>
      <c r="AA1622" s="166"/>
      <c r="AB1622" s="166"/>
      <c r="AC1622" s="166"/>
      <c r="AD1622" s="166"/>
      <c r="AE1622" s="166"/>
      <c r="AF1622" s="166"/>
      <c r="AG1622" s="166"/>
      <c r="AH1622" s="166"/>
      <c r="AI1622" s="166"/>
    </row>
    <row r="1623" spans="7:35" x14ac:dyDescent="0.25">
      <c r="G1623" s="165"/>
      <c r="H1623" s="166"/>
      <c r="I1623" s="167"/>
      <c r="J1623" s="167"/>
      <c r="K1623" s="166"/>
      <c r="L1623" s="166"/>
      <c r="M1623" s="166"/>
      <c r="N1623" s="166"/>
      <c r="O1623" s="166"/>
      <c r="P1623" s="166"/>
      <c r="Q1623" s="166"/>
      <c r="R1623" s="166"/>
      <c r="S1623" s="166"/>
      <c r="T1623" s="166"/>
      <c r="U1623" s="166"/>
      <c r="V1623" s="166"/>
      <c r="W1623" s="166"/>
      <c r="X1623" s="166"/>
      <c r="Y1623" s="166"/>
      <c r="Z1623" s="166"/>
      <c r="AA1623" s="166"/>
      <c r="AB1623" s="166"/>
      <c r="AC1623" s="166"/>
      <c r="AD1623" s="166"/>
      <c r="AE1623" s="166"/>
      <c r="AF1623" s="166"/>
      <c r="AG1623" s="166"/>
      <c r="AH1623" s="166"/>
      <c r="AI1623" s="166"/>
    </row>
    <row r="1624" spans="7:35" x14ac:dyDescent="0.25">
      <c r="G1624" s="165"/>
      <c r="H1624" s="166"/>
      <c r="I1624" s="167"/>
      <c r="J1624" s="167"/>
      <c r="K1624" s="166"/>
      <c r="L1624" s="166"/>
      <c r="M1624" s="166"/>
      <c r="N1624" s="166"/>
      <c r="O1624" s="166"/>
      <c r="P1624" s="166"/>
      <c r="Q1624" s="166"/>
      <c r="R1624" s="166"/>
      <c r="S1624" s="166"/>
      <c r="T1624" s="166"/>
      <c r="U1624" s="166"/>
      <c r="V1624" s="166"/>
      <c r="W1624" s="166"/>
      <c r="X1624" s="166"/>
      <c r="Y1624" s="166"/>
      <c r="Z1624" s="166"/>
      <c r="AA1624" s="166"/>
      <c r="AB1624" s="166"/>
      <c r="AC1624" s="166"/>
      <c r="AD1624" s="166"/>
      <c r="AE1624" s="166"/>
      <c r="AF1624" s="166"/>
      <c r="AG1624" s="166"/>
      <c r="AH1624" s="166"/>
      <c r="AI1624" s="166"/>
    </row>
    <row r="1625" spans="7:35" x14ac:dyDescent="0.25">
      <c r="G1625" s="165"/>
      <c r="H1625" s="166"/>
      <c r="I1625" s="167"/>
      <c r="J1625" s="167"/>
      <c r="K1625" s="166"/>
      <c r="L1625" s="166"/>
      <c r="M1625" s="166"/>
      <c r="N1625" s="166"/>
      <c r="O1625" s="166"/>
      <c r="P1625" s="166"/>
      <c r="Q1625" s="166"/>
      <c r="R1625" s="166"/>
      <c r="S1625" s="166"/>
      <c r="T1625" s="166"/>
      <c r="U1625" s="166"/>
      <c r="V1625" s="166"/>
      <c r="W1625" s="166"/>
      <c r="X1625" s="166"/>
      <c r="Y1625" s="166"/>
      <c r="Z1625" s="166"/>
      <c r="AA1625" s="166"/>
      <c r="AB1625" s="166"/>
      <c r="AC1625" s="166"/>
      <c r="AD1625" s="166"/>
      <c r="AE1625" s="166"/>
      <c r="AF1625" s="166"/>
      <c r="AG1625" s="166"/>
      <c r="AH1625" s="166"/>
      <c r="AI1625" s="166"/>
    </row>
    <row r="1626" spans="7:35" x14ac:dyDescent="0.25">
      <c r="G1626" s="165"/>
      <c r="H1626" s="166"/>
      <c r="I1626" s="167"/>
      <c r="J1626" s="167"/>
      <c r="K1626" s="166"/>
      <c r="L1626" s="166"/>
      <c r="M1626" s="166"/>
      <c r="N1626" s="166"/>
      <c r="O1626" s="166"/>
      <c r="P1626" s="166"/>
      <c r="Q1626" s="166"/>
      <c r="R1626" s="166"/>
      <c r="S1626" s="166"/>
      <c r="T1626" s="166"/>
      <c r="U1626" s="166"/>
      <c r="V1626" s="166"/>
      <c r="W1626" s="166"/>
      <c r="X1626" s="166"/>
      <c r="Y1626" s="166"/>
      <c r="Z1626" s="166"/>
      <c r="AA1626" s="166"/>
      <c r="AB1626" s="166"/>
      <c r="AC1626" s="166"/>
      <c r="AD1626" s="166"/>
      <c r="AE1626" s="166"/>
      <c r="AF1626" s="166"/>
      <c r="AG1626" s="166"/>
      <c r="AH1626" s="166"/>
      <c r="AI1626" s="166"/>
    </row>
    <row r="1627" spans="7:35" x14ac:dyDescent="0.25">
      <c r="G1627" s="165"/>
      <c r="H1627" s="166"/>
      <c r="I1627" s="167"/>
      <c r="J1627" s="167"/>
      <c r="K1627" s="166"/>
      <c r="L1627" s="166"/>
      <c r="M1627" s="166"/>
      <c r="N1627" s="166"/>
      <c r="O1627" s="166"/>
      <c r="P1627" s="166"/>
      <c r="Q1627" s="166"/>
      <c r="R1627" s="166"/>
      <c r="S1627" s="166"/>
      <c r="T1627" s="166"/>
      <c r="U1627" s="166"/>
      <c r="V1627" s="166"/>
      <c r="W1627" s="166"/>
      <c r="X1627" s="166"/>
      <c r="Y1627" s="166"/>
      <c r="Z1627" s="166"/>
      <c r="AA1627" s="166"/>
      <c r="AB1627" s="166"/>
      <c r="AC1627" s="166"/>
      <c r="AD1627" s="166"/>
      <c r="AE1627" s="166"/>
      <c r="AF1627" s="166"/>
      <c r="AG1627" s="166"/>
      <c r="AH1627" s="166"/>
      <c r="AI1627" s="166"/>
    </row>
    <row r="1628" spans="7:35" x14ac:dyDescent="0.25">
      <c r="G1628" s="165"/>
      <c r="H1628" s="166"/>
      <c r="I1628" s="167"/>
      <c r="J1628" s="167"/>
      <c r="K1628" s="166"/>
      <c r="L1628" s="166"/>
      <c r="M1628" s="166"/>
      <c r="N1628" s="166"/>
      <c r="O1628" s="166"/>
      <c r="P1628" s="166"/>
      <c r="Q1628" s="166"/>
      <c r="R1628" s="166"/>
      <c r="S1628" s="166"/>
      <c r="T1628" s="166"/>
      <c r="U1628" s="166"/>
      <c r="V1628" s="166"/>
      <c r="W1628" s="166"/>
      <c r="X1628" s="166"/>
      <c r="Y1628" s="166"/>
      <c r="Z1628" s="166"/>
      <c r="AA1628" s="166"/>
      <c r="AB1628" s="166"/>
      <c r="AC1628" s="166"/>
      <c r="AD1628" s="166"/>
      <c r="AE1628" s="166"/>
      <c r="AF1628" s="166"/>
      <c r="AG1628" s="166"/>
      <c r="AH1628" s="166"/>
      <c r="AI1628" s="166"/>
    </row>
    <row r="1629" spans="7:35" x14ac:dyDescent="0.25">
      <c r="G1629" s="165"/>
      <c r="H1629" s="166"/>
      <c r="I1629" s="167"/>
      <c r="J1629" s="167"/>
      <c r="K1629" s="166"/>
      <c r="L1629" s="166"/>
      <c r="M1629" s="166"/>
      <c r="N1629" s="166"/>
      <c r="O1629" s="166"/>
      <c r="P1629" s="166"/>
      <c r="Q1629" s="166"/>
      <c r="R1629" s="166"/>
      <c r="S1629" s="166"/>
      <c r="T1629" s="166"/>
      <c r="U1629" s="166"/>
      <c r="V1629" s="166"/>
      <c r="W1629" s="166"/>
      <c r="X1629" s="166"/>
      <c r="Y1629" s="166"/>
      <c r="Z1629" s="166"/>
      <c r="AA1629" s="166"/>
      <c r="AB1629" s="166"/>
      <c r="AC1629" s="166"/>
      <c r="AD1629" s="166"/>
      <c r="AE1629" s="166"/>
      <c r="AF1629" s="166"/>
      <c r="AG1629" s="166"/>
      <c r="AH1629" s="166"/>
      <c r="AI1629" s="166"/>
    </row>
    <row r="1630" spans="7:35" x14ac:dyDescent="0.25">
      <c r="G1630" s="165"/>
      <c r="H1630" s="166"/>
      <c r="I1630" s="167"/>
      <c r="J1630" s="167"/>
      <c r="K1630" s="166"/>
      <c r="L1630" s="166"/>
      <c r="M1630" s="166"/>
      <c r="N1630" s="166"/>
      <c r="O1630" s="166"/>
      <c r="P1630" s="166"/>
      <c r="Q1630" s="166"/>
      <c r="R1630" s="166"/>
      <c r="S1630" s="166"/>
      <c r="T1630" s="166"/>
      <c r="U1630" s="166"/>
      <c r="V1630" s="166"/>
      <c r="W1630" s="166"/>
      <c r="X1630" s="166"/>
      <c r="Y1630" s="166"/>
      <c r="Z1630" s="166"/>
      <c r="AA1630" s="166"/>
      <c r="AB1630" s="166"/>
      <c r="AC1630" s="166"/>
      <c r="AD1630" s="166"/>
      <c r="AE1630" s="166"/>
      <c r="AF1630" s="166"/>
      <c r="AG1630" s="166"/>
      <c r="AH1630" s="166"/>
      <c r="AI1630" s="166"/>
    </row>
    <row r="1631" spans="7:35" x14ac:dyDescent="0.25">
      <c r="G1631" s="165"/>
      <c r="H1631" s="166"/>
      <c r="I1631" s="167"/>
      <c r="J1631" s="167"/>
      <c r="K1631" s="166"/>
      <c r="L1631" s="166"/>
      <c r="M1631" s="166"/>
      <c r="N1631" s="166"/>
      <c r="O1631" s="166"/>
      <c r="P1631" s="166"/>
      <c r="Q1631" s="166"/>
      <c r="R1631" s="166"/>
      <c r="S1631" s="166"/>
      <c r="T1631" s="166"/>
      <c r="U1631" s="166"/>
      <c r="V1631" s="166"/>
      <c r="W1631" s="166"/>
      <c r="X1631" s="166"/>
      <c r="Y1631" s="166"/>
      <c r="Z1631" s="166"/>
      <c r="AA1631" s="166"/>
      <c r="AB1631" s="166"/>
      <c r="AC1631" s="166"/>
      <c r="AD1631" s="166"/>
      <c r="AE1631" s="166"/>
      <c r="AF1631" s="166"/>
      <c r="AG1631" s="166"/>
      <c r="AH1631" s="166"/>
      <c r="AI1631" s="166"/>
    </row>
    <row r="1632" spans="7:35" x14ac:dyDescent="0.25">
      <c r="G1632" s="165"/>
      <c r="H1632" s="166"/>
      <c r="I1632" s="167"/>
      <c r="J1632" s="167"/>
      <c r="K1632" s="166"/>
      <c r="L1632" s="166"/>
      <c r="M1632" s="166"/>
      <c r="N1632" s="166"/>
      <c r="O1632" s="166"/>
      <c r="P1632" s="166"/>
      <c r="Q1632" s="166"/>
      <c r="R1632" s="166"/>
      <c r="S1632" s="166"/>
      <c r="T1632" s="166"/>
      <c r="U1632" s="166"/>
      <c r="V1632" s="166"/>
      <c r="W1632" s="166"/>
      <c r="X1632" s="166"/>
      <c r="Y1632" s="166"/>
      <c r="Z1632" s="166"/>
      <c r="AA1632" s="166"/>
      <c r="AB1632" s="166"/>
      <c r="AC1632" s="166"/>
      <c r="AD1632" s="166"/>
      <c r="AE1632" s="166"/>
      <c r="AF1632" s="166"/>
      <c r="AG1632" s="166"/>
      <c r="AH1632" s="166"/>
      <c r="AI1632" s="166"/>
    </row>
    <row r="1633" spans="7:35" x14ac:dyDescent="0.25">
      <c r="G1633" s="165"/>
      <c r="H1633" s="166"/>
      <c r="I1633" s="167"/>
      <c r="J1633" s="167"/>
      <c r="K1633" s="166"/>
      <c r="L1633" s="166"/>
      <c r="M1633" s="166"/>
      <c r="N1633" s="166"/>
      <c r="O1633" s="166"/>
      <c r="P1633" s="166"/>
      <c r="Q1633" s="166"/>
      <c r="R1633" s="166"/>
      <c r="S1633" s="166"/>
      <c r="T1633" s="166"/>
      <c r="U1633" s="166"/>
      <c r="V1633" s="166"/>
      <c r="W1633" s="166"/>
      <c r="X1633" s="166"/>
      <c r="Y1633" s="166"/>
      <c r="Z1633" s="166"/>
      <c r="AA1633" s="166"/>
      <c r="AB1633" s="166"/>
      <c r="AC1633" s="166"/>
      <c r="AD1633" s="166"/>
      <c r="AE1633" s="166"/>
      <c r="AF1633" s="166"/>
      <c r="AG1633" s="166"/>
      <c r="AH1633" s="166"/>
      <c r="AI1633" s="166"/>
    </row>
    <row r="1634" spans="7:35" x14ac:dyDescent="0.25">
      <c r="G1634" s="165"/>
      <c r="H1634" s="166"/>
      <c r="I1634" s="167"/>
      <c r="J1634" s="167"/>
      <c r="K1634" s="166"/>
      <c r="L1634" s="166"/>
      <c r="M1634" s="166"/>
      <c r="N1634" s="166"/>
      <c r="O1634" s="166"/>
      <c r="P1634" s="166"/>
      <c r="Q1634" s="166"/>
      <c r="R1634" s="166"/>
      <c r="S1634" s="166"/>
      <c r="T1634" s="166"/>
      <c r="U1634" s="166"/>
      <c r="V1634" s="166"/>
      <c r="W1634" s="166"/>
      <c r="X1634" s="166"/>
      <c r="Y1634" s="166"/>
      <c r="Z1634" s="166"/>
      <c r="AA1634" s="166"/>
      <c r="AB1634" s="166"/>
      <c r="AC1634" s="166"/>
      <c r="AD1634" s="166"/>
      <c r="AE1634" s="166"/>
      <c r="AF1634" s="166"/>
      <c r="AG1634" s="166"/>
      <c r="AH1634" s="166"/>
      <c r="AI1634" s="166"/>
    </row>
    <row r="1635" spans="7:35" x14ac:dyDescent="0.25">
      <c r="G1635" s="165"/>
      <c r="H1635" s="166"/>
      <c r="I1635" s="167"/>
      <c r="J1635" s="167"/>
      <c r="K1635" s="166"/>
      <c r="L1635" s="166"/>
      <c r="M1635" s="166"/>
      <c r="N1635" s="166"/>
      <c r="O1635" s="166"/>
      <c r="P1635" s="166"/>
      <c r="Q1635" s="166"/>
      <c r="R1635" s="166"/>
      <c r="S1635" s="166"/>
      <c r="T1635" s="166"/>
      <c r="U1635" s="166"/>
      <c r="V1635" s="166"/>
      <c r="W1635" s="166"/>
      <c r="X1635" s="166"/>
      <c r="Y1635" s="166"/>
      <c r="Z1635" s="166"/>
      <c r="AA1635" s="166"/>
      <c r="AB1635" s="166"/>
      <c r="AC1635" s="166"/>
      <c r="AD1635" s="166"/>
      <c r="AE1635" s="166"/>
      <c r="AF1635" s="166"/>
      <c r="AG1635" s="166"/>
      <c r="AH1635" s="166"/>
      <c r="AI1635" s="166"/>
    </row>
    <row r="1636" spans="7:35" x14ac:dyDescent="0.25">
      <c r="G1636" s="165"/>
      <c r="H1636" s="166"/>
      <c r="I1636" s="167"/>
      <c r="J1636" s="167"/>
      <c r="K1636" s="166"/>
      <c r="L1636" s="166"/>
      <c r="M1636" s="166"/>
      <c r="N1636" s="166"/>
      <c r="O1636" s="166"/>
      <c r="P1636" s="166"/>
      <c r="Q1636" s="166"/>
      <c r="R1636" s="166"/>
      <c r="S1636" s="166"/>
      <c r="T1636" s="166"/>
      <c r="U1636" s="166"/>
      <c r="V1636" s="166"/>
      <c r="W1636" s="166"/>
      <c r="X1636" s="166"/>
      <c r="Y1636" s="166"/>
      <c r="Z1636" s="166"/>
      <c r="AA1636" s="166"/>
      <c r="AB1636" s="166"/>
      <c r="AC1636" s="166"/>
      <c r="AD1636" s="166"/>
      <c r="AE1636" s="166"/>
      <c r="AF1636" s="166"/>
      <c r="AG1636" s="166"/>
      <c r="AH1636" s="166"/>
      <c r="AI1636" s="166"/>
    </row>
    <row r="1637" spans="7:35" x14ac:dyDescent="0.25">
      <c r="G1637" s="165"/>
      <c r="H1637" s="166"/>
      <c r="I1637" s="167"/>
      <c r="J1637" s="167"/>
      <c r="K1637" s="166"/>
      <c r="L1637" s="166"/>
      <c r="M1637" s="166"/>
      <c r="N1637" s="166"/>
      <c r="O1637" s="166"/>
      <c r="P1637" s="166"/>
      <c r="Q1637" s="166"/>
      <c r="R1637" s="166"/>
      <c r="S1637" s="166"/>
      <c r="T1637" s="166"/>
      <c r="U1637" s="166"/>
      <c r="V1637" s="166"/>
      <c r="W1637" s="166"/>
      <c r="X1637" s="166"/>
      <c r="Y1637" s="166"/>
      <c r="Z1637" s="166"/>
      <c r="AA1637" s="166"/>
      <c r="AB1637" s="166"/>
      <c r="AC1637" s="166"/>
      <c r="AD1637" s="166"/>
      <c r="AE1637" s="166"/>
      <c r="AF1637" s="166"/>
      <c r="AG1637" s="166"/>
      <c r="AH1637" s="166"/>
      <c r="AI1637" s="166"/>
    </row>
    <row r="1638" spans="7:35" x14ac:dyDescent="0.25">
      <c r="G1638" s="165"/>
      <c r="H1638" s="166"/>
      <c r="I1638" s="167"/>
      <c r="J1638" s="167"/>
      <c r="K1638" s="166"/>
      <c r="L1638" s="166"/>
      <c r="M1638" s="166"/>
      <c r="N1638" s="166"/>
      <c r="O1638" s="166"/>
      <c r="P1638" s="166"/>
      <c r="Q1638" s="166"/>
      <c r="R1638" s="166"/>
      <c r="S1638" s="166"/>
      <c r="T1638" s="166"/>
      <c r="U1638" s="166"/>
      <c r="V1638" s="166"/>
      <c r="W1638" s="166"/>
      <c r="X1638" s="166"/>
      <c r="Y1638" s="166"/>
      <c r="Z1638" s="166"/>
      <c r="AA1638" s="166"/>
      <c r="AB1638" s="166"/>
      <c r="AC1638" s="166"/>
      <c r="AD1638" s="166"/>
      <c r="AE1638" s="166"/>
      <c r="AF1638" s="166"/>
      <c r="AG1638" s="166"/>
      <c r="AH1638" s="166"/>
      <c r="AI1638" s="166"/>
    </row>
    <row r="1639" spans="7:35" x14ac:dyDescent="0.25">
      <c r="G1639" s="165"/>
      <c r="H1639" s="166"/>
      <c r="I1639" s="167"/>
      <c r="J1639" s="167"/>
      <c r="K1639" s="166"/>
      <c r="L1639" s="166"/>
      <c r="M1639" s="166"/>
      <c r="N1639" s="166"/>
      <c r="O1639" s="166"/>
      <c r="P1639" s="166"/>
      <c r="Q1639" s="166"/>
      <c r="R1639" s="166"/>
      <c r="S1639" s="166"/>
      <c r="T1639" s="166"/>
      <c r="U1639" s="166"/>
      <c r="V1639" s="166"/>
      <c r="W1639" s="166"/>
      <c r="X1639" s="166"/>
      <c r="Y1639" s="166"/>
      <c r="Z1639" s="166"/>
      <c r="AA1639" s="166"/>
      <c r="AB1639" s="166"/>
      <c r="AC1639" s="166"/>
      <c r="AD1639" s="166"/>
      <c r="AE1639" s="166"/>
      <c r="AF1639" s="166"/>
      <c r="AG1639" s="166"/>
      <c r="AH1639" s="166"/>
      <c r="AI1639" s="166"/>
    </row>
    <row r="1640" spans="7:35" x14ac:dyDescent="0.25">
      <c r="G1640" s="165"/>
      <c r="H1640" s="166"/>
      <c r="I1640" s="167"/>
      <c r="J1640" s="167"/>
      <c r="K1640" s="166"/>
      <c r="L1640" s="166"/>
      <c r="M1640" s="166"/>
      <c r="N1640" s="166"/>
      <c r="O1640" s="166"/>
      <c r="P1640" s="166"/>
      <c r="Q1640" s="166"/>
      <c r="R1640" s="166"/>
      <c r="S1640" s="166"/>
      <c r="T1640" s="166"/>
      <c r="U1640" s="166"/>
      <c r="V1640" s="166"/>
      <c r="W1640" s="166"/>
      <c r="X1640" s="166"/>
      <c r="Y1640" s="166"/>
      <c r="Z1640" s="166"/>
      <c r="AA1640" s="166"/>
      <c r="AB1640" s="166"/>
      <c r="AC1640" s="166"/>
      <c r="AD1640" s="166"/>
      <c r="AE1640" s="166"/>
      <c r="AF1640" s="166"/>
      <c r="AG1640" s="166"/>
      <c r="AH1640" s="166"/>
      <c r="AI1640" s="166"/>
    </row>
    <row r="1641" spans="7:35" x14ac:dyDescent="0.25">
      <c r="G1641" s="165"/>
      <c r="H1641" s="166"/>
      <c r="I1641" s="167"/>
      <c r="J1641" s="167"/>
      <c r="K1641" s="166"/>
      <c r="L1641" s="166"/>
      <c r="M1641" s="166"/>
      <c r="N1641" s="166"/>
      <c r="O1641" s="166"/>
      <c r="P1641" s="166"/>
      <c r="Q1641" s="166"/>
      <c r="R1641" s="166"/>
      <c r="S1641" s="166"/>
      <c r="T1641" s="166"/>
      <c r="U1641" s="166"/>
      <c r="V1641" s="166"/>
      <c r="W1641" s="166"/>
      <c r="X1641" s="166"/>
      <c r="Y1641" s="166"/>
      <c r="Z1641" s="166"/>
      <c r="AA1641" s="166"/>
      <c r="AB1641" s="166"/>
      <c r="AC1641" s="166"/>
      <c r="AD1641" s="166"/>
      <c r="AE1641" s="166"/>
      <c r="AF1641" s="166"/>
      <c r="AG1641" s="166"/>
      <c r="AH1641" s="166"/>
      <c r="AI1641" s="166"/>
    </row>
    <row r="1642" spans="7:35" x14ac:dyDescent="0.25">
      <c r="G1642" s="165"/>
      <c r="H1642" s="166"/>
      <c r="I1642" s="167"/>
      <c r="J1642" s="167"/>
      <c r="K1642" s="166"/>
      <c r="L1642" s="166"/>
      <c r="M1642" s="166"/>
      <c r="N1642" s="166"/>
      <c r="O1642" s="166"/>
      <c r="P1642" s="166"/>
      <c r="Q1642" s="166"/>
      <c r="R1642" s="166"/>
      <c r="S1642" s="166"/>
      <c r="T1642" s="166"/>
      <c r="U1642" s="166"/>
      <c r="V1642" s="166"/>
      <c r="W1642" s="166"/>
      <c r="X1642" s="166"/>
      <c r="Y1642" s="166"/>
      <c r="Z1642" s="166"/>
      <c r="AA1642" s="166"/>
      <c r="AB1642" s="166"/>
      <c r="AC1642" s="166"/>
      <c r="AD1642" s="166"/>
      <c r="AE1642" s="166"/>
      <c r="AF1642" s="166"/>
      <c r="AG1642" s="166"/>
      <c r="AH1642" s="166"/>
      <c r="AI1642" s="166"/>
    </row>
    <row r="1643" spans="7:35" x14ac:dyDescent="0.25">
      <c r="G1643" s="165"/>
      <c r="H1643" s="166"/>
      <c r="I1643" s="167"/>
      <c r="J1643" s="167"/>
      <c r="K1643" s="166"/>
      <c r="L1643" s="166"/>
      <c r="M1643" s="166"/>
      <c r="N1643" s="166"/>
      <c r="O1643" s="166"/>
      <c r="P1643" s="166"/>
      <c r="Q1643" s="166"/>
      <c r="R1643" s="166"/>
      <c r="S1643" s="166"/>
      <c r="T1643" s="166"/>
      <c r="U1643" s="166"/>
      <c r="V1643" s="166"/>
      <c r="W1643" s="166"/>
      <c r="X1643" s="166"/>
      <c r="Y1643" s="166"/>
      <c r="Z1643" s="166"/>
      <c r="AA1643" s="166"/>
      <c r="AB1643" s="166"/>
      <c r="AC1643" s="166"/>
      <c r="AD1643" s="166"/>
      <c r="AE1643" s="166"/>
      <c r="AF1643" s="166"/>
      <c r="AG1643" s="166"/>
      <c r="AH1643" s="166"/>
      <c r="AI1643" s="166"/>
    </row>
    <row r="1644" spans="7:35" x14ac:dyDescent="0.25">
      <c r="G1644" s="165"/>
      <c r="H1644" s="166"/>
      <c r="I1644" s="167"/>
      <c r="J1644" s="167"/>
      <c r="K1644" s="166"/>
      <c r="L1644" s="166"/>
      <c r="M1644" s="166"/>
      <c r="N1644" s="166"/>
      <c r="O1644" s="166"/>
      <c r="P1644" s="166"/>
      <c r="Q1644" s="166"/>
      <c r="R1644" s="166"/>
      <c r="S1644" s="166"/>
      <c r="T1644" s="166"/>
      <c r="U1644" s="166"/>
      <c r="V1644" s="166"/>
      <c r="W1644" s="166"/>
      <c r="X1644" s="166"/>
      <c r="Y1644" s="166"/>
      <c r="Z1644" s="166"/>
      <c r="AA1644" s="166"/>
      <c r="AB1644" s="166"/>
      <c r="AC1644" s="166"/>
      <c r="AD1644" s="166"/>
      <c r="AE1644" s="166"/>
      <c r="AF1644" s="166"/>
      <c r="AG1644" s="166"/>
      <c r="AH1644" s="166"/>
      <c r="AI1644" s="166"/>
    </row>
    <row r="1645" spans="7:35" x14ac:dyDescent="0.25">
      <c r="G1645" s="165"/>
      <c r="H1645" s="166"/>
      <c r="I1645" s="167"/>
      <c r="J1645" s="167"/>
      <c r="K1645" s="166"/>
      <c r="L1645" s="166"/>
      <c r="M1645" s="166"/>
      <c r="N1645" s="166"/>
      <c r="O1645" s="166"/>
      <c r="P1645" s="166"/>
      <c r="Q1645" s="166"/>
      <c r="R1645" s="166"/>
      <c r="S1645" s="166"/>
      <c r="T1645" s="166"/>
      <c r="U1645" s="166"/>
      <c r="V1645" s="166"/>
      <c r="W1645" s="166"/>
      <c r="X1645" s="166"/>
      <c r="Y1645" s="166"/>
      <c r="Z1645" s="166"/>
      <c r="AA1645" s="166"/>
      <c r="AB1645" s="166"/>
      <c r="AC1645" s="166"/>
      <c r="AD1645" s="166"/>
      <c r="AE1645" s="166"/>
      <c r="AF1645" s="166"/>
      <c r="AG1645" s="166"/>
      <c r="AH1645" s="166"/>
      <c r="AI1645" s="166"/>
    </row>
    <row r="1646" spans="7:35" x14ac:dyDescent="0.25">
      <c r="G1646" s="165"/>
      <c r="H1646" s="166"/>
      <c r="I1646" s="167"/>
      <c r="J1646" s="167"/>
      <c r="K1646" s="166"/>
      <c r="L1646" s="166"/>
      <c r="M1646" s="166"/>
      <c r="N1646" s="166"/>
      <c r="O1646" s="166"/>
      <c r="P1646" s="166"/>
      <c r="Q1646" s="166"/>
      <c r="R1646" s="166"/>
      <c r="S1646" s="166"/>
      <c r="T1646" s="166"/>
      <c r="U1646" s="166"/>
      <c r="V1646" s="166"/>
      <c r="W1646" s="166"/>
      <c r="X1646" s="166"/>
      <c r="Y1646" s="166"/>
      <c r="Z1646" s="166"/>
      <c r="AA1646" s="166"/>
      <c r="AB1646" s="166"/>
      <c r="AC1646" s="166"/>
      <c r="AD1646" s="166"/>
      <c r="AE1646" s="166"/>
      <c r="AF1646" s="166"/>
      <c r="AG1646" s="166"/>
      <c r="AH1646" s="166"/>
      <c r="AI1646" s="166"/>
    </row>
    <row r="1647" spans="7:35" x14ac:dyDescent="0.25">
      <c r="G1647" s="165"/>
      <c r="H1647" s="166"/>
      <c r="I1647" s="167"/>
      <c r="J1647" s="167"/>
      <c r="K1647" s="166"/>
      <c r="L1647" s="166"/>
      <c r="M1647" s="166"/>
      <c r="N1647" s="166"/>
      <c r="O1647" s="166"/>
      <c r="P1647" s="166"/>
      <c r="Q1647" s="166"/>
      <c r="R1647" s="166"/>
      <c r="S1647" s="166"/>
      <c r="T1647" s="166"/>
      <c r="U1647" s="166"/>
      <c r="V1647" s="166"/>
      <c r="W1647" s="166"/>
      <c r="X1647" s="166"/>
      <c r="Y1647" s="166"/>
      <c r="Z1647" s="166"/>
      <c r="AA1647" s="166"/>
      <c r="AB1647" s="166"/>
      <c r="AC1647" s="166"/>
      <c r="AD1647" s="166"/>
      <c r="AE1647" s="166"/>
      <c r="AF1647" s="166"/>
      <c r="AG1647" s="166"/>
      <c r="AH1647" s="166"/>
      <c r="AI1647" s="166"/>
    </row>
    <row r="1648" spans="7:35" x14ac:dyDescent="0.25">
      <c r="G1648" s="165"/>
      <c r="H1648" s="166"/>
      <c r="I1648" s="167"/>
      <c r="J1648" s="167"/>
      <c r="K1648" s="166"/>
      <c r="L1648" s="166"/>
      <c r="M1648" s="166"/>
      <c r="N1648" s="166"/>
      <c r="O1648" s="166"/>
      <c r="P1648" s="166"/>
      <c r="Q1648" s="166"/>
      <c r="R1648" s="166"/>
      <c r="S1648" s="166"/>
      <c r="T1648" s="166"/>
      <c r="U1648" s="166"/>
      <c r="V1648" s="166"/>
      <c r="W1648" s="166"/>
      <c r="X1648" s="166"/>
      <c r="Y1648" s="166"/>
      <c r="Z1648" s="166"/>
      <c r="AA1648" s="166"/>
      <c r="AB1648" s="166"/>
      <c r="AC1648" s="166"/>
      <c r="AD1648" s="166"/>
      <c r="AE1648" s="166"/>
      <c r="AF1648" s="166"/>
      <c r="AG1648" s="166"/>
      <c r="AH1648" s="166"/>
      <c r="AI1648" s="166"/>
    </row>
    <row r="1649" spans="7:35" x14ac:dyDescent="0.25">
      <c r="G1649" s="165"/>
      <c r="H1649" s="166"/>
      <c r="I1649" s="167"/>
      <c r="J1649" s="167"/>
      <c r="K1649" s="166"/>
      <c r="L1649" s="166"/>
      <c r="M1649" s="166"/>
      <c r="N1649" s="166"/>
      <c r="O1649" s="166"/>
      <c r="P1649" s="166"/>
      <c r="Q1649" s="166"/>
      <c r="R1649" s="166"/>
      <c r="S1649" s="166"/>
      <c r="T1649" s="166"/>
      <c r="U1649" s="166"/>
      <c r="V1649" s="166"/>
      <c r="W1649" s="166"/>
      <c r="X1649" s="166"/>
      <c r="Y1649" s="166"/>
      <c r="Z1649" s="166"/>
      <c r="AA1649" s="166"/>
      <c r="AB1649" s="166"/>
      <c r="AC1649" s="166"/>
      <c r="AD1649" s="166"/>
      <c r="AE1649" s="166"/>
      <c r="AF1649" s="166"/>
      <c r="AG1649" s="166"/>
      <c r="AH1649" s="166"/>
      <c r="AI1649" s="166"/>
    </row>
    <row r="1650" spans="7:35" x14ac:dyDescent="0.25">
      <c r="G1650" s="165"/>
      <c r="H1650" s="166"/>
      <c r="I1650" s="167"/>
      <c r="J1650" s="167"/>
      <c r="K1650" s="166"/>
      <c r="L1650" s="166"/>
      <c r="M1650" s="166"/>
      <c r="N1650" s="166"/>
      <c r="O1650" s="166"/>
      <c r="P1650" s="166"/>
      <c r="Q1650" s="166"/>
      <c r="R1650" s="166"/>
      <c r="S1650" s="166"/>
      <c r="T1650" s="166"/>
      <c r="U1650" s="166"/>
      <c r="V1650" s="166"/>
      <c r="W1650" s="166"/>
      <c r="X1650" s="166"/>
      <c r="Y1650" s="166"/>
      <c r="Z1650" s="166"/>
      <c r="AA1650" s="166"/>
      <c r="AB1650" s="166"/>
      <c r="AC1650" s="166"/>
      <c r="AD1650" s="166"/>
      <c r="AE1650" s="166"/>
      <c r="AF1650" s="166"/>
      <c r="AG1650" s="166"/>
      <c r="AH1650" s="166"/>
      <c r="AI1650" s="166"/>
    </row>
    <row r="1651" spans="7:35" x14ac:dyDescent="0.25">
      <c r="G1651" s="165"/>
      <c r="H1651" s="166"/>
      <c r="I1651" s="167"/>
      <c r="J1651" s="167"/>
      <c r="K1651" s="166"/>
      <c r="L1651" s="166"/>
      <c r="M1651" s="166"/>
      <c r="N1651" s="166"/>
      <c r="O1651" s="166"/>
      <c r="P1651" s="166"/>
      <c r="Q1651" s="166"/>
      <c r="R1651" s="166"/>
      <c r="S1651" s="166"/>
      <c r="T1651" s="166"/>
      <c r="U1651" s="166"/>
      <c r="V1651" s="166"/>
      <c r="W1651" s="166"/>
      <c r="X1651" s="166"/>
      <c r="Y1651" s="166"/>
      <c r="Z1651" s="166"/>
      <c r="AA1651" s="166"/>
      <c r="AB1651" s="166"/>
      <c r="AC1651" s="166"/>
      <c r="AD1651" s="166"/>
      <c r="AE1651" s="166"/>
      <c r="AF1651" s="166"/>
      <c r="AG1651" s="166"/>
      <c r="AH1651" s="166"/>
      <c r="AI1651" s="166"/>
    </row>
    <row r="1652" spans="7:35" x14ac:dyDescent="0.25">
      <c r="G1652" s="165"/>
      <c r="H1652" s="166"/>
      <c r="I1652" s="167"/>
      <c r="J1652" s="167"/>
      <c r="K1652" s="166"/>
      <c r="L1652" s="166"/>
      <c r="M1652" s="166"/>
      <c r="N1652" s="166"/>
      <c r="O1652" s="166"/>
      <c r="P1652" s="166"/>
      <c r="Q1652" s="166"/>
      <c r="R1652" s="166"/>
      <c r="S1652" s="166"/>
      <c r="T1652" s="166"/>
      <c r="U1652" s="166"/>
      <c r="V1652" s="166"/>
      <c r="W1652" s="166"/>
      <c r="X1652" s="166"/>
      <c r="Y1652" s="166"/>
      <c r="Z1652" s="166"/>
      <c r="AA1652" s="166"/>
      <c r="AB1652" s="166"/>
      <c r="AC1652" s="166"/>
      <c r="AD1652" s="166"/>
      <c r="AE1652" s="166"/>
      <c r="AF1652" s="166"/>
      <c r="AG1652" s="166"/>
      <c r="AH1652" s="166"/>
      <c r="AI1652" s="166"/>
    </row>
    <row r="1653" spans="7:35" x14ac:dyDescent="0.25">
      <c r="G1653" s="165"/>
      <c r="H1653" s="166"/>
      <c r="I1653" s="167"/>
      <c r="J1653" s="167"/>
      <c r="K1653" s="166"/>
      <c r="L1653" s="166"/>
      <c r="M1653" s="166"/>
      <c r="N1653" s="166"/>
      <c r="O1653" s="166"/>
      <c r="P1653" s="166"/>
      <c r="Q1653" s="166"/>
      <c r="R1653" s="166"/>
      <c r="S1653" s="166"/>
      <c r="T1653" s="166"/>
      <c r="U1653" s="166"/>
      <c r="V1653" s="166"/>
      <c r="W1653" s="166"/>
      <c r="X1653" s="166"/>
      <c r="Y1653" s="166"/>
      <c r="Z1653" s="166"/>
      <c r="AA1653" s="166"/>
      <c r="AB1653" s="166"/>
      <c r="AC1653" s="166"/>
      <c r="AD1653" s="166"/>
      <c r="AE1653" s="166"/>
      <c r="AF1653" s="166"/>
      <c r="AG1653" s="166"/>
      <c r="AH1653" s="166"/>
      <c r="AI1653" s="166"/>
    </row>
    <row r="1654" spans="7:35" x14ac:dyDescent="0.25">
      <c r="G1654" s="165"/>
      <c r="H1654" s="166"/>
      <c r="I1654" s="167"/>
      <c r="J1654" s="167"/>
      <c r="K1654" s="166"/>
      <c r="L1654" s="166"/>
      <c r="M1654" s="166"/>
      <c r="N1654" s="166"/>
      <c r="O1654" s="166"/>
      <c r="P1654" s="166"/>
      <c r="Q1654" s="166"/>
      <c r="R1654" s="166"/>
      <c r="S1654" s="166"/>
      <c r="T1654" s="166"/>
      <c r="U1654" s="166"/>
      <c r="V1654" s="166"/>
      <c r="W1654" s="166"/>
      <c r="X1654" s="166"/>
      <c r="Y1654" s="166"/>
      <c r="Z1654" s="166"/>
      <c r="AA1654" s="166"/>
      <c r="AB1654" s="166"/>
      <c r="AC1654" s="166"/>
      <c r="AD1654" s="166"/>
      <c r="AE1654" s="166"/>
      <c r="AF1654" s="166"/>
      <c r="AG1654" s="166"/>
      <c r="AH1654" s="166"/>
      <c r="AI1654" s="166"/>
    </row>
    <row r="1655" spans="7:35" x14ac:dyDescent="0.25">
      <c r="G1655" s="165"/>
      <c r="H1655" s="166"/>
      <c r="I1655" s="167"/>
      <c r="J1655" s="167"/>
      <c r="K1655" s="166"/>
      <c r="L1655" s="166"/>
      <c r="M1655" s="166"/>
      <c r="N1655" s="166"/>
      <c r="O1655" s="166"/>
      <c r="P1655" s="166"/>
      <c r="Q1655" s="166"/>
      <c r="R1655" s="166"/>
      <c r="S1655" s="166"/>
      <c r="T1655" s="166"/>
      <c r="U1655" s="166"/>
      <c r="V1655" s="166"/>
      <c r="W1655" s="166"/>
      <c r="X1655" s="166"/>
      <c r="Y1655" s="166"/>
      <c r="Z1655" s="166"/>
      <c r="AA1655" s="166"/>
      <c r="AB1655" s="166"/>
      <c r="AC1655" s="166"/>
      <c r="AD1655" s="166"/>
      <c r="AE1655" s="166"/>
      <c r="AF1655" s="166"/>
      <c r="AG1655" s="166"/>
      <c r="AH1655" s="166"/>
      <c r="AI1655" s="166"/>
    </row>
    <row r="1656" spans="7:35" x14ac:dyDescent="0.25">
      <c r="G1656" s="165"/>
      <c r="H1656" s="166"/>
      <c r="I1656" s="167"/>
      <c r="J1656" s="167"/>
      <c r="K1656" s="166"/>
      <c r="L1656" s="166"/>
      <c r="M1656" s="166"/>
      <c r="N1656" s="166"/>
      <c r="O1656" s="166"/>
      <c r="P1656" s="166"/>
      <c r="Q1656" s="166"/>
      <c r="R1656" s="166"/>
      <c r="S1656" s="166"/>
      <c r="T1656" s="166"/>
      <c r="U1656" s="166"/>
      <c r="V1656" s="166"/>
      <c r="W1656" s="166"/>
      <c r="X1656" s="166"/>
      <c r="Y1656" s="166"/>
      <c r="Z1656" s="166"/>
      <c r="AA1656" s="166"/>
      <c r="AB1656" s="166"/>
      <c r="AC1656" s="166"/>
      <c r="AD1656" s="166"/>
      <c r="AE1656" s="166"/>
      <c r="AF1656" s="166"/>
      <c r="AG1656" s="166"/>
      <c r="AH1656" s="166"/>
      <c r="AI1656" s="166"/>
    </row>
    <row r="1657" spans="7:35" x14ac:dyDescent="0.25">
      <c r="G1657" s="165"/>
      <c r="H1657" s="166"/>
      <c r="I1657" s="167"/>
      <c r="J1657" s="167"/>
      <c r="K1657" s="166"/>
      <c r="L1657" s="166"/>
      <c r="M1657" s="166"/>
      <c r="N1657" s="166"/>
      <c r="O1657" s="166"/>
      <c r="P1657" s="166"/>
      <c r="Q1657" s="166"/>
      <c r="R1657" s="166"/>
      <c r="S1657" s="166"/>
      <c r="T1657" s="166"/>
      <c r="U1657" s="166"/>
      <c r="V1657" s="166"/>
      <c r="W1657" s="166"/>
      <c r="X1657" s="166"/>
      <c r="Y1657" s="166"/>
      <c r="Z1657" s="166"/>
      <c r="AA1657" s="166"/>
      <c r="AB1657" s="166"/>
      <c r="AC1657" s="166"/>
      <c r="AD1657" s="166"/>
      <c r="AE1657" s="166"/>
      <c r="AF1657" s="166"/>
      <c r="AG1657" s="166"/>
      <c r="AH1657" s="166"/>
      <c r="AI1657" s="166"/>
    </row>
    <row r="1658" spans="7:35" x14ac:dyDescent="0.25">
      <c r="G1658" s="165"/>
      <c r="H1658" s="166"/>
      <c r="I1658" s="167"/>
      <c r="J1658" s="167"/>
      <c r="K1658" s="166"/>
      <c r="L1658" s="166"/>
      <c r="M1658" s="166"/>
      <c r="N1658" s="166"/>
      <c r="O1658" s="166"/>
      <c r="P1658" s="166"/>
      <c r="Q1658" s="166"/>
      <c r="R1658" s="166"/>
      <c r="S1658" s="166"/>
      <c r="T1658" s="166"/>
      <c r="U1658" s="166"/>
      <c r="V1658" s="166"/>
      <c r="W1658" s="166"/>
      <c r="X1658" s="166"/>
      <c r="Y1658" s="166"/>
      <c r="Z1658" s="166"/>
      <c r="AA1658" s="166"/>
      <c r="AB1658" s="166"/>
      <c r="AC1658" s="166"/>
      <c r="AD1658" s="166"/>
      <c r="AE1658" s="166"/>
      <c r="AF1658" s="166"/>
      <c r="AG1658" s="166"/>
      <c r="AH1658" s="166"/>
      <c r="AI1658" s="166"/>
    </row>
    <row r="1659" spans="7:35" x14ac:dyDescent="0.25">
      <c r="G1659" s="165"/>
      <c r="H1659" s="166"/>
      <c r="I1659" s="167"/>
      <c r="J1659" s="167"/>
      <c r="K1659" s="166"/>
      <c r="L1659" s="166"/>
      <c r="M1659" s="166"/>
      <c r="N1659" s="166"/>
      <c r="O1659" s="166"/>
      <c r="P1659" s="166"/>
      <c r="Q1659" s="166"/>
      <c r="R1659" s="166"/>
      <c r="S1659" s="166"/>
      <c r="T1659" s="166"/>
      <c r="U1659" s="166"/>
      <c r="V1659" s="166"/>
      <c r="W1659" s="166"/>
      <c r="X1659" s="166"/>
      <c r="Y1659" s="166"/>
      <c r="Z1659" s="166"/>
      <c r="AA1659" s="166"/>
      <c r="AB1659" s="166"/>
      <c r="AC1659" s="166"/>
      <c r="AD1659" s="166"/>
      <c r="AE1659" s="166"/>
      <c r="AF1659" s="166"/>
      <c r="AG1659" s="166"/>
      <c r="AH1659" s="166"/>
      <c r="AI1659" s="166"/>
    </row>
    <row r="1660" spans="7:35" x14ac:dyDescent="0.25">
      <c r="G1660" s="165"/>
      <c r="H1660" s="166"/>
      <c r="I1660" s="167"/>
      <c r="J1660" s="167"/>
      <c r="K1660" s="166"/>
      <c r="L1660" s="166"/>
      <c r="M1660" s="166"/>
      <c r="N1660" s="166"/>
      <c r="O1660" s="166"/>
      <c r="P1660" s="166"/>
      <c r="Q1660" s="166"/>
      <c r="R1660" s="166"/>
      <c r="S1660" s="166"/>
      <c r="T1660" s="166"/>
      <c r="U1660" s="166"/>
      <c r="V1660" s="166"/>
      <c r="W1660" s="166"/>
      <c r="X1660" s="166"/>
      <c r="Y1660" s="166"/>
      <c r="Z1660" s="166"/>
      <c r="AA1660" s="166"/>
      <c r="AB1660" s="166"/>
      <c r="AC1660" s="166"/>
      <c r="AD1660" s="166"/>
      <c r="AE1660" s="166"/>
      <c r="AF1660" s="166"/>
      <c r="AG1660" s="166"/>
      <c r="AH1660" s="166"/>
      <c r="AI1660" s="166"/>
    </row>
    <row r="1661" spans="7:35" x14ac:dyDescent="0.25">
      <c r="G1661" s="165"/>
      <c r="H1661" s="166"/>
      <c r="I1661" s="167"/>
      <c r="J1661" s="167"/>
      <c r="K1661" s="166"/>
      <c r="L1661" s="166"/>
      <c r="M1661" s="166"/>
      <c r="N1661" s="166"/>
      <c r="O1661" s="166"/>
      <c r="P1661" s="166"/>
      <c r="Q1661" s="166"/>
      <c r="R1661" s="166"/>
      <c r="S1661" s="166"/>
      <c r="T1661" s="166"/>
      <c r="U1661" s="166"/>
      <c r="V1661" s="166"/>
      <c r="W1661" s="166"/>
      <c r="X1661" s="166"/>
      <c r="Y1661" s="166"/>
      <c r="Z1661" s="166"/>
      <c r="AA1661" s="166"/>
      <c r="AB1661" s="166"/>
      <c r="AC1661" s="166"/>
      <c r="AD1661" s="166"/>
      <c r="AE1661" s="166"/>
      <c r="AF1661" s="166"/>
      <c r="AG1661" s="166"/>
      <c r="AH1661" s="166"/>
      <c r="AI1661" s="166"/>
    </row>
    <row r="1662" spans="7:35" x14ac:dyDescent="0.25">
      <c r="G1662" s="165"/>
      <c r="H1662" s="166"/>
      <c r="I1662" s="167"/>
      <c r="J1662" s="167"/>
      <c r="K1662" s="166"/>
      <c r="L1662" s="166"/>
      <c r="M1662" s="166"/>
      <c r="N1662" s="166"/>
      <c r="O1662" s="166"/>
      <c r="P1662" s="166"/>
      <c r="Q1662" s="166"/>
      <c r="R1662" s="166"/>
      <c r="S1662" s="166"/>
      <c r="T1662" s="166"/>
      <c r="U1662" s="166"/>
      <c r="V1662" s="166"/>
      <c r="W1662" s="166"/>
      <c r="X1662" s="166"/>
      <c r="Y1662" s="166"/>
      <c r="Z1662" s="166"/>
      <c r="AA1662" s="166"/>
      <c r="AB1662" s="166"/>
      <c r="AC1662" s="166"/>
      <c r="AD1662" s="166"/>
      <c r="AE1662" s="166"/>
      <c r="AF1662" s="166"/>
      <c r="AG1662" s="166"/>
      <c r="AH1662" s="166"/>
      <c r="AI1662" s="166"/>
    </row>
    <row r="1663" spans="7:35" x14ac:dyDescent="0.25">
      <c r="G1663" s="165"/>
      <c r="H1663" s="166"/>
      <c r="I1663" s="167"/>
      <c r="J1663" s="167"/>
      <c r="K1663" s="166"/>
      <c r="L1663" s="166"/>
      <c r="M1663" s="166"/>
      <c r="N1663" s="166"/>
      <c r="O1663" s="166"/>
      <c r="P1663" s="166"/>
      <c r="Q1663" s="166"/>
      <c r="R1663" s="166"/>
      <c r="S1663" s="166"/>
      <c r="T1663" s="166"/>
      <c r="U1663" s="166"/>
      <c r="V1663" s="166"/>
      <c r="W1663" s="166"/>
      <c r="X1663" s="166"/>
      <c r="Y1663" s="166"/>
      <c r="Z1663" s="166"/>
      <c r="AA1663" s="166"/>
      <c r="AB1663" s="166"/>
      <c r="AC1663" s="166"/>
      <c r="AD1663" s="166"/>
      <c r="AE1663" s="166"/>
      <c r="AF1663" s="166"/>
      <c r="AG1663" s="166"/>
      <c r="AH1663" s="166"/>
      <c r="AI1663" s="166"/>
    </row>
    <row r="1664" spans="7:35" x14ac:dyDescent="0.25">
      <c r="G1664" s="165"/>
      <c r="H1664" s="166"/>
      <c r="I1664" s="167"/>
      <c r="J1664" s="167"/>
      <c r="K1664" s="166"/>
      <c r="L1664" s="166"/>
      <c r="M1664" s="166"/>
      <c r="N1664" s="166"/>
      <c r="O1664" s="166"/>
      <c r="P1664" s="166"/>
      <c r="Q1664" s="166"/>
      <c r="R1664" s="166"/>
      <c r="S1664" s="166"/>
      <c r="T1664" s="166"/>
      <c r="U1664" s="166"/>
      <c r="V1664" s="166"/>
      <c r="W1664" s="166"/>
      <c r="X1664" s="166"/>
      <c r="Y1664" s="166"/>
      <c r="Z1664" s="166"/>
      <c r="AA1664" s="166"/>
      <c r="AB1664" s="166"/>
      <c r="AC1664" s="166"/>
      <c r="AD1664" s="166"/>
      <c r="AE1664" s="166"/>
      <c r="AF1664" s="166"/>
      <c r="AG1664" s="166"/>
      <c r="AH1664" s="166"/>
      <c r="AI1664" s="166"/>
    </row>
    <row r="1665" spans="7:35" x14ac:dyDescent="0.25">
      <c r="G1665" s="165"/>
      <c r="H1665" s="166"/>
      <c r="I1665" s="167"/>
      <c r="J1665" s="167"/>
      <c r="K1665" s="166"/>
      <c r="L1665" s="166"/>
      <c r="M1665" s="166"/>
      <c r="N1665" s="166"/>
      <c r="O1665" s="166"/>
      <c r="P1665" s="166"/>
      <c r="Q1665" s="166"/>
      <c r="R1665" s="166"/>
      <c r="S1665" s="166"/>
      <c r="T1665" s="166"/>
      <c r="U1665" s="166"/>
      <c r="V1665" s="166"/>
      <c r="W1665" s="166"/>
      <c r="X1665" s="166"/>
      <c r="Y1665" s="166"/>
      <c r="Z1665" s="166"/>
      <c r="AA1665" s="166"/>
      <c r="AB1665" s="166"/>
      <c r="AC1665" s="166"/>
      <c r="AD1665" s="166"/>
      <c r="AE1665" s="166"/>
      <c r="AF1665" s="166"/>
      <c r="AG1665" s="166"/>
      <c r="AH1665" s="166"/>
      <c r="AI1665" s="166"/>
    </row>
    <row r="1666" spans="7:35" x14ac:dyDescent="0.25">
      <c r="G1666" s="165"/>
      <c r="H1666" s="166"/>
      <c r="I1666" s="167"/>
      <c r="J1666" s="167"/>
      <c r="K1666" s="166"/>
      <c r="L1666" s="166"/>
      <c r="M1666" s="166"/>
      <c r="N1666" s="166"/>
      <c r="O1666" s="166"/>
      <c r="P1666" s="166"/>
      <c r="Q1666" s="166"/>
      <c r="R1666" s="166"/>
      <c r="S1666" s="166"/>
      <c r="T1666" s="166"/>
      <c r="U1666" s="166"/>
      <c r="V1666" s="166"/>
      <c r="W1666" s="166"/>
      <c r="X1666" s="166"/>
      <c r="Y1666" s="166"/>
      <c r="Z1666" s="166"/>
      <c r="AA1666" s="166"/>
      <c r="AB1666" s="166"/>
      <c r="AC1666" s="166"/>
      <c r="AD1666" s="166"/>
      <c r="AE1666" s="166"/>
      <c r="AF1666" s="166"/>
      <c r="AG1666" s="166"/>
      <c r="AH1666" s="166"/>
      <c r="AI1666" s="166"/>
    </row>
    <row r="1667" spans="7:35" x14ac:dyDescent="0.25">
      <c r="G1667" s="165"/>
      <c r="H1667" s="166"/>
      <c r="I1667" s="167"/>
      <c r="J1667" s="167"/>
      <c r="K1667" s="166"/>
      <c r="L1667" s="166"/>
      <c r="M1667" s="166"/>
      <c r="N1667" s="166"/>
      <c r="O1667" s="166"/>
      <c r="P1667" s="166"/>
      <c r="Q1667" s="166"/>
      <c r="R1667" s="166"/>
      <c r="S1667" s="166"/>
      <c r="T1667" s="166"/>
      <c r="U1667" s="166"/>
      <c r="V1667" s="166"/>
      <c r="W1667" s="166"/>
      <c r="X1667" s="166"/>
      <c r="Y1667" s="166"/>
      <c r="Z1667" s="166"/>
      <c r="AA1667" s="166"/>
      <c r="AB1667" s="166"/>
      <c r="AC1667" s="166"/>
      <c r="AD1667" s="166"/>
      <c r="AE1667" s="166"/>
      <c r="AF1667" s="166"/>
      <c r="AG1667" s="166"/>
      <c r="AH1667" s="166"/>
      <c r="AI1667" s="166"/>
    </row>
    <row r="1668" spans="7:35" x14ac:dyDescent="0.25">
      <c r="G1668" s="165"/>
      <c r="H1668" s="166"/>
      <c r="I1668" s="167"/>
      <c r="J1668" s="167"/>
      <c r="K1668" s="166"/>
      <c r="L1668" s="166"/>
      <c r="M1668" s="166"/>
      <c r="N1668" s="166"/>
      <c r="O1668" s="166"/>
      <c r="P1668" s="166"/>
      <c r="Q1668" s="166"/>
      <c r="R1668" s="166"/>
      <c r="S1668" s="166"/>
      <c r="T1668" s="166"/>
      <c r="U1668" s="166"/>
      <c r="V1668" s="166"/>
      <c r="W1668" s="166"/>
      <c r="X1668" s="166"/>
      <c r="Y1668" s="166"/>
      <c r="Z1668" s="166"/>
      <c r="AA1668" s="166"/>
      <c r="AB1668" s="166"/>
      <c r="AC1668" s="166"/>
      <c r="AD1668" s="166"/>
      <c r="AE1668" s="166"/>
      <c r="AF1668" s="166"/>
      <c r="AG1668" s="166"/>
      <c r="AH1668" s="166"/>
      <c r="AI1668" s="166"/>
    </row>
    <row r="1669" spans="7:35" x14ac:dyDescent="0.25">
      <c r="G1669" s="165"/>
      <c r="H1669" s="166"/>
      <c r="I1669" s="167"/>
      <c r="J1669" s="167"/>
      <c r="K1669" s="166"/>
      <c r="L1669" s="166"/>
      <c r="M1669" s="166"/>
      <c r="N1669" s="166"/>
      <c r="O1669" s="166"/>
      <c r="P1669" s="166"/>
      <c r="Q1669" s="166"/>
      <c r="R1669" s="166"/>
      <c r="S1669" s="166"/>
      <c r="T1669" s="166"/>
      <c r="U1669" s="166"/>
      <c r="V1669" s="166"/>
      <c r="W1669" s="166"/>
      <c r="X1669" s="166"/>
      <c r="Y1669" s="166"/>
      <c r="Z1669" s="166"/>
      <c r="AA1669" s="166"/>
      <c r="AB1669" s="166"/>
      <c r="AC1669" s="166"/>
      <c r="AD1669" s="166"/>
      <c r="AE1669" s="166"/>
      <c r="AF1669" s="166"/>
      <c r="AG1669" s="166"/>
      <c r="AH1669" s="166"/>
      <c r="AI1669" s="166"/>
    </row>
    <row r="1670" spans="7:35" x14ac:dyDescent="0.25">
      <c r="G1670" s="165"/>
      <c r="H1670" s="166"/>
      <c r="I1670" s="167"/>
      <c r="J1670" s="167"/>
      <c r="K1670" s="166"/>
      <c r="L1670" s="166"/>
      <c r="M1670" s="166"/>
      <c r="N1670" s="166"/>
      <c r="O1670" s="166"/>
      <c r="P1670" s="166"/>
      <c r="Q1670" s="166"/>
      <c r="R1670" s="166"/>
      <c r="S1670" s="166"/>
      <c r="T1670" s="166"/>
      <c r="U1670" s="166"/>
      <c r="V1670" s="166"/>
      <c r="W1670" s="166"/>
      <c r="X1670" s="166"/>
      <c r="Y1670" s="166"/>
      <c r="Z1670" s="166"/>
      <c r="AA1670" s="166"/>
      <c r="AB1670" s="166"/>
      <c r="AC1670" s="166"/>
      <c r="AD1670" s="166"/>
      <c r="AE1670" s="166"/>
      <c r="AF1670" s="166"/>
      <c r="AG1670" s="166"/>
      <c r="AH1670" s="166"/>
      <c r="AI1670" s="166"/>
    </row>
    <row r="1671" spans="7:35" x14ac:dyDescent="0.25">
      <c r="G1671" s="165"/>
      <c r="H1671" s="166"/>
      <c r="I1671" s="167"/>
      <c r="J1671" s="167"/>
      <c r="K1671" s="166"/>
      <c r="L1671" s="166"/>
      <c r="M1671" s="166"/>
      <c r="N1671" s="166"/>
      <c r="O1671" s="166"/>
      <c r="P1671" s="166"/>
      <c r="Q1671" s="166"/>
      <c r="R1671" s="166"/>
      <c r="S1671" s="166"/>
      <c r="T1671" s="166"/>
      <c r="U1671" s="166"/>
      <c r="V1671" s="166"/>
      <c r="W1671" s="166"/>
      <c r="X1671" s="166"/>
      <c r="Y1671" s="166"/>
      <c r="Z1671" s="166"/>
      <c r="AA1671" s="166"/>
      <c r="AB1671" s="166"/>
      <c r="AC1671" s="166"/>
      <c r="AD1671" s="166"/>
      <c r="AE1671" s="166"/>
      <c r="AF1671" s="166"/>
      <c r="AG1671" s="166"/>
      <c r="AH1671" s="166"/>
      <c r="AI1671" s="166"/>
    </row>
    <row r="1672" spans="7:35" x14ac:dyDescent="0.25">
      <c r="G1672" s="165"/>
      <c r="H1672" s="166"/>
      <c r="I1672" s="167"/>
      <c r="J1672" s="167"/>
      <c r="K1672" s="166"/>
      <c r="L1672" s="166"/>
      <c r="M1672" s="166"/>
      <c r="N1672" s="166"/>
      <c r="O1672" s="166"/>
      <c r="P1672" s="166"/>
      <c r="Q1672" s="166"/>
      <c r="R1672" s="166"/>
      <c r="S1672" s="166"/>
      <c r="T1672" s="166"/>
      <c r="U1672" s="166"/>
      <c r="V1672" s="166"/>
      <c r="W1672" s="166"/>
      <c r="X1672" s="166"/>
      <c r="Y1672" s="166"/>
      <c r="Z1672" s="166"/>
      <c r="AA1672" s="166"/>
      <c r="AB1672" s="166"/>
      <c r="AC1672" s="166"/>
      <c r="AD1672" s="166"/>
      <c r="AE1672" s="166"/>
      <c r="AF1672" s="166"/>
      <c r="AG1672" s="166"/>
      <c r="AH1672" s="166"/>
      <c r="AI1672" s="166"/>
    </row>
    <row r="1673" spans="7:35" x14ac:dyDescent="0.25">
      <c r="G1673" s="165"/>
      <c r="H1673" s="166"/>
      <c r="I1673" s="167"/>
      <c r="J1673" s="167"/>
      <c r="K1673" s="166"/>
      <c r="L1673" s="166"/>
      <c r="M1673" s="166"/>
      <c r="N1673" s="166"/>
      <c r="O1673" s="166"/>
      <c r="P1673" s="166"/>
      <c r="Q1673" s="166"/>
      <c r="R1673" s="166"/>
      <c r="S1673" s="166"/>
      <c r="T1673" s="166"/>
      <c r="U1673" s="166"/>
      <c r="V1673" s="166"/>
      <c r="W1673" s="166"/>
      <c r="X1673" s="166"/>
      <c r="Y1673" s="166"/>
      <c r="Z1673" s="166"/>
      <c r="AA1673" s="166"/>
      <c r="AB1673" s="166"/>
      <c r="AC1673" s="166"/>
      <c r="AD1673" s="166"/>
      <c r="AE1673" s="166"/>
      <c r="AF1673" s="166"/>
      <c r="AG1673" s="166"/>
      <c r="AH1673" s="166"/>
      <c r="AI1673" s="166"/>
    </row>
    <row r="1674" spans="7:35" x14ac:dyDescent="0.25">
      <c r="G1674" s="165"/>
      <c r="H1674" s="166"/>
      <c r="I1674" s="167"/>
      <c r="J1674" s="167"/>
      <c r="K1674" s="166"/>
      <c r="L1674" s="166"/>
      <c r="M1674" s="166"/>
      <c r="N1674" s="166"/>
      <c r="O1674" s="166"/>
      <c r="P1674" s="166"/>
      <c r="Q1674" s="166"/>
      <c r="R1674" s="166"/>
      <c r="S1674" s="166"/>
      <c r="T1674" s="166"/>
      <c r="U1674" s="166"/>
      <c r="V1674" s="166"/>
      <c r="W1674" s="166"/>
      <c r="X1674" s="166"/>
      <c r="Y1674" s="166"/>
      <c r="Z1674" s="166"/>
      <c r="AA1674" s="166"/>
      <c r="AB1674" s="166"/>
      <c r="AC1674" s="166"/>
      <c r="AD1674" s="166"/>
      <c r="AE1674" s="166"/>
      <c r="AF1674" s="166"/>
      <c r="AG1674" s="166"/>
      <c r="AH1674" s="166"/>
      <c r="AI1674" s="166"/>
    </row>
    <row r="1675" spans="7:35" x14ac:dyDescent="0.25">
      <c r="G1675" s="165"/>
      <c r="H1675" s="166"/>
      <c r="I1675" s="167"/>
      <c r="J1675" s="167"/>
      <c r="K1675" s="166"/>
      <c r="L1675" s="166"/>
      <c r="M1675" s="166"/>
      <c r="N1675" s="166"/>
      <c r="O1675" s="166"/>
      <c r="P1675" s="166"/>
      <c r="Q1675" s="166"/>
      <c r="R1675" s="166"/>
      <c r="S1675" s="166"/>
      <c r="T1675" s="166"/>
      <c r="U1675" s="166"/>
      <c r="V1675" s="166"/>
      <c r="W1675" s="166"/>
      <c r="X1675" s="166"/>
      <c r="Y1675" s="166"/>
      <c r="Z1675" s="166"/>
      <c r="AA1675" s="166"/>
      <c r="AB1675" s="166"/>
      <c r="AC1675" s="166"/>
      <c r="AD1675" s="166"/>
      <c r="AE1675" s="166"/>
      <c r="AF1675" s="166"/>
      <c r="AG1675" s="166"/>
      <c r="AH1675" s="166"/>
      <c r="AI1675" s="166"/>
    </row>
    <row r="1676" spans="7:35" x14ac:dyDescent="0.25">
      <c r="G1676" s="165"/>
      <c r="H1676" s="166"/>
      <c r="I1676" s="167"/>
      <c r="J1676" s="167"/>
      <c r="K1676" s="166"/>
      <c r="L1676" s="166"/>
      <c r="M1676" s="166"/>
      <c r="N1676" s="166"/>
      <c r="O1676" s="166"/>
      <c r="P1676" s="166"/>
      <c r="Q1676" s="166"/>
      <c r="R1676" s="166"/>
      <c r="S1676" s="166"/>
      <c r="T1676" s="166"/>
      <c r="U1676" s="166"/>
      <c r="V1676" s="166"/>
      <c r="W1676" s="166"/>
      <c r="X1676" s="166"/>
      <c r="Y1676" s="166"/>
      <c r="Z1676" s="166"/>
      <c r="AA1676" s="166"/>
      <c r="AB1676" s="166"/>
      <c r="AC1676" s="166"/>
      <c r="AD1676" s="166"/>
      <c r="AE1676" s="166"/>
      <c r="AF1676" s="166"/>
      <c r="AG1676" s="166"/>
      <c r="AH1676" s="166"/>
      <c r="AI1676" s="166"/>
    </row>
    <row r="1677" spans="7:35" x14ac:dyDescent="0.25">
      <c r="G1677" s="165"/>
      <c r="H1677" s="166"/>
      <c r="I1677" s="167"/>
      <c r="J1677" s="167"/>
      <c r="K1677" s="166"/>
      <c r="L1677" s="166"/>
      <c r="M1677" s="166"/>
      <c r="N1677" s="166"/>
      <c r="O1677" s="166"/>
      <c r="P1677" s="166"/>
      <c r="Q1677" s="166"/>
      <c r="R1677" s="166"/>
      <c r="S1677" s="166"/>
      <c r="T1677" s="166"/>
      <c r="U1677" s="166"/>
      <c r="V1677" s="166"/>
      <c r="W1677" s="166"/>
      <c r="X1677" s="166"/>
      <c r="Y1677" s="166"/>
      <c r="Z1677" s="166"/>
      <c r="AA1677" s="166"/>
      <c r="AB1677" s="166"/>
      <c r="AC1677" s="166"/>
      <c r="AD1677" s="166"/>
      <c r="AE1677" s="166"/>
      <c r="AF1677" s="166"/>
      <c r="AG1677" s="166"/>
      <c r="AH1677" s="166"/>
      <c r="AI1677" s="166"/>
    </row>
    <row r="1678" spans="7:35" x14ac:dyDescent="0.25">
      <c r="G1678" s="165"/>
      <c r="H1678" s="166"/>
      <c r="I1678" s="167"/>
      <c r="J1678" s="167"/>
      <c r="K1678" s="166"/>
      <c r="L1678" s="166"/>
      <c r="M1678" s="166"/>
      <c r="N1678" s="166"/>
      <c r="O1678" s="166"/>
      <c r="P1678" s="166"/>
      <c r="Q1678" s="166"/>
      <c r="R1678" s="166"/>
      <c r="S1678" s="166"/>
      <c r="T1678" s="166"/>
      <c r="U1678" s="166"/>
      <c r="V1678" s="166"/>
      <c r="W1678" s="166"/>
      <c r="X1678" s="166"/>
      <c r="Y1678" s="166"/>
      <c r="Z1678" s="166"/>
      <c r="AA1678" s="166"/>
      <c r="AB1678" s="166"/>
      <c r="AC1678" s="166"/>
      <c r="AD1678" s="166"/>
      <c r="AE1678" s="166"/>
      <c r="AF1678" s="166"/>
      <c r="AG1678" s="166"/>
      <c r="AH1678" s="166"/>
      <c r="AI1678" s="166"/>
    </row>
    <row r="1679" spans="7:35" x14ac:dyDescent="0.25">
      <c r="G1679" s="165"/>
      <c r="H1679" s="166"/>
      <c r="I1679" s="167"/>
      <c r="J1679" s="167"/>
      <c r="K1679" s="166"/>
      <c r="L1679" s="166"/>
      <c r="M1679" s="166"/>
      <c r="N1679" s="166"/>
      <c r="O1679" s="166"/>
      <c r="P1679" s="166"/>
      <c r="Q1679" s="166"/>
      <c r="R1679" s="166"/>
      <c r="S1679" s="166"/>
      <c r="T1679" s="166"/>
      <c r="U1679" s="166"/>
      <c r="V1679" s="166"/>
      <c r="W1679" s="166"/>
      <c r="X1679" s="166"/>
      <c r="Y1679" s="166"/>
      <c r="Z1679" s="166"/>
      <c r="AA1679" s="166"/>
      <c r="AB1679" s="166"/>
      <c r="AC1679" s="166"/>
      <c r="AD1679" s="166"/>
      <c r="AE1679" s="166"/>
      <c r="AF1679" s="166"/>
      <c r="AG1679" s="166"/>
      <c r="AH1679" s="166"/>
      <c r="AI1679" s="166"/>
    </row>
    <row r="1680" spans="7:35" x14ac:dyDescent="0.25">
      <c r="G1680" s="165"/>
      <c r="H1680" s="166"/>
      <c r="I1680" s="167"/>
      <c r="J1680" s="167"/>
      <c r="K1680" s="166"/>
      <c r="L1680" s="166"/>
      <c r="M1680" s="166"/>
      <c r="N1680" s="166"/>
      <c r="O1680" s="166"/>
      <c r="P1680" s="166"/>
      <c r="Q1680" s="166"/>
      <c r="R1680" s="166"/>
      <c r="S1680" s="166"/>
      <c r="T1680" s="166"/>
      <c r="U1680" s="166"/>
      <c r="V1680" s="166"/>
      <c r="W1680" s="166"/>
      <c r="X1680" s="166"/>
      <c r="Y1680" s="166"/>
      <c r="Z1680" s="166"/>
      <c r="AA1680" s="166"/>
      <c r="AB1680" s="166"/>
      <c r="AC1680" s="166"/>
      <c r="AD1680" s="166"/>
      <c r="AE1680" s="166"/>
      <c r="AF1680" s="166"/>
      <c r="AG1680" s="166"/>
      <c r="AH1680" s="166"/>
      <c r="AI1680" s="166"/>
    </row>
    <row r="1681" spans="7:35" x14ac:dyDescent="0.25">
      <c r="G1681" s="165"/>
      <c r="H1681" s="166"/>
      <c r="I1681" s="167"/>
      <c r="J1681" s="167"/>
      <c r="K1681" s="166"/>
      <c r="L1681" s="166"/>
      <c r="M1681" s="166"/>
      <c r="N1681" s="166"/>
      <c r="O1681" s="166"/>
      <c r="P1681" s="166"/>
      <c r="Q1681" s="166"/>
      <c r="R1681" s="166"/>
      <c r="S1681" s="166"/>
      <c r="T1681" s="166"/>
      <c r="U1681" s="166"/>
      <c r="V1681" s="166"/>
      <c r="W1681" s="166"/>
      <c r="X1681" s="166"/>
      <c r="Y1681" s="166"/>
      <c r="Z1681" s="166"/>
      <c r="AA1681" s="166"/>
      <c r="AB1681" s="166"/>
      <c r="AC1681" s="166"/>
      <c r="AD1681" s="166"/>
      <c r="AE1681" s="166"/>
      <c r="AF1681" s="166"/>
      <c r="AG1681" s="166"/>
      <c r="AH1681" s="166"/>
      <c r="AI1681" s="166"/>
    </row>
    <row r="1682" spans="7:35" x14ac:dyDescent="0.25">
      <c r="G1682" s="165"/>
      <c r="H1682" s="166"/>
      <c r="I1682" s="167"/>
      <c r="J1682" s="167"/>
      <c r="K1682" s="166"/>
      <c r="L1682" s="166"/>
      <c r="M1682" s="166"/>
      <c r="N1682" s="166"/>
      <c r="O1682" s="166"/>
      <c r="P1682" s="166"/>
      <c r="Q1682" s="166"/>
      <c r="R1682" s="166"/>
      <c r="S1682" s="166"/>
      <c r="T1682" s="166"/>
      <c r="U1682" s="166"/>
      <c r="V1682" s="166"/>
      <c r="W1682" s="166"/>
      <c r="X1682" s="166"/>
      <c r="Y1682" s="166"/>
      <c r="Z1682" s="166"/>
      <c r="AA1682" s="166"/>
      <c r="AB1682" s="166"/>
      <c r="AC1682" s="166"/>
      <c r="AD1682" s="166"/>
      <c r="AE1682" s="166"/>
      <c r="AF1682" s="166"/>
      <c r="AG1682" s="166"/>
      <c r="AH1682" s="166"/>
      <c r="AI1682" s="166"/>
    </row>
    <row r="1683" spans="7:35" x14ac:dyDescent="0.25">
      <c r="G1683" s="165"/>
      <c r="H1683" s="166"/>
      <c r="I1683" s="167"/>
      <c r="J1683" s="167"/>
      <c r="K1683" s="166"/>
      <c r="L1683" s="166"/>
      <c r="M1683" s="166"/>
      <c r="N1683" s="166"/>
      <c r="O1683" s="166"/>
      <c r="P1683" s="166"/>
      <c r="Q1683" s="166"/>
      <c r="R1683" s="166"/>
      <c r="S1683" s="166"/>
      <c r="T1683" s="166"/>
      <c r="U1683" s="166"/>
      <c r="V1683" s="166"/>
      <c r="W1683" s="166"/>
      <c r="X1683" s="166"/>
      <c r="Y1683" s="166"/>
      <c r="Z1683" s="166"/>
      <c r="AA1683" s="166"/>
      <c r="AB1683" s="166"/>
      <c r="AC1683" s="166"/>
      <c r="AD1683" s="166"/>
      <c r="AE1683" s="166"/>
      <c r="AF1683" s="166"/>
      <c r="AG1683" s="166"/>
      <c r="AH1683" s="166"/>
      <c r="AI1683" s="166"/>
    </row>
    <row r="1684" spans="7:35" x14ac:dyDescent="0.25">
      <c r="G1684" s="165"/>
      <c r="H1684" s="166"/>
      <c r="I1684" s="167"/>
      <c r="J1684" s="167"/>
      <c r="K1684" s="166"/>
      <c r="L1684" s="166"/>
      <c r="M1684" s="166"/>
      <c r="N1684" s="166"/>
      <c r="O1684" s="166"/>
      <c r="P1684" s="166"/>
      <c r="Q1684" s="166"/>
      <c r="R1684" s="166"/>
      <c r="S1684" s="166"/>
      <c r="T1684" s="166"/>
      <c r="U1684" s="166"/>
      <c r="V1684" s="166"/>
      <c r="W1684" s="166"/>
      <c r="X1684" s="166"/>
      <c r="Y1684" s="166"/>
      <c r="Z1684" s="166"/>
      <c r="AA1684" s="166"/>
      <c r="AB1684" s="166"/>
      <c r="AC1684" s="166"/>
      <c r="AD1684" s="166"/>
      <c r="AE1684" s="166"/>
      <c r="AF1684" s="166"/>
      <c r="AG1684" s="166"/>
      <c r="AH1684" s="166"/>
      <c r="AI1684" s="166"/>
    </row>
    <row r="1685" spans="7:35" x14ac:dyDescent="0.25">
      <c r="G1685" s="165"/>
      <c r="H1685" s="166"/>
      <c r="I1685" s="167"/>
      <c r="J1685" s="167"/>
      <c r="K1685" s="166"/>
      <c r="L1685" s="166"/>
      <c r="M1685" s="166"/>
      <c r="N1685" s="166"/>
      <c r="O1685" s="166"/>
      <c r="P1685" s="166"/>
      <c r="Q1685" s="166"/>
      <c r="R1685" s="166"/>
      <c r="S1685" s="166"/>
      <c r="T1685" s="166"/>
      <c r="U1685" s="166"/>
      <c r="V1685" s="166"/>
      <c r="W1685" s="166"/>
      <c r="X1685" s="166"/>
      <c r="Y1685" s="166"/>
      <c r="Z1685" s="166"/>
      <c r="AA1685" s="166"/>
      <c r="AB1685" s="166"/>
      <c r="AC1685" s="166"/>
      <c r="AD1685" s="166"/>
      <c r="AE1685" s="166"/>
      <c r="AF1685" s="166"/>
      <c r="AG1685" s="166"/>
      <c r="AH1685" s="166"/>
      <c r="AI1685" s="166"/>
    </row>
    <row r="1686" spans="7:35" x14ac:dyDescent="0.25">
      <c r="G1686" s="165"/>
      <c r="H1686" s="166"/>
      <c r="I1686" s="167"/>
      <c r="J1686" s="167"/>
      <c r="K1686" s="166"/>
      <c r="L1686" s="166"/>
      <c r="M1686" s="166"/>
      <c r="N1686" s="166"/>
      <c r="O1686" s="166"/>
      <c r="P1686" s="166"/>
      <c r="Q1686" s="166"/>
      <c r="R1686" s="166"/>
      <c r="S1686" s="166"/>
      <c r="T1686" s="166"/>
      <c r="U1686" s="166"/>
      <c r="V1686" s="166"/>
      <c r="W1686" s="166"/>
      <c r="X1686" s="166"/>
      <c r="Y1686" s="166"/>
      <c r="Z1686" s="166"/>
      <c r="AA1686" s="166"/>
      <c r="AB1686" s="166"/>
      <c r="AC1686" s="166"/>
      <c r="AD1686" s="166"/>
      <c r="AE1686" s="166"/>
      <c r="AF1686" s="166"/>
      <c r="AG1686" s="166"/>
      <c r="AH1686" s="166"/>
      <c r="AI1686" s="166"/>
    </row>
    <row r="1687" spans="7:35" x14ac:dyDescent="0.25">
      <c r="G1687" s="165"/>
      <c r="H1687" s="166"/>
      <c r="I1687" s="167"/>
      <c r="J1687" s="167"/>
      <c r="K1687" s="166"/>
      <c r="L1687" s="166"/>
      <c r="M1687" s="166"/>
      <c r="N1687" s="166"/>
      <c r="O1687" s="166"/>
      <c r="P1687" s="166"/>
      <c r="Q1687" s="166"/>
      <c r="R1687" s="166"/>
      <c r="S1687" s="166"/>
      <c r="T1687" s="166"/>
      <c r="U1687" s="166"/>
      <c r="V1687" s="166"/>
      <c r="W1687" s="166"/>
      <c r="X1687" s="166"/>
      <c r="Y1687" s="166"/>
      <c r="Z1687" s="166"/>
      <c r="AA1687" s="166"/>
      <c r="AB1687" s="166"/>
      <c r="AC1687" s="166"/>
      <c r="AD1687" s="166"/>
      <c r="AE1687" s="166"/>
      <c r="AF1687" s="166"/>
      <c r="AG1687" s="166"/>
      <c r="AH1687" s="166"/>
      <c r="AI1687" s="166"/>
    </row>
    <row r="1688" spans="7:35" x14ac:dyDescent="0.25">
      <c r="G1688" s="165"/>
      <c r="H1688" s="166"/>
      <c r="I1688" s="167"/>
      <c r="J1688" s="167"/>
      <c r="K1688" s="166"/>
      <c r="L1688" s="166"/>
      <c r="M1688" s="166"/>
      <c r="N1688" s="166"/>
      <c r="O1688" s="166"/>
      <c r="P1688" s="166"/>
      <c r="Q1688" s="166"/>
      <c r="R1688" s="166"/>
      <c r="S1688" s="166"/>
      <c r="T1688" s="166"/>
      <c r="U1688" s="166"/>
      <c r="V1688" s="166"/>
      <c r="W1688" s="166"/>
      <c r="X1688" s="166"/>
      <c r="Y1688" s="166"/>
      <c r="Z1688" s="166"/>
      <c r="AA1688" s="166"/>
      <c r="AB1688" s="166"/>
      <c r="AC1688" s="166"/>
      <c r="AD1688" s="166"/>
      <c r="AE1688" s="166"/>
      <c r="AF1688" s="166"/>
      <c r="AG1688" s="166"/>
      <c r="AH1688" s="166"/>
      <c r="AI1688" s="166"/>
    </row>
    <row r="1689" spans="7:35" x14ac:dyDescent="0.25">
      <c r="G1689" s="165"/>
      <c r="H1689" s="166"/>
      <c r="I1689" s="167"/>
      <c r="J1689" s="167"/>
      <c r="K1689" s="166"/>
      <c r="L1689" s="166"/>
      <c r="M1689" s="166"/>
      <c r="N1689" s="166"/>
      <c r="O1689" s="166"/>
      <c r="P1689" s="166"/>
      <c r="Q1689" s="166"/>
      <c r="R1689" s="166"/>
      <c r="S1689" s="166"/>
      <c r="T1689" s="166"/>
      <c r="U1689" s="166"/>
      <c r="V1689" s="166"/>
      <c r="W1689" s="166"/>
      <c r="X1689" s="166"/>
      <c r="Y1689" s="166"/>
      <c r="Z1689" s="166"/>
      <c r="AA1689" s="166"/>
      <c r="AB1689" s="166"/>
      <c r="AC1689" s="166"/>
      <c r="AD1689" s="166"/>
      <c r="AE1689" s="166"/>
      <c r="AF1689" s="166"/>
      <c r="AG1689" s="166"/>
      <c r="AH1689" s="166"/>
      <c r="AI1689" s="166"/>
    </row>
    <row r="1690" spans="7:35" x14ac:dyDescent="0.25">
      <c r="G1690" s="165"/>
      <c r="H1690" s="166"/>
      <c r="I1690" s="167"/>
      <c r="J1690" s="167"/>
      <c r="K1690" s="166"/>
      <c r="L1690" s="166"/>
      <c r="M1690" s="166"/>
      <c r="N1690" s="166"/>
      <c r="O1690" s="166"/>
      <c r="P1690" s="166"/>
      <c r="Q1690" s="166"/>
      <c r="R1690" s="166"/>
      <c r="S1690" s="166"/>
      <c r="T1690" s="166"/>
      <c r="U1690" s="166"/>
      <c r="V1690" s="166"/>
      <c r="W1690" s="166"/>
      <c r="X1690" s="166"/>
      <c r="Y1690" s="166"/>
      <c r="Z1690" s="166"/>
      <c r="AA1690" s="166"/>
      <c r="AB1690" s="166"/>
      <c r="AC1690" s="166"/>
      <c r="AD1690" s="166"/>
      <c r="AE1690" s="166"/>
      <c r="AF1690" s="166"/>
      <c r="AG1690" s="166"/>
      <c r="AH1690" s="166"/>
      <c r="AI1690" s="166"/>
    </row>
    <row r="1691" spans="7:35" x14ac:dyDescent="0.25">
      <c r="G1691" s="165"/>
      <c r="H1691" s="166"/>
      <c r="I1691" s="167"/>
      <c r="J1691" s="167"/>
      <c r="K1691" s="166"/>
      <c r="L1691" s="166"/>
      <c r="M1691" s="166"/>
      <c r="N1691" s="166"/>
      <c r="O1691" s="166"/>
      <c r="P1691" s="166"/>
      <c r="Q1691" s="166"/>
      <c r="R1691" s="166"/>
      <c r="S1691" s="166"/>
      <c r="T1691" s="166"/>
      <c r="U1691" s="166"/>
      <c r="V1691" s="166"/>
      <c r="W1691" s="166"/>
      <c r="X1691" s="166"/>
      <c r="Y1691" s="166"/>
      <c r="Z1691" s="166"/>
      <c r="AA1691" s="166"/>
      <c r="AB1691" s="166"/>
      <c r="AC1691" s="166"/>
      <c r="AD1691" s="166"/>
      <c r="AE1691" s="166"/>
      <c r="AF1691" s="166"/>
      <c r="AG1691" s="166"/>
      <c r="AH1691" s="166"/>
      <c r="AI1691" s="166"/>
    </row>
    <row r="1692" spans="7:35" x14ac:dyDescent="0.25">
      <c r="G1692" s="165"/>
      <c r="H1692" s="166"/>
      <c r="I1692" s="167"/>
      <c r="J1692" s="167"/>
      <c r="K1692" s="166"/>
      <c r="L1692" s="166"/>
      <c r="M1692" s="166"/>
      <c r="N1692" s="166"/>
      <c r="O1692" s="166"/>
      <c r="P1692" s="166"/>
      <c r="Q1692" s="166"/>
      <c r="R1692" s="166"/>
      <c r="S1692" s="166"/>
      <c r="T1692" s="166"/>
      <c r="U1692" s="166"/>
      <c r="V1692" s="166"/>
      <c r="W1692" s="166"/>
      <c r="X1692" s="166"/>
      <c r="Y1692" s="166"/>
      <c r="Z1692" s="166"/>
      <c r="AA1692" s="166"/>
      <c r="AB1692" s="166"/>
      <c r="AC1692" s="166"/>
      <c r="AD1692" s="166"/>
      <c r="AE1692" s="166"/>
      <c r="AF1692" s="166"/>
      <c r="AG1692" s="166"/>
      <c r="AH1692" s="166"/>
      <c r="AI1692" s="166"/>
    </row>
    <row r="1693" spans="7:35" x14ac:dyDescent="0.25">
      <c r="G1693" s="165"/>
      <c r="H1693" s="166"/>
      <c r="I1693" s="167"/>
      <c r="J1693" s="167"/>
      <c r="K1693" s="166"/>
      <c r="L1693" s="166"/>
      <c r="M1693" s="166"/>
      <c r="N1693" s="166"/>
      <c r="O1693" s="166"/>
      <c r="P1693" s="166"/>
      <c r="Q1693" s="166"/>
      <c r="R1693" s="166"/>
      <c r="S1693" s="166"/>
      <c r="T1693" s="166"/>
      <c r="U1693" s="166"/>
      <c r="V1693" s="166"/>
      <c r="W1693" s="166"/>
      <c r="X1693" s="166"/>
      <c r="Y1693" s="166"/>
      <c r="Z1693" s="166"/>
      <c r="AA1693" s="166"/>
      <c r="AB1693" s="166"/>
      <c r="AC1693" s="166"/>
      <c r="AD1693" s="166"/>
      <c r="AE1693" s="166"/>
      <c r="AF1693" s="166"/>
      <c r="AG1693" s="166"/>
      <c r="AH1693" s="166"/>
      <c r="AI1693" s="166"/>
    </row>
    <row r="1694" spans="7:35" x14ac:dyDescent="0.25">
      <c r="G1694" s="165"/>
      <c r="H1694" s="166"/>
      <c r="I1694" s="167"/>
      <c r="J1694" s="167"/>
      <c r="K1694" s="166"/>
      <c r="L1694" s="166"/>
      <c r="M1694" s="166"/>
      <c r="N1694" s="166"/>
      <c r="O1694" s="166"/>
      <c r="P1694" s="166"/>
      <c r="Q1694" s="166"/>
      <c r="R1694" s="166"/>
      <c r="S1694" s="166"/>
      <c r="T1694" s="166"/>
      <c r="U1694" s="166"/>
      <c r="V1694" s="166"/>
      <c r="W1694" s="166"/>
      <c r="X1694" s="166"/>
      <c r="Y1694" s="166"/>
      <c r="Z1694" s="166"/>
      <c r="AA1694" s="166"/>
      <c r="AB1694" s="166"/>
      <c r="AC1694" s="166"/>
      <c r="AD1694" s="166"/>
      <c r="AE1694" s="166"/>
      <c r="AF1694" s="166"/>
      <c r="AG1694" s="166"/>
      <c r="AH1694" s="166"/>
      <c r="AI1694" s="166"/>
    </row>
    <row r="1695" spans="7:35" x14ac:dyDescent="0.25">
      <c r="G1695" s="165"/>
      <c r="H1695" s="166"/>
      <c r="I1695" s="167"/>
      <c r="J1695" s="167"/>
      <c r="K1695" s="166"/>
      <c r="L1695" s="166"/>
      <c r="M1695" s="166"/>
      <c r="N1695" s="166"/>
      <c r="O1695" s="166"/>
      <c r="P1695" s="166"/>
      <c r="Q1695" s="166"/>
      <c r="R1695" s="166"/>
      <c r="S1695" s="166"/>
      <c r="T1695" s="166"/>
      <c r="U1695" s="166"/>
      <c r="V1695" s="166"/>
      <c r="W1695" s="166"/>
      <c r="X1695" s="166"/>
      <c r="Y1695" s="166"/>
      <c r="Z1695" s="166"/>
      <c r="AA1695" s="166"/>
      <c r="AB1695" s="166"/>
      <c r="AC1695" s="166"/>
      <c r="AD1695" s="166"/>
      <c r="AE1695" s="166"/>
      <c r="AF1695" s="166"/>
      <c r="AG1695" s="166"/>
      <c r="AH1695" s="166"/>
      <c r="AI1695" s="166"/>
    </row>
    <row r="1696" spans="7:35" x14ac:dyDescent="0.25">
      <c r="G1696" s="165"/>
      <c r="H1696" s="166"/>
      <c r="I1696" s="167"/>
      <c r="J1696" s="167"/>
      <c r="K1696" s="166"/>
      <c r="L1696" s="166"/>
      <c r="M1696" s="166"/>
      <c r="N1696" s="166"/>
      <c r="O1696" s="166"/>
      <c r="P1696" s="166"/>
      <c r="Q1696" s="166"/>
      <c r="R1696" s="166"/>
      <c r="S1696" s="166"/>
      <c r="T1696" s="166"/>
      <c r="U1696" s="166"/>
      <c r="V1696" s="166"/>
      <c r="W1696" s="166"/>
      <c r="X1696" s="166"/>
      <c r="Y1696" s="166"/>
      <c r="Z1696" s="166"/>
      <c r="AA1696" s="166"/>
      <c r="AB1696" s="166"/>
      <c r="AC1696" s="166"/>
      <c r="AD1696" s="166"/>
      <c r="AE1696" s="166"/>
      <c r="AF1696" s="166"/>
      <c r="AG1696" s="166"/>
      <c r="AH1696" s="166"/>
      <c r="AI1696" s="166"/>
    </row>
    <row r="1697" spans="7:35" x14ac:dyDescent="0.25">
      <c r="G1697" s="165"/>
      <c r="H1697" s="166"/>
      <c r="I1697" s="167"/>
      <c r="J1697" s="167"/>
      <c r="K1697" s="166"/>
      <c r="L1697" s="166"/>
      <c r="M1697" s="166"/>
      <c r="N1697" s="166"/>
      <c r="O1697" s="166"/>
      <c r="P1697" s="166"/>
      <c r="Q1697" s="166"/>
      <c r="R1697" s="166"/>
      <c r="S1697" s="166"/>
      <c r="T1697" s="166"/>
      <c r="U1697" s="166"/>
      <c r="V1697" s="166"/>
      <c r="W1697" s="166"/>
      <c r="X1697" s="166"/>
      <c r="Y1697" s="166"/>
      <c r="Z1697" s="166"/>
      <c r="AA1697" s="166"/>
      <c r="AB1697" s="166"/>
      <c r="AC1697" s="166"/>
      <c r="AD1697" s="166"/>
      <c r="AE1697" s="166"/>
      <c r="AF1697" s="166"/>
      <c r="AG1697" s="166"/>
      <c r="AH1697" s="166"/>
      <c r="AI1697" s="166"/>
    </row>
    <row r="1698" spans="7:35" x14ac:dyDescent="0.25">
      <c r="G1698" s="165"/>
      <c r="H1698" s="166"/>
      <c r="I1698" s="167"/>
      <c r="J1698" s="167"/>
      <c r="K1698" s="166"/>
      <c r="L1698" s="166"/>
      <c r="M1698" s="166"/>
      <c r="N1698" s="166"/>
      <c r="O1698" s="166"/>
      <c r="P1698" s="166"/>
      <c r="Q1698" s="166"/>
      <c r="R1698" s="166"/>
      <c r="S1698" s="166"/>
      <c r="T1698" s="166"/>
      <c r="U1698" s="166"/>
      <c r="V1698" s="166"/>
      <c r="W1698" s="166"/>
      <c r="X1698" s="166"/>
      <c r="Y1698" s="166"/>
      <c r="Z1698" s="166"/>
      <c r="AA1698" s="166"/>
      <c r="AB1698" s="166"/>
      <c r="AC1698" s="166"/>
      <c r="AD1698" s="166"/>
      <c r="AE1698" s="166"/>
      <c r="AF1698" s="166"/>
      <c r="AG1698" s="166"/>
      <c r="AH1698" s="166"/>
      <c r="AI1698" s="166"/>
    </row>
    <row r="1699" spans="7:35" x14ac:dyDescent="0.25">
      <c r="G1699" s="165"/>
      <c r="H1699" s="166"/>
      <c r="I1699" s="167"/>
      <c r="J1699" s="167"/>
      <c r="K1699" s="166"/>
      <c r="L1699" s="166"/>
      <c r="M1699" s="166"/>
      <c r="N1699" s="166"/>
      <c r="O1699" s="166"/>
      <c r="P1699" s="166"/>
      <c r="Q1699" s="166"/>
      <c r="R1699" s="166"/>
      <c r="S1699" s="166"/>
      <c r="T1699" s="166"/>
      <c r="U1699" s="166"/>
      <c r="V1699" s="166"/>
      <c r="W1699" s="166"/>
      <c r="X1699" s="166"/>
      <c r="Y1699" s="166"/>
      <c r="Z1699" s="166"/>
      <c r="AA1699" s="166"/>
      <c r="AB1699" s="166"/>
      <c r="AC1699" s="166"/>
      <c r="AD1699" s="166"/>
      <c r="AE1699" s="166"/>
      <c r="AF1699" s="166"/>
      <c r="AG1699" s="166"/>
      <c r="AH1699" s="166"/>
      <c r="AI1699" s="166"/>
    </row>
    <row r="1700" spans="7:35" x14ac:dyDescent="0.25">
      <c r="G1700" s="165"/>
      <c r="H1700" s="166"/>
      <c r="I1700" s="167"/>
      <c r="J1700" s="167"/>
      <c r="K1700" s="166"/>
      <c r="L1700" s="166"/>
      <c r="M1700" s="166"/>
      <c r="N1700" s="166"/>
      <c r="O1700" s="166"/>
      <c r="P1700" s="166"/>
      <c r="Q1700" s="166"/>
      <c r="R1700" s="166"/>
      <c r="S1700" s="166"/>
      <c r="T1700" s="166"/>
      <c r="U1700" s="166"/>
      <c r="V1700" s="166"/>
      <c r="W1700" s="166"/>
      <c r="X1700" s="166"/>
      <c r="Y1700" s="166"/>
      <c r="Z1700" s="166"/>
      <c r="AA1700" s="166"/>
      <c r="AB1700" s="166"/>
      <c r="AC1700" s="166"/>
      <c r="AD1700" s="166"/>
      <c r="AE1700" s="166"/>
      <c r="AF1700" s="166"/>
      <c r="AG1700" s="166"/>
      <c r="AH1700" s="166"/>
      <c r="AI1700" s="166"/>
    </row>
    <row r="1701" spans="7:35" x14ac:dyDescent="0.25">
      <c r="G1701" s="165"/>
      <c r="H1701" s="166"/>
      <c r="I1701" s="167"/>
      <c r="J1701" s="167"/>
      <c r="K1701" s="166"/>
      <c r="L1701" s="166"/>
      <c r="M1701" s="166"/>
      <c r="N1701" s="166"/>
      <c r="O1701" s="166"/>
      <c r="P1701" s="166"/>
      <c r="Q1701" s="166"/>
      <c r="R1701" s="166"/>
      <c r="S1701" s="166"/>
      <c r="T1701" s="166"/>
      <c r="U1701" s="166"/>
      <c r="V1701" s="166"/>
      <c r="W1701" s="166"/>
      <c r="X1701" s="166"/>
      <c r="Y1701" s="166"/>
      <c r="Z1701" s="166"/>
      <c r="AA1701" s="166"/>
      <c r="AB1701" s="166"/>
      <c r="AC1701" s="166"/>
      <c r="AD1701" s="166"/>
      <c r="AE1701" s="166"/>
      <c r="AF1701" s="166"/>
      <c r="AG1701" s="166"/>
      <c r="AH1701" s="166"/>
      <c r="AI1701" s="166"/>
    </row>
    <row r="1702" spans="7:35" x14ac:dyDescent="0.25">
      <c r="G1702" s="165"/>
      <c r="H1702" s="166"/>
      <c r="I1702" s="167"/>
      <c r="J1702" s="167"/>
      <c r="K1702" s="166"/>
      <c r="L1702" s="166"/>
      <c r="M1702" s="166"/>
      <c r="N1702" s="166"/>
      <c r="O1702" s="166"/>
      <c r="P1702" s="166"/>
      <c r="Q1702" s="166"/>
      <c r="R1702" s="166"/>
      <c r="S1702" s="166"/>
      <c r="T1702" s="166"/>
      <c r="U1702" s="166"/>
      <c r="V1702" s="166"/>
      <c r="W1702" s="166"/>
      <c r="X1702" s="166"/>
      <c r="Y1702" s="166"/>
      <c r="Z1702" s="166"/>
      <c r="AA1702" s="166"/>
      <c r="AB1702" s="166"/>
      <c r="AC1702" s="166"/>
      <c r="AD1702" s="166"/>
      <c r="AE1702" s="166"/>
      <c r="AF1702" s="166"/>
      <c r="AG1702" s="166"/>
      <c r="AH1702" s="166"/>
      <c r="AI1702" s="166"/>
    </row>
    <row r="1703" spans="7:35" x14ac:dyDescent="0.25">
      <c r="G1703" s="165"/>
      <c r="H1703" s="166"/>
      <c r="I1703" s="167"/>
      <c r="J1703" s="167"/>
      <c r="K1703" s="166"/>
      <c r="L1703" s="166"/>
      <c r="M1703" s="166"/>
      <c r="N1703" s="166"/>
      <c r="O1703" s="166"/>
      <c r="P1703" s="166"/>
      <c r="Q1703" s="166"/>
      <c r="R1703" s="166"/>
      <c r="S1703" s="166"/>
      <c r="T1703" s="166"/>
      <c r="U1703" s="166"/>
      <c r="V1703" s="166"/>
      <c r="W1703" s="166"/>
      <c r="X1703" s="166"/>
      <c r="Y1703" s="166"/>
      <c r="Z1703" s="166"/>
      <c r="AA1703" s="166"/>
      <c r="AB1703" s="166"/>
      <c r="AC1703" s="166"/>
      <c r="AD1703" s="166"/>
      <c r="AE1703" s="166"/>
      <c r="AF1703" s="166"/>
      <c r="AG1703" s="166"/>
      <c r="AH1703" s="166"/>
      <c r="AI1703" s="166"/>
    </row>
    <row r="1704" spans="7:35" x14ac:dyDescent="0.25">
      <c r="G1704" s="165"/>
      <c r="H1704" s="166"/>
      <c r="I1704" s="167"/>
      <c r="J1704" s="167"/>
      <c r="K1704" s="166"/>
      <c r="L1704" s="166"/>
      <c r="M1704" s="166"/>
      <c r="N1704" s="166"/>
      <c r="O1704" s="166"/>
      <c r="P1704" s="166"/>
      <c r="Q1704" s="166"/>
      <c r="R1704" s="166"/>
      <c r="S1704" s="166"/>
      <c r="T1704" s="166"/>
      <c r="U1704" s="166"/>
      <c r="V1704" s="166"/>
      <c r="W1704" s="166"/>
      <c r="X1704" s="166"/>
      <c r="Y1704" s="166"/>
      <c r="Z1704" s="166"/>
      <c r="AA1704" s="166"/>
      <c r="AB1704" s="166"/>
      <c r="AC1704" s="166"/>
      <c r="AD1704" s="166"/>
      <c r="AE1704" s="166"/>
      <c r="AF1704" s="166"/>
      <c r="AG1704" s="166"/>
      <c r="AH1704" s="166"/>
      <c r="AI1704" s="166"/>
    </row>
    <row r="1705" spans="7:35" x14ac:dyDescent="0.25">
      <c r="G1705" s="165"/>
      <c r="H1705" s="166"/>
      <c r="I1705" s="167"/>
      <c r="J1705" s="167"/>
      <c r="K1705" s="166"/>
      <c r="L1705" s="166"/>
      <c r="M1705" s="166"/>
      <c r="N1705" s="166"/>
      <c r="O1705" s="166"/>
      <c r="P1705" s="166"/>
      <c r="Q1705" s="166"/>
      <c r="R1705" s="166"/>
      <c r="S1705" s="166"/>
      <c r="T1705" s="166"/>
      <c r="U1705" s="166"/>
      <c r="V1705" s="166"/>
      <c r="W1705" s="166"/>
      <c r="X1705" s="166"/>
      <c r="Y1705" s="166"/>
      <c r="Z1705" s="166"/>
      <c r="AA1705" s="166"/>
      <c r="AB1705" s="166"/>
      <c r="AC1705" s="166"/>
      <c r="AD1705" s="166"/>
      <c r="AE1705" s="166"/>
      <c r="AF1705" s="166"/>
      <c r="AG1705" s="166"/>
      <c r="AH1705" s="166"/>
      <c r="AI1705" s="166"/>
    </row>
    <row r="1706" spans="7:35" x14ac:dyDescent="0.25">
      <c r="G1706" s="165"/>
      <c r="H1706" s="166"/>
      <c r="I1706" s="167"/>
      <c r="J1706" s="167"/>
      <c r="K1706" s="166"/>
      <c r="L1706" s="166"/>
      <c r="M1706" s="166"/>
      <c r="N1706" s="166"/>
      <c r="O1706" s="166"/>
      <c r="P1706" s="166"/>
      <c r="Q1706" s="166"/>
      <c r="R1706" s="166"/>
      <c r="S1706" s="166"/>
      <c r="T1706" s="166"/>
      <c r="U1706" s="166"/>
      <c r="V1706" s="166"/>
      <c r="W1706" s="166"/>
      <c r="X1706" s="166"/>
      <c r="Y1706" s="166"/>
      <c r="Z1706" s="166"/>
      <c r="AA1706" s="166"/>
      <c r="AB1706" s="166"/>
      <c r="AC1706" s="166"/>
      <c r="AD1706" s="166"/>
      <c r="AE1706" s="166"/>
      <c r="AF1706" s="166"/>
      <c r="AG1706" s="166"/>
      <c r="AH1706" s="166"/>
      <c r="AI1706" s="166"/>
    </row>
    <row r="1707" spans="7:35" x14ac:dyDescent="0.25">
      <c r="G1707" s="165"/>
      <c r="H1707" s="166"/>
      <c r="I1707" s="167"/>
      <c r="J1707" s="167"/>
      <c r="K1707" s="166"/>
      <c r="L1707" s="166"/>
      <c r="M1707" s="166"/>
      <c r="N1707" s="166"/>
      <c r="O1707" s="166"/>
      <c r="P1707" s="166"/>
      <c r="Q1707" s="166"/>
      <c r="R1707" s="166"/>
      <c r="S1707" s="166"/>
      <c r="T1707" s="166"/>
      <c r="U1707" s="166"/>
      <c r="V1707" s="166"/>
      <c r="W1707" s="166"/>
      <c r="X1707" s="166"/>
      <c r="Y1707" s="166"/>
      <c r="Z1707" s="166"/>
      <c r="AA1707" s="166"/>
      <c r="AB1707" s="166"/>
      <c r="AC1707" s="166"/>
      <c r="AD1707" s="166"/>
      <c r="AE1707" s="166"/>
      <c r="AF1707" s="166"/>
      <c r="AG1707" s="166"/>
      <c r="AH1707" s="166"/>
      <c r="AI1707" s="166"/>
    </row>
    <row r="1708" spans="7:35" x14ac:dyDescent="0.25">
      <c r="G1708" s="165"/>
      <c r="H1708" s="166"/>
      <c r="I1708" s="167"/>
      <c r="J1708" s="167"/>
      <c r="K1708" s="166"/>
      <c r="L1708" s="166"/>
      <c r="M1708" s="166"/>
      <c r="N1708" s="166"/>
      <c r="O1708" s="166"/>
      <c r="P1708" s="166"/>
      <c r="Q1708" s="166"/>
      <c r="R1708" s="166"/>
      <c r="S1708" s="166"/>
      <c r="T1708" s="166"/>
      <c r="U1708" s="166"/>
      <c r="V1708" s="166"/>
      <c r="W1708" s="166"/>
      <c r="X1708" s="166"/>
      <c r="Y1708" s="166"/>
      <c r="Z1708" s="166"/>
      <c r="AA1708" s="166"/>
      <c r="AB1708" s="166"/>
      <c r="AC1708" s="166"/>
      <c r="AD1708" s="166"/>
      <c r="AE1708" s="166"/>
      <c r="AF1708" s="166"/>
      <c r="AG1708" s="166"/>
      <c r="AH1708" s="166"/>
      <c r="AI1708" s="166"/>
    </row>
    <row r="1709" spans="7:35" x14ac:dyDescent="0.25">
      <c r="G1709" s="165"/>
      <c r="H1709" s="166"/>
      <c r="I1709" s="167"/>
      <c r="J1709" s="167"/>
      <c r="K1709" s="166"/>
      <c r="L1709" s="166"/>
      <c r="M1709" s="166"/>
      <c r="N1709" s="166"/>
      <c r="O1709" s="166"/>
      <c r="P1709" s="166"/>
      <c r="Q1709" s="166"/>
      <c r="R1709" s="166"/>
      <c r="S1709" s="166"/>
      <c r="T1709" s="166"/>
      <c r="U1709" s="166"/>
      <c r="V1709" s="166"/>
      <c r="W1709" s="166"/>
      <c r="X1709" s="166"/>
      <c r="Y1709" s="166"/>
      <c r="Z1709" s="166"/>
      <c r="AA1709" s="166"/>
      <c r="AB1709" s="166"/>
      <c r="AC1709" s="166"/>
      <c r="AD1709" s="166"/>
      <c r="AE1709" s="166"/>
      <c r="AF1709" s="166"/>
      <c r="AG1709" s="166"/>
      <c r="AH1709" s="166"/>
      <c r="AI1709" s="166"/>
    </row>
    <row r="1710" spans="7:35" x14ac:dyDescent="0.25">
      <c r="G1710" s="165"/>
      <c r="H1710" s="166"/>
      <c r="I1710" s="167"/>
      <c r="J1710" s="167"/>
      <c r="K1710" s="166"/>
      <c r="L1710" s="166"/>
      <c r="M1710" s="166"/>
      <c r="N1710" s="166"/>
      <c r="O1710" s="166"/>
      <c r="P1710" s="166"/>
      <c r="Q1710" s="166"/>
      <c r="R1710" s="166"/>
      <c r="S1710" s="166"/>
      <c r="T1710" s="166"/>
      <c r="U1710" s="166"/>
      <c r="V1710" s="166"/>
      <c r="W1710" s="166"/>
      <c r="X1710" s="166"/>
      <c r="Y1710" s="166"/>
      <c r="Z1710" s="166"/>
      <c r="AA1710" s="166"/>
      <c r="AB1710" s="166"/>
      <c r="AC1710" s="166"/>
      <c r="AD1710" s="166"/>
      <c r="AE1710" s="166"/>
      <c r="AF1710" s="166"/>
      <c r="AG1710" s="166"/>
      <c r="AH1710" s="166"/>
      <c r="AI1710" s="166"/>
    </row>
    <row r="1711" spans="7:35" x14ac:dyDescent="0.25">
      <c r="G1711" s="165"/>
      <c r="H1711" s="166"/>
      <c r="I1711" s="167"/>
      <c r="J1711" s="167"/>
      <c r="K1711" s="166"/>
      <c r="L1711" s="166"/>
      <c r="M1711" s="166"/>
      <c r="N1711" s="166"/>
      <c r="O1711" s="166"/>
      <c r="P1711" s="166"/>
      <c r="Q1711" s="166"/>
      <c r="R1711" s="166"/>
      <c r="S1711" s="166"/>
      <c r="T1711" s="166"/>
      <c r="U1711" s="166"/>
      <c r="V1711" s="166"/>
      <c r="W1711" s="166"/>
      <c r="X1711" s="166"/>
      <c r="Y1711" s="166"/>
      <c r="Z1711" s="166"/>
      <c r="AA1711" s="166"/>
      <c r="AB1711" s="166"/>
      <c r="AC1711" s="166"/>
      <c r="AD1711" s="166"/>
      <c r="AE1711" s="166"/>
      <c r="AF1711" s="166"/>
      <c r="AG1711" s="166"/>
      <c r="AH1711" s="166"/>
      <c r="AI1711" s="166"/>
    </row>
    <row r="1712" spans="7:35" x14ac:dyDescent="0.25">
      <c r="G1712" s="165"/>
      <c r="H1712" s="166"/>
      <c r="I1712" s="167"/>
      <c r="J1712" s="167"/>
      <c r="K1712" s="166"/>
      <c r="L1712" s="166"/>
      <c r="M1712" s="166"/>
      <c r="N1712" s="166"/>
      <c r="O1712" s="166"/>
      <c r="P1712" s="166"/>
      <c r="Q1712" s="166"/>
      <c r="R1712" s="166"/>
      <c r="S1712" s="166"/>
      <c r="T1712" s="166"/>
      <c r="U1712" s="166"/>
      <c r="V1712" s="166"/>
      <c r="W1712" s="166"/>
      <c r="X1712" s="166"/>
      <c r="Y1712" s="166"/>
      <c r="Z1712" s="166"/>
      <c r="AA1712" s="166"/>
      <c r="AB1712" s="166"/>
      <c r="AC1712" s="166"/>
      <c r="AD1712" s="166"/>
      <c r="AE1712" s="166"/>
      <c r="AF1712" s="166"/>
      <c r="AG1712" s="166"/>
      <c r="AH1712" s="166"/>
      <c r="AI1712" s="166"/>
    </row>
    <row r="1713" spans="7:35" x14ac:dyDescent="0.25">
      <c r="G1713" s="165"/>
      <c r="H1713" s="166"/>
      <c r="I1713" s="167"/>
      <c r="J1713" s="167"/>
      <c r="K1713" s="166"/>
      <c r="L1713" s="166"/>
      <c r="M1713" s="166"/>
      <c r="N1713" s="166"/>
      <c r="O1713" s="166"/>
      <c r="P1713" s="166"/>
      <c r="Q1713" s="166"/>
      <c r="R1713" s="166"/>
      <c r="S1713" s="166"/>
      <c r="T1713" s="166"/>
      <c r="U1713" s="166"/>
      <c r="V1713" s="166"/>
      <c r="W1713" s="166"/>
      <c r="X1713" s="166"/>
      <c r="Y1713" s="166"/>
      <c r="Z1713" s="166"/>
      <c r="AA1713" s="166"/>
      <c r="AB1713" s="166"/>
      <c r="AC1713" s="166"/>
      <c r="AD1713" s="166"/>
      <c r="AE1713" s="166"/>
      <c r="AF1713" s="166"/>
      <c r="AG1713" s="166"/>
      <c r="AH1713" s="166"/>
      <c r="AI1713" s="166"/>
    </row>
    <row r="1714" spans="7:35" x14ac:dyDescent="0.25">
      <c r="G1714" s="165"/>
      <c r="H1714" s="166"/>
      <c r="I1714" s="167"/>
      <c r="J1714" s="167"/>
      <c r="K1714" s="166"/>
      <c r="L1714" s="166"/>
      <c r="M1714" s="166"/>
      <c r="N1714" s="166"/>
      <c r="O1714" s="166"/>
      <c r="P1714" s="166"/>
      <c r="Q1714" s="166"/>
      <c r="R1714" s="166"/>
      <c r="S1714" s="166"/>
      <c r="T1714" s="166"/>
      <c r="U1714" s="166"/>
      <c r="V1714" s="166"/>
      <c r="W1714" s="166"/>
      <c r="X1714" s="166"/>
      <c r="Y1714" s="166"/>
      <c r="Z1714" s="166"/>
      <c r="AA1714" s="166"/>
      <c r="AB1714" s="166"/>
      <c r="AC1714" s="166"/>
      <c r="AD1714" s="166"/>
      <c r="AE1714" s="166"/>
      <c r="AF1714" s="166"/>
      <c r="AG1714" s="166"/>
      <c r="AH1714" s="166"/>
      <c r="AI1714" s="166"/>
    </row>
    <row r="1715" spans="7:35" x14ac:dyDescent="0.25">
      <c r="G1715" s="165"/>
      <c r="H1715" s="166"/>
      <c r="I1715" s="167"/>
      <c r="J1715" s="167"/>
      <c r="K1715" s="166"/>
      <c r="L1715" s="166"/>
      <c r="M1715" s="166"/>
      <c r="N1715" s="166"/>
      <c r="O1715" s="166"/>
      <c r="P1715" s="166"/>
      <c r="Q1715" s="166"/>
      <c r="R1715" s="166"/>
      <c r="S1715" s="166"/>
      <c r="T1715" s="166"/>
      <c r="U1715" s="166"/>
      <c r="V1715" s="166"/>
      <c r="W1715" s="166"/>
      <c r="X1715" s="166"/>
      <c r="Y1715" s="166"/>
      <c r="Z1715" s="166"/>
      <c r="AA1715" s="166"/>
      <c r="AB1715" s="166"/>
      <c r="AC1715" s="166"/>
      <c r="AD1715" s="166"/>
      <c r="AE1715" s="166"/>
      <c r="AF1715" s="166"/>
      <c r="AG1715" s="166"/>
      <c r="AH1715" s="166"/>
      <c r="AI1715" s="166"/>
    </row>
    <row r="1716" spans="7:35" x14ac:dyDescent="0.25">
      <c r="G1716" s="165"/>
      <c r="H1716" s="166"/>
      <c r="I1716" s="167"/>
      <c r="J1716" s="167"/>
      <c r="K1716" s="166"/>
      <c r="L1716" s="166"/>
      <c r="M1716" s="166"/>
      <c r="N1716" s="166"/>
      <c r="O1716" s="166"/>
      <c r="P1716" s="166"/>
      <c r="Q1716" s="166"/>
      <c r="R1716" s="166"/>
      <c r="S1716" s="166"/>
      <c r="T1716" s="166"/>
      <c r="U1716" s="166"/>
      <c r="V1716" s="166"/>
      <c r="W1716" s="166"/>
      <c r="X1716" s="166"/>
      <c r="Y1716" s="166"/>
      <c r="Z1716" s="166"/>
      <c r="AA1716" s="166"/>
      <c r="AB1716" s="166"/>
      <c r="AC1716" s="166"/>
      <c r="AD1716" s="166"/>
      <c r="AE1716" s="166"/>
      <c r="AF1716" s="166"/>
      <c r="AG1716" s="166"/>
      <c r="AH1716" s="166"/>
      <c r="AI1716" s="166"/>
    </row>
    <row r="1717" spans="7:35" x14ac:dyDescent="0.25">
      <c r="G1717" s="165"/>
      <c r="H1717" s="166"/>
      <c r="I1717" s="167"/>
      <c r="J1717" s="167"/>
      <c r="K1717" s="166"/>
      <c r="L1717" s="166"/>
      <c r="M1717" s="166"/>
      <c r="N1717" s="166"/>
      <c r="O1717" s="166"/>
      <c r="P1717" s="166"/>
      <c r="Q1717" s="166"/>
      <c r="R1717" s="166"/>
      <c r="S1717" s="166"/>
      <c r="T1717" s="166"/>
      <c r="U1717" s="166"/>
      <c r="V1717" s="166"/>
      <c r="W1717" s="166"/>
      <c r="X1717" s="166"/>
      <c r="Y1717" s="166"/>
      <c r="Z1717" s="166"/>
      <c r="AA1717" s="166"/>
      <c r="AB1717" s="166"/>
      <c r="AC1717" s="166"/>
      <c r="AD1717" s="166"/>
      <c r="AE1717" s="166"/>
      <c r="AF1717" s="166"/>
      <c r="AG1717" s="166"/>
      <c r="AH1717" s="166"/>
      <c r="AI1717" s="166"/>
    </row>
    <row r="1718" spans="7:35" x14ac:dyDescent="0.25">
      <c r="G1718" s="165"/>
      <c r="H1718" s="166"/>
      <c r="I1718" s="167"/>
      <c r="J1718" s="167"/>
      <c r="K1718" s="166"/>
      <c r="L1718" s="166"/>
      <c r="M1718" s="166"/>
      <c r="N1718" s="166"/>
      <c r="O1718" s="166"/>
      <c r="P1718" s="166"/>
      <c r="Q1718" s="166"/>
      <c r="R1718" s="166"/>
      <c r="S1718" s="166"/>
      <c r="T1718" s="166"/>
      <c r="U1718" s="166"/>
      <c r="V1718" s="166"/>
      <c r="W1718" s="166"/>
      <c r="X1718" s="166"/>
      <c r="Y1718" s="166"/>
      <c r="Z1718" s="166"/>
      <c r="AA1718" s="166"/>
      <c r="AB1718" s="166"/>
      <c r="AC1718" s="166"/>
      <c r="AD1718" s="166"/>
      <c r="AE1718" s="166"/>
      <c r="AF1718" s="166"/>
      <c r="AG1718" s="166"/>
      <c r="AH1718" s="166"/>
      <c r="AI1718" s="166"/>
    </row>
    <row r="1719" spans="7:35" x14ac:dyDescent="0.25">
      <c r="G1719" s="165"/>
      <c r="H1719" s="166"/>
      <c r="I1719" s="167"/>
      <c r="J1719" s="167"/>
      <c r="K1719" s="166"/>
      <c r="L1719" s="166"/>
      <c r="M1719" s="166"/>
      <c r="N1719" s="166"/>
      <c r="O1719" s="166"/>
      <c r="P1719" s="166"/>
      <c r="Q1719" s="166"/>
      <c r="R1719" s="166"/>
      <c r="S1719" s="166"/>
      <c r="T1719" s="166"/>
      <c r="U1719" s="166"/>
      <c r="V1719" s="166"/>
      <c r="W1719" s="166"/>
      <c r="X1719" s="166"/>
      <c r="Y1719" s="166"/>
      <c r="Z1719" s="166"/>
      <c r="AA1719" s="166"/>
      <c r="AB1719" s="166"/>
      <c r="AC1719" s="166"/>
      <c r="AD1719" s="166"/>
      <c r="AE1719" s="166"/>
      <c r="AF1719" s="166"/>
      <c r="AG1719" s="166"/>
      <c r="AH1719" s="166"/>
      <c r="AI1719" s="166"/>
    </row>
    <row r="1720" spans="7:35" x14ac:dyDescent="0.25">
      <c r="G1720" s="165"/>
      <c r="H1720" s="166"/>
      <c r="I1720" s="167"/>
      <c r="J1720" s="167"/>
      <c r="K1720" s="166"/>
      <c r="L1720" s="166"/>
      <c r="M1720" s="166"/>
      <c r="N1720" s="166"/>
      <c r="O1720" s="166"/>
      <c r="P1720" s="166"/>
      <c r="Q1720" s="166"/>
      <c r="R1720" s="166"/>
      <c r="S1720" s="166"/>
      <c r="T1720" s="166"/>
      <c r="U1720" s="166"/>
      <c r="V1720" s="166"/>
      <c r="W1720" s="166"/>
      <c r="X1720" s="166"/>
      <c r="Y1720" s="166"/>
      <c r="Z1720" s="166"/>
      <c r="AA1720" s="166"/>
      <c r="AB1720" s="166"/>
      <c r="AC1720" s="166"/>
      <c r="AD1720" s="166"/>
      <c r="AE1720" s="166"/>
      <c r="AF1720" s="166"/>
      <c r="AG1720" s="166"/>
      <c r="AH1720" s="166"/>
      <c r="AI1720" s="166"/>
    </row>
    <row r="1721" spans="7:35" x14ac:dyDescent="0.25">
      <c r="G1721" s="165"/>
      <c r="H1721" s="166"/>
      <c r="I1721" s="167"/>
      <c r="J1721" s="167"/>
      <c r="K1721" s="166"/>
      <c r="L1721" s="166"/>
      <c r="M1721" s="166"/>
      <c r="N1721" s="166"/>
      <c r="O1721" s="166"/>
      <c r="P1721" s="166"/>
      <c r="Q1721" s="166"/>
      <c r="R1721" s="166"/>
      <c r="S1721" s="166"/>
      <c r="T1721" s="166"/>
      <c r="U1721" s="166"/>
      <c r="V1721" s="166"/>
      <c r="W1721" s="166"/>
      <c r="X1721" s="166"/>
      <c r="Y1721" s="166"/>
      <c r="Z1721" s="166"/>
      <c r="AA1721" s="166"/>
      <c r="AB1721" s="166"/>
      <c r="AC1721" s="166"/>
      <c r="AD1721" s="166"/>
      <c r="AE1721" s="166"/>
      <c r="AF1721" s="166"/>
      <c r="AG1721" s="166"/>
      <c r="AH1721" s="166"/>
      <c r="AI1721" s="166"/>
    </row>
    <row r="1722" spans="7:35" x14ac:dyDescent="0.25">
      <c r="G1722" s="165"/>
      <c r="H1722" s="166"/>
      <c r="I1722" s="167"/>
      <c r="J1722" s="167"/>
      <c r="K1722" s="166"/>
      <c r="L1722" s="166"/>
      <c r="M1722" s="166"/>
      <c r="N1722" s="166"/>
      <c r="O1722" s="166"/>
      <c r="P1722" s="166"/>
      <c r="Q1722" s="166"/>
      <c r="R1722" s="166"/>
      <c r="S1722" s="166"/>
      <c r="T1722" s="166"/>
      <c r="U1722" s="166"/>
      <c r="V1722" s="166"/>
      <c r="W1722" s="166"/>
      <c r="X1722" s="166"/>
      <c r="Y1722" s="166"/>
      <c r="Z1722" s="166"/>
      <c r="AA1722" s="166"/>
      <c r="AB1722" s="166"/>
      <c r="AC1722" s="166"/>
      <c r="AD1722" s="166"/>
      <c r="AE1722" s="166"/>
      <c r="AF1722" s="166"/>
      <c r="AG1722" s="166"/>
      <c r="AH1722" s="166"/>
      <c r="AI1722" s="166"/>
    </row>
    <row r="1723" spans="7:35" x14ac:dyDescent="0.25">
      <c r="G1723" s="165"/>
      <c r="H1723" s="166"/>
      <c r="I1723" s="167"/>
      <c r="J1723" s="167"/>
      <c r="K1723" s="166"/>
      <c r="L1723" s="166"/>
      <c r="M1723" s="166"/>
      <c r="N1723" s="166"/>
      <c r="O1723" s="166"/>
      <c r="P1723" s="166"/>
      <c r="Q1723" s="166"/>
      <c r="R1723" s="166"/>
      <c r="S1723" s="166"/>
      <c r="T1723" s="166"/>
      <c r="U1723" s="166"/>
      <c r="V1723" s="166"/>
      <c r="W1723" s="166"/>
      <c r="X1723" s="166"/>
      <c r="Y1723" s="166"/>
      <c r="Z1723" s="166"/>
      <c r="AA1723" s="166"/>
      <c r="AB1723" s="166"/>
      <c r="AC1723" s="166"/>
      <c r="AD1723" s="166"/>
      <c r="AE1723" s="166"/>
      <c r="AF1723" s="166"/>
      <c r="AG1723" s="166"/>
      <c r="AH1723" s="166"/>
      <c r="AI1723" s="166"/>
    </row>
    <row r="1724" spans="7:35" x14ac:dyDescent="0.25">
      <c r="G1724" s="165"/>
      <c r="H1724" s="166"/>
      <c r="I1724" s="167"/>
      <c r="J1724" s="167"/>
      <c r="K1724" s="166"/>
      <c r="L1724" s="166"/>
      <c r="M1724" s="166"/>
      <c r="N1724" s="166"/>
      <c r="O1724" s="166"/>
      <c r="P1724" s="166"/>
      <c r="Q1724" s="166"/>
      <c r="R1724" s="166"/>
      <c r="S1724" s="166"/>
      <c r="T1724" s="166"/>
      <c r="U1724" s="166"/>
      <c r="V1724" s="166"/>
      <c r="W1724" s="166"/>
      <c r="X1724" s="166"/>
      <c r="Y1724" s="166"/>
      <c r="Z1724" s="166"/>
      <c r="AA1724" s="166"/>
      <c r="AB1724" s="166"/>
      <c r="AC1724" s="166"/>
      <c r="AD1724" s="166"/>
      <c r="AE1724" s="166"/>
      <c r="AF1724" s="166"/>
      <c r="AG1724" s="166"/>
      <c r="AH1724" s="166"/>
      <c r="AI1724" s="166"/>
    </row>
    <row r="1725" spans="7:35" x14ac:dyDescent="0.25">
      <c r="G1725" s="165"/>
      <c r="H1725" s="166"/>
      <c r="I1725" s="167"/>
      <c r="J1725" s="167"/>
      <c r="K1725" s="166"/>
      <c r="L1725" s="166"/>
      <c r="M1725" s="166"/>
      <c r="N1725" s="166"/>
      <c r="O1725" s="166"/>
      <c r="P1725" s="166"/>
      <c r="Q1725" s="166"/>
      <c r="R1725" s="166"/>
      <c r="S1725" s="166"/>
      <c r="T1725" s="166"/>
      <c r="U1725" s="166"/>
      <c r="V1725" s="166"/>
      <c r="W1725" s="166"/>
      <c r="X1725" s="166"/>
      <c r="Y1725" s="166"/>
      <c r="Z1725" s="166"/>
      <c r="AA1725" s="166"/>
      <c r="AB1725" s="166"/>
      <c r="AC1725" s="166"/>
      <c r="AD1725" s="166"/>
      <c r="AE1725" s="166"/>
      <c r="AF1725" s="166"/>
      <c r="AG1725" s="166"/>
      <c r="AH1725" s="166"/>
      <c r="AI1725" s="166"/>
    </row>
    <row r="1726" spans="7:35" x14ac:dyDescent="0.25">
      <c r="G1726" s="165"/>
      <c r="H1726" s="166"/>
      <c r="I1726" s="167"/>
      <c r="J1726" s="167"/>
      <c r="K1726" s="166"/>
      <c r="L1726" s="166"/>
      <c r="M1726" s="166"/>
      <c r="N1726" s="166"/>
      <c r="O1726" s="166"/>
      <c r="P1726" s="166"/>
      <c r="Q1726" s="166"/>
      <c r="R1726" s="166"/>
      <c r="S1726" s="166"/>
      <c r="T1726" s="166"/>
      <c r="U1726" s="166"/>
      <c r="V1726" s="166"/>
      <c r="W1726" s="166"/>
      <c r="X1726" s="166"/>
      <c r="Y1726" s="166"/>
      <c r="Z1726" s="166"/>
      <c r="AA1726" s="166"/>
      <c r="AB1726" s="166"/>
      <c r="AC1726" s="166"/>
      <c r="AD1726" s="166"/>
      <c r="AE1726" s="166"/>
      <c r="AF1726" s="166"/>
      <c r="AG1726" s="166"/>
      <c r="AH1726" s="166"/>
      <c r="AI1726" s="166"/>
    </row>
    <row r="1727" spans="7:35" x14ac:dyDescent="0.25">
      <c r="G1727" s="165"/>
      <c r="H1727" s="166"/>
      <c r="I1727" s="167"/>
      <c r="J1727" s="167"/>
      <c r="K1727" s="166"/>
      <c r="L1727" s="166"/>
      <c r="M1727" s="166"/>
      <c r="N1727" s="166"/>
      <c r="O1727" s="166"/>
      <c r="P1727" s="166"/>
      <c r="Q1727" s="166"/>
      <c r="R1727" s="166"/>
      <c r="S1727" s="166"/>
      <c r="T1727" s="166"/>
      <c r="U1727" s="166"/>
      <c r="V1727" s="166"/>
      <c r="W1727" s="166"/>
      <c r="X1727" s="166"/>
      <c r="Y1727" s="166"/>
      <c r="Z1727" s="166"/>
      <c r="AA1727" s="166"/>
      <c r="AB1727" s="166"/>
      <c r="AC1727" s="166"/>
      <c r="AD1727" s="166"/>
      <c r="AE1727" s="166"/>
      <c r="AF1727" s="166"/>
      <c r="AG1727" s="166"/>
      <c r="AH1727" s="166"/>
      <c r="AI1727" s="166"/>
    </row>
    <row r="1728" spans="7:35" x14ac:dyDescent="0.25">
      <c r="G1728" s="165"/>
      <c r="H1728" s="166"/>
      <c r="I1728" s="167"/>
      <c r="J1728" s="167"/>
      <c r="K1728" s="166"/>
      <c r="L1728" s="166"/>
      <c r="M1728" s="166"/>
      <c r="N1728" s="166"/>
      <c r="O1728" s="166"/>
      <c r="P1728" s="166"/>
      <c r="Q1728" s="166"/>
      <c r="R1728" s="166"/>
      <c r="S1728" s="166"/>
      <c r="T1728" s="166"/>
      <c r="U1728" s="166"/>
      <c r="V1728" s="166"/>
      <c r="W1728" s="166"/>
      <c r="X1728" s="166"/>
      <c r="Y1728" s="166"/>
      <c r="Z1728" s="166"/>
      <c r="AA1728" s="166"/>
      <c r="AB1728" s="166"/>
      <c r="AC1728" s="166"/>
      <c r="AD1728" s="166"/>
      <c r="AE1728" s="166"/>
      <c r="AF1728" s="166"/>
      <c r="AG1728" s="166"/>
      <c r="AH1728" s="166"/>
      <c r="AI1728" s="166"/>
    </row>
    <row r="1729" spans="7:35" x14ac:dyDescent="0.25">
      <c r="G1729" s="165"/>
      <c r="H1729" s="166"/>
      <c r="I1729" s="167"/>
      <c r="J1729" s="167"/>
      <c r="K1729" s="166"/>
      <c r="L1729" s="166"/>
      <c r="M1729" s="166"/>
      <c r="N1729" s="166"/>
      <c r="O1729" s="166"/>
      <c r="P1729" s="166"/>
      <c r="Q1729" s="166"/>
      <c r="R1729" s="166"/>
      <c r="S1729" s="166"/>
      <c r="T1729" s="166"/>
      <c r="U1729" s="166"/>
      <c r="V1729" s="166"/>
      <c r="W1729" s="166"/>
      <c r="X1729" s="166"/>
      <c r="Y1729" s="166"/>
      <c r="Z1729" s="166"/>
      <c r="AA1729" s="166"/>
      <c r="AB1729" s="166"/>
      <c r="AC1729" s="166"/>
      <c r="AD1729" s="166"/>
      <c r="AE1729" s="166"/>
      <c r="AF1729" s="166"/>
      <c r="AG1729" s="166"/>
      <c r="AH1729" s="166"/>
      <c r="AI1729" s="166"/>
    </row>
    <row r="1730" spans="7:35" x14ac:dyDescent="0.25">
      <c r="G1730" s="165"/>
      <c r="H1730" s="166"/>
      <c r="I1730" s="167"/>
      <c r="J1730" s="167"/>
      <c r="K1730" s="166"/>
      <c r="L1730" s="166"/>
      <c r="M1730" s="166"/>
      <c r="N1730" s="166"/>
      <c r="O1730" s="166"/>
      <c r="P1730" s="166"/>
      <c r="Q1730" s="166"/>
      <c r="R1730" s="166"/>
      <c r="S1730" s="166"/>
      <c r="T1730" s="166"/>
      <c r="U1730" s="166"/>
      <c r="V1730" s="166"/>
      <c r="W1730" s="166"/>
      <c r="X1730" s="166"/>
      <c r="Y1730" s="166"/>
      <c r="Z1730" s="166"/>
      <c r="AA1730" s="166"/>
      <c r="AB1730" s="166"/>
      <c r="AC1730" s="166"/>
      <c r="AD1730" s="166"/>
      <c r="AE1730" s="166"/>
      <c r="AF1730" s="166"/>
      <c r="AG1730" s="166"/>
      <c r="AH1730" s="166"/>
      <c r="AI1730" s="166"/>
    </row>
    <row r="1731" spans="7:35" x14ac:dyDescent="0.25">
      <c r="G1731" s="165"/>
      <c r="H1731" s="166"/>
      <c r="I1731" s="167"/>
      <c r="J1731" s="167"/>
      <c r="K1731" s="166"/>
      <c r="L1731" s="166"/>
      <c r="M1731" s="166"/>
      <c r="N1731" s="166"/>
      <c r="O1731" s="166"/>
      <c r="P1731" s="166"/>
      <c r="Q1731" s="166"/>
      <c r="R1731" s="166"/>
      <c r="S1731" s="166"/>
      <c r="T1731" s="166"/>
      <c r="U1731" s="166"/>
      <c r="V1731" s="166"/>
      <c r="W1731" s="166"/>
      <c r="X1731" s="166"/>
      <c r="Y1731" s="166"/>
      <c r="Z1731" s="166"/>
      <c r="AA1731" s="166"/>
      <c r="AB1731" s="166"/>
      <c r="AC1731" s="166"/>
      <c r="AD1731" s="166"/>
      <c r="AE1731" s="166"/>
      <c r="AF1731" s="166"/>
      <c r="AG1731" s="166"/>
      <c r="AH1731" s="166"/>
      <c r="AI1731" s="166"/>
    </row>
    <row r="1732" spans="7:35" x14ac:dyDescent="0.25">
      <c r="G1732" s="165"/>
      <c r="H1732" s="166"/>
      <c r="I1732" s="167"/>
      <c r="J1732" s="167"/>
      <c r="K1732" s="166"/>
      <c r="L1732" s="166"/>
      <c r="M1732" s="166"/>
      <c r="N1732" s="166"/>
      <c r="O1732" s="166"/>
      <c r="P1732" s="166"/>
      <c r="Q1732" s="166"/>
      <c r="R1732" s="166"/>
      <c r="S1732" s="166"/>
      <c r="T1732" s="166"/>
      <c r="U1732" s="166"/>
      <c r="V1732" s="166"/>
      <c r="W1732" s="166"/>
      <c r="X1732" s="166"/>
      <c r="Y1732" s="166"/>
      <c r="Z1732" s="166"/>
      <c r="AA1732" s="166"/>
      <c r="AB1732" s="166"/>
      <c r="AC1732" s="166"/>
      <c r="AD1732" s="166"/>
      <c r="AE1732" s="166"/>
      <c r="AF1732" s="166"/>
      <c r="AG1732" s="166"/>
      <c r="AH1732" s="166"/>
      <c r="AI1732" s="166"/>
    </row>
    <row r="1733" spans="7:35" x14ac:dyDescent="0.25">
      <c r="G1733" s="165"/>
      <c r="H1733" s="166"/>
      <c r="I1733" s="167"/>
      <c r="J1733" s="167"/>
      <c r="K1733" s="166"/>
      <c r="L1733" s="166"/>
      <c r="M1733" s="166"/>
      <c r="N1733" s="166"/>
      <c r="O1733" s="166"/>
      <c r="P1733" s="166"/>
      <c r="Q1733" s="166"/>
      <c r="R1733" s="166"/>
      <c r="S1733" s="166"/>
      <c r="T1733" s="166"/>
      <c r="U1733" s="166"/>
      <c r="V1733" s="166"/>
      <c r="W1733" s="166"/>
      <c r="X1733" s="166"/>
      <c r="Y1733" s="166"/>
      <c r="Z1733" s="166"/>
      <c r="AA1733" s="166"/>
      <c r="AB1733" s="166"/>
      <c r="AC1733" s="166"/>
      <c r="AD1733" s="166"/>
      <c r="AE1733" s="166"/>
      <c r="AF1733" s="166"/>
      <c r="AG1733" s="166"/>
      <c r="AH1733" s="166"/>
      <c r="AI1733" s="166"/>
    </row>
    <row r="1734" spans="7:35" x14ac:dyDescent="0.25">
      <c r="G1734" s="165"/>
      <c r="H1734" s="166"/>
      <c r="I1734" s="167"/>
      <c r="J1734" s="167"/>
      <c r="K1734" s="166"/>
      <c r="L1734" s="166"/>
      <c r="M1734" s="166"/>
      <c r="N1734" s="166"/>
      <c r="O1734" s="166"/>
      <c r="P1734" s="166"/>
      <c r="Q1734" s="166"/>
      <c r="R1734" s="166"/>
      <c r="S1734" s="166"/>
      <c r="T1734" s="166"/>
      <c r="U1734" s="166"/>
      <c r="V1734" s="166"/>
      <c r="W1734" s="166"/>
      <c r="X1734" s="166"/>
      <c r="Y1734" s="166"/>
      <c r="Z1734" s="166"/>
      <c r="AA1734" s="166"/>
      <c r="AB1734" s="166"/>
      <c r="AC1734" s="166"/>
      <c r="AD1734" s="166"/>
      <c r="AE1734" s="166"/>
      <c r="AF1734" s="166"/>
      <c r="AG1734" s="166"/>
      <c r="AH1734" s="166"/>
      <c r="AI1734" s="166"/>
    </row>
    <row r="1735" spans="7:35" x14ac:dyDescent="0.25">
      <c r="G1735" s="165"/>
      <c r="H1735" s="166"/>
      <c r="I1735" s="167"/>
      <c r="J1735" s="167"/>
      <c r="K1735" s="166"/>
      <c r="L1735" s="166"/>
      <c r="M1735" s="166"/>
      <c r="N1735" s="166"/>
      <c r="O1735" s="166"/>
      <c r="P1735" s="166"/>
      <c r="Q1735" s="166"/>
      <c r="R1735" s="166"/>
      <c r="S1735" s="166"/>
      <c r="T1735" s="166"/>
      <c r="U1735" s="166"/>
      <c r="V1735" s="166"/>
      <c r="W1735" s="166"/>
      <c r="X1735" s="166"/>
      <c r="Y1735" s="166"/>
      <c r="Z1735" s="166"/>
      <c r="AA1735" s="166"/>
      <c r="AB1735" s="166"/>
      <c r="AC1735" s="166"/>
      <c r="AD1735" s="166"/>
      <c r="AE1735" s="166"/>
      <c r="AF1735" s="166"/>
      <c r="AG1735" s="166"/>
      <c r="AH1735" s="166"/>
      <c r="AI1735" s="166"/>
    </row>
    <row r="1736" spans="7:35" x14ac:dyDescent="0.25">
      <c r="G1736" s="165"/>
      <c r="H1736" s="166"/>
      <c r="I1736" s="167"/>
      <c r="J1736" s="167"/>
      <c r="K1736" s="166"/>
      <c r="L1736" s="166"/>
      <c r="M1736" s="166"/>
      <c r="N1736" s="166"/>
      <c r="O1736" s="166"/>
      <c r="P1736" s="166"/>
      <c r="Q1736" s="166"/>
      <c r="R1736" s="166"/>
      <c r="S1736" s="166"/>
      <c r="T1736" s="166"/>
      <c r="U1736" s="166"/>
      <c r="V1736" s="166"/>
      <c r="W1736" s="166"/>
      <c r="X1736" s="166"/>
      <c r="Y1736" s="166"/>
      <c r="Z1736" s="166"/>
      <c r="AA1736" s="166"/>
      <c r="AB1736" s="166"/>
      <c r="AC1736" s="166"/>
      <c r="AD1736" s="166"/>
      <c r="AE1736" s="166"/>
      <c r="AF1736" s="166"/>
      <c r="AG1736" s="166"/>
      <c r="AH1736" s="166"/>
      <c r="AI1736" s="166"/>
    </row>
    <row r="1737" spans="7:35" x14ac:dyDescent="0.25">
      <c r="G1737" s="165"/>
      <c r="H1737" s="166"/>
      <c r="I1737" s="167"/>
      <c r="J1737" s="167"/>
      <c r="K1737" s="166"/>
      <c r="L1737" s="166"/>
      <c r="M1737" s="166"/>
      <c r="N1737" s="166"/>
      <c r="O1737" s="166"/>
      <c r="P1737" s="166"/>
      <c r="Q1737" s="166"/>
      <c r="R1737" s="166"/>
      <c r="S1737" s="166"/>
      <c r="T1737" s="166"/>
      <c r="U1737" s="166"/>
      <c r="V1737" s="166"/>
      <c r="W1737" s="166"/>
      <c r="X1737" s="166"/>
      <c r="Y1737" s="166"/>
      <c r="Z1737" s="166"/>
      <c r="AA1737" s="166"/>
      <c r="AB1737" s="166"/>
      <c r="AC1737" s="166"/>
      <c r="AD1737" s="166"/>
      <c r="AE1737" s="166"/>
      <c r="AF1737" s="166"/>
      <c r="AG1737" s="166"/>
      <c r="AH1737" s="166"/>
      <c r="AI1737" s="166"/>
    </row>
    <row r="1738" spans="7:35" x14ac:dyDescent="0.25">
      <c r="G1738" s="165"/>
      <c r="H1738" s="166"/>
      <c r="I1738" s="167"/>
      <c r="J1738" s="167"/>
      <c r="K1738" s="166"/>
      <c r="L1738" s="166"/>
      <c r="M1738" s="166"/>
      <c r="N1738" s="166"/>
      <c r="O1738" s="166"/>
      <c r="P1738" s="166"/>
      <c r="Q1738" s="166"/>
      <c r="R1738" s="166"/>
      <c r="S1738" s="166"/>
      <c r="T1738" s="166"/>
      <c r="U1738" s="166"/>
      <c r="V1738" s="166"/>
      <c r="W1738" s="166"/>
      <c r="X1738" s="166"/>
      <c r="Y1738" s="166"/>
      <c r="Z1738" s="166"/>
      <c r="AA1738" s="166"/>
      <c r="AB1738" s="166"/>
      <c r="AC1738" s="166"/>
      <c r="AD1738" s="166"/>
      <c r="AE1738" s="166"/>
      <c r="AF1738" s="166"/>
      <c r="AG1738" s="166"/>
      <c r="AH1738" s="166"/>
      <c r="AI1738" s="166"/>
    </row>
    <row r="1739" spans="7:35" x14ac:dyDescent="0.25">
      <c r="G1739" s="165"/>
      <c r="H1739" s="166"/>
      <c r="I1739" s="167"/>
      <c r="J1739" s="167"/>
      <c r="K1739" s="166"/>
      <c r="L1739" s="166"/>
      <c r="M1739" s="166"/>
      <c r="N1739" s="166"/>
      <c r="O1739" s="166"/>
      <c r="P1739" s="166"/>
      <c r="Q1739" s="166"/>
      <c r="R1739" s="166"/>
      <c r="S1739" s="166"/>
      <c r="T1739" s="166"/>
      <c r="U1739" s="166"/>
      <c r="V1739" s="166"/>
      <c r="W1739" s="166"/>
      <c r="X1739" s="166"/>
      <c r="Y1739" s="166"/>
      <c r="Z1739" s="166"/>
      <c r="AA1739" s="166"/>
      <c r="AB1739" s="166"/>
      <c r="AC1739" s="166"/>
      <c r="AD1739" s="166"/>
      <c r="AE1739" s="166"/>
      <c r="AF1739" s="166"/>
      <c r="AG1739" s="166"/>
      <c r="AH1739" s="166"/>
      <c r="AI1739" s="166"/>
    </row>
    <row r="1740" spans="7:35" x14ac:dyDescent="0.25">
      <c r="G1740" s="165"/>
      <c r="H1740" s="166"/>
      <c r="I1740" s="167"/>
      <c r="J1740" s="167"/>
      <c r="K1740" s="166"/>
      <c r="L1740" s="166"/>
      <c r="M1740" s="166"/>
      <c r="N1740" s="166"/>
      <c r="O1740" s="166"/>
      <c r="P1740" s="166"/>
      <c r="Q1740" s="166"/>
      <c r="R1740" s="166"/>
      <c r="S1740" s="166"/>
      <c r="T1740" s="166"/>
      <c r="U1740" s="166"/>
      <c r="V1740" s="166"/>
      <c r="W1740" s="166"/>
      <c r="X1740" s="166"/>
      <c r="Y1740" s="166"/>
      <c r="Z1740" s="166"/>
      <c r="AA1740" s="166"/>
      <c r="AB1740" s="166"/>
      <c r="AC1740" s="166"/>
      <c r="AD1740" s="166"/>
      <c r="AE1740" s="166"/>
      <c r="AF1740" s="166"/>
      <c r="AG1740" s="166"/>
      <c r="AH1740" s="166"/>
      <c r="AI1740" s="166"/>
    </row>
    <row r="1741" spans="7:35" x14ac:dyDescent="0.25">
      <c r="G1741" s="165"/>
      <c r="H1741" s="166"/>
      <c r="I1741" s="167"/>
      <c r="J1741" s="167"/>
      <c r="K1741" s="166"/>
      <c r="L1741" s="166"/>
      <c r="M1741" s="166"/>
      <c r="N1741" s="166"/>
      <c r="O1741" s="166"/>
      <c r="P1741" s="166"/>
      <c r="Q1741" s="166"/>
      <c r="R1741" s="166"/>
      <c r="S1741" s="166"/>
      <c r="T1741" s="166"/>
      <c r="U1741" s="166"/>
      <c r="V1741" s="166"/>
      <c r="W1741" s="166"/>
      <c r="X1741" s="166"/>
      <c r="Y1741" s="166"/>
      <c r="Z1741" s="166"/>
      <c r="AA1741" s="166"/>
      <c r="AB1741" s="166"/>
      <c r="AC1741" s="166"/>
      <c r="AD1741" s="166"/>
      <c r="AE1741" s="166"/>
      <c r="AF1741" s="166"/>
      <c r="AG1741" s="166"/>
      <c r="AH1741" s="166"/>
      <c r="AI1741" s="166"/>
    </row>
    <row r="1742" spans="7:35" x14ac:dyDescent="0.25">
      <c r="G1742" s="165"/>
      <c r="H1742" s="166"/>
      <c r="I1742" s="167"/>
      <c r="J1742" s="167"/>
      <c r="K1742" s="166"/>
      <c r="L1742" s="166"/>
      <c r="M1742" s="166"/>
      <c r="N1742" s="166"/>
      <c r="O1742" s="166"/>
      <c r="P1742" s="166"/>
      <c r="Q1742" s="166"/>
      <c r="R1742" s="166"/>
      <c r="S1742" s="166"/>
      <c r="T1742" s="166"/>
      <c r="U1742" s="166"/>
      <c r="V1742" s="166"/>
      <c r="W1742" s="166"/>
      <c r="X1742" s="166"/>
      <c r="Y1742" s="166"/>
      <c r="Z1742" s="166"/>
      <c r="AA1742" s="166"/>
      <c r="AB1742" s="166"/>
      <c r="AC1742" s="166"/>
      <c r="AD1742" s="166"/>
      <c r="AE1742" s="166"/>
      <c r="AF1742" s="166"/>
      <c r="AG1742" s="166"/>
      <c r="AH1742" s="166"/>
      <c r="AI1742" s="166"/>
    </row>
    <row r="1743" spans="7:35" x14ac:dyDescent="0.25">
      <c r="G1743" s="165"/>
      <c r="H1743" s="166"/>
      <c r="I1743" s="167"/>
      <c r="J1743" s="167"/>
      <c r="K1743" s="166"/>
      <c r="L1743" s="166"/>
      <c r="M1743" s="166"/>
      <c r="N1743" s="166"/>
      <c r="O1743" s="166"/>
      <c r="P1743" s="166"/>
      <c r="Q1743" s="166"/>
      <c r="R1743" s="166"/>
      <c r="S1743" s="166"/>
      <c r="T1743" s="166"/>
      <c r="U1743" s="166"/>
      <c r="V1743" s="166"/>
      <c r="W1743" s="166"/>
      <c r="X1743" s="166"/>
      <c r="Y1743" s="166"/>
      <c r="Z1743" s="166"/>
      <c r="AA1743" s="166"/>
      <c r="AB1743" s="166"/>
      <c r="AC1743" s="166"/>
      <c r="AD1743" s="166"/>
      <c r="AE1743" s="166"/>
      <c r="AF1743" s="166"/>
      <c r="AG1743" s="166"/>
      <c r="AH1743" s="166"/>
      <c r="AI1743" s="166"/>
    </row>
    <row r="1744" spans="7:35" x14ac:dyDescent="0.25">
      <c r="G1744" s="165"/>
      <c r="H1744" s="166"/>
      <c r="I1744" s="167"/>
      <c r="J1744" s="167"/>
      <c r="K1744" s="166"/>
      <c r="L1744" s="166"/>
      <c r="M1744" s="166"/>
      <c r="N1744" s="166"/>
      <c r="O1744" s="166"/>
      <c r="P1744" s="166"/>
      <c r="Q1744" s="166"/>
      <c r="R1744" s="166"/>
      <c r="S1744" s="166"/>
      <c r="T1744" s="166"/>
      <c r="U1744" s="166"/>
      <c r="V1744" s="166"/>
      <c r="W1744" s="166"/>
      <c r="X1744" s="166"/>
      <c r="Y1744" s="166"/>
      <c r="Z1744" s="166"/>
      <c r="AA1744" s="166"/>
      <c r="AB1744" s="166"/>
      <c r="AC1744" s="166"/>
      <c r="AD1744" s="166"/>
      <c r="AE1744" s="166"/>
      <c r="AF1744" s="166"/>
      <c r="AG1744" s="166"/>
      <c r="AH1744" s="166"/>
      <c r="AI1744" s="166"/>
    </row>
    <row r="1745" spans="7:35" x14ac:dyDescent="0.25">
      <c r="G1745" s="165"/>
      <c r="H1745" s="166"/>
      <c r="I1745" s="167"/>
      <c r="J1745" s="167"/>
      <c r="K1745" s="166"/>
      <c r="L1745" s="166"/>
      <c r="M1745" s="166"/>
      <c r="N1745" s="166"/>
      <c r="O1745" s="166"/>
      <c r="P1745" s="166"/>
      <c r="Q1745" s="166"/>
      <c r="R1745" s="166"/>
      <c r="S1745" s="166"/>
      <c r="T1745" s="166"/>
      <c r="U1745" s="166"/>
      <c r="V1745" s="166"/>
      <c r="W1745" s="166"/>
      <c r="X1745" s="166"/>
      <c r="Y1745" s="166"/>
      <c r="Z1745" s="166"/>
      <c r="AA1745" s="166"/>
      <c r="AB1745" s="166"/>
      <c r="AC1745" s="166"/>
      <c r="AD1745" s="166"/>
      <c r="AE1745" s="166"/>
      <c r="AF1745" s="166"/>
      <c r="AG1745" s="166"/>
      <c r="AH1745" s="166"/>
      <c r="AI1745" s="166"/>
    </row>
    <row r="1746" spans="7:35" x14ac:dyDescent="0.25">
      <c r="G1746" s="165"/>
      <c r="H1746" s="166"/>
      <c r="I1746" s="167"/>
      <c r="J1746" s="167"/>
      <c r="K1746" s="166"/>
      <c r="L1746" s="166"/>
      <c r="M1746" s="166"/>
      <c r="N1746" s="166"/>
      <c r="O1746" s="166"/>
      <c r="P1746" s="166"/>
      <c r="Q1746" s="166"/>
      <c r="R1746" s="166"/>
      <c r="S1746" s="166"/>
      <c r="T1746" s="166"/>
      <c r="U1746" s="166"/>
      <c r="V1746" s="166"/>
      <c r="W1746" s="166"/>
      <c r="X1746" s="166"/>
      <c r="Y1746" s="166"/>
      <c r="Z1746" s="166"/>
      <c r="AA1746" s="166"/>
      <c r="AB1746" s="166"/>
      <c r="AC1746" s="166"/>
      <c r="AD1746" s="166"/>
      <c r="AE1746" s="166"/>
      <c r="AF1746" s="166"/>
      <c r="AG1746" s="166"/>
      <c r="AH1746" s="166"/>
      <c r="AI1746" s="166"/>
    </row>
    <row r="1747" spans="7:35" x14ac:dyDescent="0.25">
      <c r="G1747" s="165"/>
      <c r="H1747" s="166"/>
      <c r="I1747" s="167"/>
      <c r="J1747" s="167"/>
      <c r="K1747" s="166"/>
      <c r="L1747" s="166"/>
      <c r="M1747" s="166"/>
      <c r="N1747" s="166"/>
      <c r="O1747" s="166"/>
      <c r="P1747" s="166"/>
      <c r="Q1747" s="166"/>
      <c r="R1747" s="166"/>
      <c r="S1747" s="166"/>
      <c r="T1747" s="166"/>
      <c r="U1747" s="166"/>
      <c r="V1747" s="166"/>
      <c r="W1747" s="166"/>
      <c r="X1747" s="166"/>
      <c r="Y1747" s="166"/>
      <c r="Z1747" s="166"/>
      <c r="AA1747" s="166"/>
      <c r="AB1747" s="166"/>
      <c r="AC1747" s="166"/>
      <c r="AD1747" s="166"/>
      <c r="AE1747" s="166"/>
      <c r="AF1747" s="166"/>
      <c r="AG1747" s="166"/>
      <c r="AH1747" s="166"/>
      <c r="AI1747" s="166"/>
    </row>
    <row r="1748" spans="7:35" x14ac:dyDescent="0.25">
      <c r="G1748" s="165"/>
      <c r="H1748" s="166"/>
      <c r="I1748" s="167"/>
      <c r="J1748" s="167"/>
      <c r="K1748" s="166"/>
      <c r="L1748" s="166"/>
      <c r="M1748" s="166"/>
      <c r="N1748" s="166"/>
      <c r="O1748" s="166"/>
      <c r="P1748" s="166"/>
      <c r="Q1748" s="166"/>
      <c r="R1748" s="166"/>
      <c r="S1748" s="166"/>
      <c r="T1748" s="166"/>
      <c r="U1748" s="166"/>
      <c r="V1748" s="166"/>
      <c r="W1748" s="166"/>
      <c r="X1748" s="166"/>
      <c r="Y1748" s="166"/>
      <c r="Z1748" s="166"/>
      <c r="AA1748" s="166"/>
      <c r="AB1748" s="166"/>
      <c r="AC1748" s="166"/>
      <c r="AD1748" s="166"/>
      <c r="AE1748" s="166"/>
      <c r="AF1748" s="166"/>
      <c r="AG1748" s="166"/>
      <c r="AH1748" s="166"/>
      <c r="AI1748" s="166"/>
    </row>
    <row r="1749" spans="7:35" x14ac:dyDescent="0.25">
      <c r="G1749" s="165"/>
      <c r="H1749" s="166"/>
      <c r="I1749" s="167"/>
      <c r="J1749" s="167"/>
      <c r="K1749" s="166"/>
      <c r="L1749" s="166"/>
      <c r="M1749" s="166"/>
      <c r="N1749" s="166"/>
      <c r="O1749" s="166"/>
      <c r="P1749" s="166"/>
      <c r="Q1749" s="166"/>
      <c r="R1749" s="166"/>
      <c r="S1749" s="166"/>
      <c r="T1749" s="166"/>
      <c r="U1749" s="166"/>
      <c r="V1749" s="166"/>
      <c r="W1749" s="166"/>
      <c r="X1749" s="166"/>
      <c r="Y1749" s="166"/>
      <c r="Z1749" s="166"/>
      <c r="AA1749" s="166"/>
      <c r="AB1749" s="166"/>
      <c r="AC1749" s="166"/>
      <c r="AD1749" s="166"/>
      <c r="AE1749" s="166"/>
      <c r="AF1749" s="166"/>
      <c r="AG1749" s="166"/>
      <c r="AH1749" s="166"/>
      <c r="AI1749" s="166"/>
    </row>
    <row r="1750" spans="7:35" x14ac:dyDescent="0.25">
      <c r="G1750" s="165"/>
      <c r="H1750" s="166"/>
      <c r="I1750" s="167"/>
      <c r="J1750" s="167"/>
      <c r="K1750" s="166"/>
      <c r="L1750" s="166"/>
      <c r="M1750" s="166"/>
      <c r="N1750" s="166"/>
      <c r="O1750" s="166"/>
      <c r="P1750" s="166"/>
      <c r="Q1750" s="166"/>
      <c r="R1750" s="166"/>
      <c r="S1750" s="166"/>
      <c r="T1750" s="166"/>
      <c r="U1750" s="166"/>
      <c r="V1750" s="166"/>
      <c r="W1750" s="166"/>
      <c r="X1750" s="166"/>
      <c r="Y1750" s="166"/>
      <c r="Z1750" s="166"/>
      <c r="AA1750" s="166"/>
      <c r="AB1750" s="166"/>
      <c r="AC1750" s="166"/>
      <c r="AD1750" s="166"/>
      <c r="AE1750" s="166"/>
      <c r="AF1750" s="166"/>
      <c r="AG1750" s="166"/>
      <c r="AH1750" s="166"/>
      <c r="AI1750" s="166"/>
    </row>
    <row r="1751" spans="7:35" x14ac:dyDescent="0.25">
      <c r="G1751" s="165"/>
      <c r="H1751" s="166"/>
      <c r="I1751" s="167"/>
      <c r="J1751" s="167"/>
      <c r="K1751" s="166"/>
      <c r="L1751" s="166"/>
      <c r="M1751" s="166"/>
      <c r="N1751" s="166"/>
      <c r="O1751" s="166"/>
      <c r="P1751" s="166"/>
      <c r="Q1751" s="166"/>
      <c r="R1751" s="166"/>
      <c r="S1751" s="166"/>
      <c r="T1751" s="166"/>
      <c r="U1751" s="166"/>
      <c r="V1751" s="166"/>
      <c r="W1751" s="166"/>
      <c r="X1751" s="166"/>
      <c r="Y1751" s="166"/>
      <c r="Z1751" s="166"/>
      <c r="AA1751" s="166"/>
      <c r="AB1751" s="166"/>
      <c r="AC1751" s="166"/>
      <c r="AD1751" s="166"/>
      <c r="AE1751" s="166"/>
      <c r="AF1751" s="166"/>
      <c r="AG1751" s="166"/>
      <c r="AH1751" s="166"/>
      <c r="AI1751" s="166"/>
    </row>
    <row r="1752" spans="7:35" x14ac:dyDescent="0.25">
      <c r="G1752" s="165"/>
      <c r="H1752" s="166"/>
      <c r="I1752" s="167"/>
      <c r="J1752" s="167"/>
      <c r="K1752" s="166"/>
      <c r="L1752" s="166"/>
      <c r="M1752" s="166"/>
      <c r="N1752" s="166"/>
      <c r="O1752" s="166"/>
      <c r="P1752" s="166"/>
      <c r="Q1752" s="166"/>
      <c r="R1752" s="166"/>
      <c r="S1752" s="166"/>
      <c r="T1752" s="166"/>
      <c r="U1752" s="166"/>
      <c r="V1752" s="166"/>
      <c r="W1752" s="166"/>
      <c r="X1752" s="166"/>
      <c r="Y1752" s="166"/>
      <c r="Z1752" s="166"/>
      <c r="AA1752" s="166"/>
      <c r="AB1752" s="166"/>
      <c r="AC1752" s="166"/>
      <c r="AD1752" s="166"/>
      <c r="AE1752" s="166"/>
      <c r="AF1752" s="166"/>
      <c r="AG1752" s="166"/>
      <c r="AH1752" s="166"/>
      <c r="AI1752" s="166"/>
    </row>
    <row r="1753" spans="7:35" x14ac:dyDescent="0.25">
      <c r="G1753" s="165"/>
      <c r="H1753" s="166"/>
      <c r="I1753" s="167"/>
      <c r="J1753" s="167"/>
      <c r="K1753" s="166"/>
      <c r="L1753" s="166"/>
      <c r="M1753" s="166"/>
      <c r="N1753" s="166"/>
      <c r="O1753" s="166"/>
      <c r="P1753" s="166"/>
      <c r="Q1753" s="166"/>
      <c r="R1753" s="166"/>
      <c r="S1753" s="166"/>
      <c r="T1753" s="166"/>
      <c r="U1753" s="166"/>
      <c r="V1753" s="166"/>
      <c r="W1753" s="166"/>
      <c r="X1753" s="166"/>
      <c r="Y1753" s="166"/>
      <c r="Z1753" s="166"/>
      <c r="AA1753" s="166"/>
      <c r="AB1753" s="166"/>
      <c r="AC1753" s="166"/>
      <c r="AD1753" s="166"/>
      <c r="AE1753" s="166"/>
      <c r="AF1753" s="166"/>
      <c r="AG1753" s="166"/>
      <c r="AH1753" s="166"/>
      <c r="AI1753" s="166"/>
    </row>
    <row r="1754" spans="7:35" x14ac:dyDescent="0.25">
      <c r="G1754" s="165"/>
      <c r="H1754" s="166"/>
      <c r="I1754" s="167"/>
      <c r="J1754" s="167"/>
      <c r="K1754" s="166"/>
      <c r="L1754" s="166"/>
      <c r="M1754" s="166"/>
      <c r="N1754" s="166"/>
      <c r="O1754" s="166"/>
      <c r="P1754" s="166"/>
      <c r="Q1754" s="166"/>
      <c r="R1754" s="166"/>
      <c r="S1754" s="166"/>
      <c r="T1754" s="166"/>
      <c r="U1754" s="166"/>
      <c r="V1754" s="166"/>
      <c r="W1754" s="166"/>
      <c r="X1754" s="166"/>
      <c r="Y1754" s="166"/>
      <c r="Z1754" s="166"/>
      <c r="AA1754" s="166"/>
      <c r="AB1754" s="166"/>
      <c r="AC1754" s="166"/>
      <c r="AD1754" s="166"/>
      <c r="AE1754" s="166"/>
      <c r="AF1754" s="166"/>
      <c r="AG1754" s="166"/>
      <c r="AH1754" s="166"/>
      <c r="AI1754" s="166"/>
    </row>
    <row r="1755" spans="7:35" x14ac:dyDescent="0.25">
      <c r="G1755" s="165"/>
      <c r="H1755" s="166"/>
      <c r="I1755" s="167"/>
      <c r="J1755" s="167"/>
      <c r="K1755" s="166"/>
      <c r="L1755" s="166"/>
      <c r="M1755" s="166"/>
      <c r="N1755" s="166"/>
      <c r="O1755" s="166"/>
      <c r="P1755" s="166"/>
      <c r="Q1755" s="166"/>
      <c r="R1755" s="166"/>
      <c r="S1755" s="166"/>
      <c r="T1755" s="166"/>
      <c r="U1755" s="166"/>
      <c r="V1755" s="166"/>
      <c r="W1755" s="166"/>
      <c r="X1755" s="166"/>
      <c r="Y1755" s="166"/>
      <c r="Z1755" s="166"/>
      <c r="AA1755" s="166"/>
      <c r="AB1755" s="166"/>
      <c r="AC1755" s="166"/>
      <c r="AD1755" s="166"/>
      <c r="AE1755" s="166"/>
      <c r="AF1755" s="166"/>
      <c r="AG1755" s="166"/>
      <c r="AH1755" s="166"/>
      <c r="AI1755" s="166"/>
    </row>
    <row r="1756" spans="7:35" x14ac:dyDescent="0.25">
      <c r="G1756" s="165"/>
      <c r="H1756" s="166"/>
      <c r="I1756" s="167"/>
      <c r="J1756" s="167"/>
      <c r="K1756" s="166"/>
      <c r="L1756" s="166"/>
      <c r="M1756" s="166"/>
      <c r="N1756" s="166"/>
      <c r="O1756" s="166"/>
      <c r="P1756" s="166"/>
      <c r="Q1756" s="166"/>
      <c r="R1756" s="166"/>
      <c r="S1756" s="166"/>
      <c r="T1756" s="166"/>
      <c r="U1756" s="166"/>
      <c r="V1756" s="166"/>
      <c r="W1756" s="166"/>
      <c r="X1756" s="166"/>
      <c r="Y1756" s="166"/>
      <c r="Z1756" s="166"/>
      <c r="AA1756" s="166"/>
      <c r="AB1756" s="166"/>
      <c r="AC1756" s="166"/>
      <c r="AD1756" s="166"/>
      <c r="AE1756" s="166"/>
      <c r="AF1756" s="166"/>
      <c r="AG1756" s="166"/>
      <c r="AH1756" s="166"/>
      <c r="AI1756" s="166"/>
    </row>
    <row r="1757" spans="7:35" x14ac:dyDescent="0.25">
      <c r="G1757" s="165"/>
      <c r="H1757" s="166"/>
      <c r="I1757" s="167"/>
      <c r="J1757" s="167"/>
      <c r="K1757" s="166"/>
      <c r="L1757" s="166"/>
      <c r="M1757" s="166"/>
      <c r="N1757" s="166"/>
      <c r="O1757" s="166"/>
      <c r="P1757" s="166"/>
      <c r="Q1757" s="166"/>
      <c r="R1757" s="166"/>
      <c r="S1757" s="166"/>
      <c r="T1757" s="166"/>
      <c r="U1757" s="166"/>
      <c r="V1757" s="166"/>
      <c r="W1757" s="166"/>
      <c r="X1757" s="166"/>
      <c r="Y1757" s="166"/>
      <c r="Z1757" s="166"/>
      <c r="AA1757" s="166"/>
      <c r="AB1757" s="166"/>
      <c r="AC1757" s="166"/>
      <c r="AD1757" s="166"/>
      <c r="AE1757" s="166"/>
      <c r="AF1757" s="166"/>
      <c r="AG1757" s="166"/>
      <c r="AH1757" s="166"/>
      <c r="AI1757" s="166"/>
    </row>
    <row r="1758" spans="7:35" x14ac:dyDescent="0.25">
      <c r="G1758" s="165"/>
      <c r="H1758" s="166"/>
      <c r="I1758" s="167"/>
      <c r="J1758" s="167"/>
      <c r="K1758" s="166"/>
      <c r="L1758" s="166"/>
      <c r="M1758" s="166"/>
      <c r="N1758" s="166"/>
      <c r="O1758" s="166"/>
      <c r="P1758" s="166"/>
      <c r="Q1758" s="166"/>
      <c r="R1758" s="166"/>
      <c r="S1758" s="166"/>
      <c r="T1758" s="166"/>
      <c r="U1758" s="166"/>
      <c r="V1758" s="166"/>
      <c r="W1758" s="166"/>
      <c r="X1758" s="166"/>
      <c r="Y1758" s="166"/>
      <c r="Z1758" s="166"/>
      <c r="AA1758" s="166"/>
      <c r="AB1758" s="166"/>
      <c r="AC1758" s="166"/>
      <c r="AD1758" s="166"/>
      <c r="AE1758" s="166"/>
      <c r="AF1758" s="166"/>
      <c r="AG1758" s="166"/>
      <c r="AH1758" s="166"/>
      <c r="AI1758" s="166"/>
    </row>
    <row r="1759" spans="7:35" x14ac:dyDescent="0.25">
      <c r="G1759" s="165"/>
      <c r="H1759" s="166"/>
      <c r="I1759" s="167"/>
      <c r="J1759" s="167"/>
      <c r="K1759" s="166"/>
      <c r="L1759" s="166"/>
      <c r="M1759" s="166"/>
      <c r="N1759" s="166"/>
      <c r="O1759" s="166"/>
      <c r="P1759" s="166"/>
      <c r="Q1759" s="166"/>
      <c r="R1759" s="166"/>
      <c r="S1759" s="166"/>
      <c r="T1759" s="166"/>
      <c r="U1759" s="166"/>
      <c r="V1759" s="166"/>
      <c r="W1759" s="166"/>
      <c r="X1759" s="166"/>
      <c r="Y1759" s="166"/>
      <c r="Z1759" s="166"/>
      <c r="AA1759" s="166"/>
      <c r="AB1759" s="166"/>
      <c r="AC1759" s="166"/>
      <c r="AD1759" s="166"/>
      <c r="AE1759" s="166"/>
      <c r="AF1759" s="166"/>
      <c r="AG1759" s="166"/>
      <c r="AH1759" s="166"/>
      <c r="AI1759" s="166"/>
    </row>
    <row r="1760" spans="7:35" x14ac:dyDescent="0.25">
      <c r="G1760" s="165"/>
      <c r="H1760" s="166"/>
      <c r="I1760" s="167"/>
      <c r="J1760" s="167"/>
      <c r="K1760" s="166"/>
      <c r="L1760" s="166"/>
      <c r="M1760" s="166"/>
      <c r="N1760" s="166"/>
      <c r="O1760" s="166"/>
      <c r="P1760" s="166"/>
      <c r="Q1760" s="166"/>
      <c r="R1760" s="166"/>
      <c r="S1760" s="166"/>
      <c r="T1760" s="166"/>
      <c r="U1760" s="166"/>
      <c r="V1760" s="166"/>
      <c r="W1760" s="166"/>
      <c r="X1760" s="166"/>
      <c r="Y1760" s="166"/>
      <c r="Z1760" s="166"/>
      <c r="AA1760" s="166"/>
      <c r="AB1760" s="166"/>
      <c r="AC1760" s="166"/>
      <c r="AD1760" s="166"/>
      <c r="AE1760" s="166"/>
      <c r="AF1760" s="166"/>
      <c r="AG1760" s="166"/>
      <c r="AH1760" s="166"/>
      <c r="AI1760" s="166"/>
    </row>
    <row r="1761" spans="7:35" x14ac:dyDescent="0.25">
      <c r="G1761" s="165"/>
      <c r="H1761" s="166"/>
      <c r="I1761" s="167"/>
      <c r="J1761" s="167"/>
      <c r="K1761" s="166"/>
      <c r="L1761" s="166"/>
      <c r="M1761" s="166"/>
      <c r="N1761" s="166"/>
      <c r="O1761" s="166"/>
      <c r="P1761" s="166"/>
      <c r="Q1761" s="166"/>
      <c r="R1761" s="166"/>
      <c r="S1761" s="166"/>
      <c r="T1761" s="166"/>
      <c r="U1761" s="166"/>
      <c r="V1761" s="166"/>
      <c r="W1761" s="166"/>
      <c r="X1761" s="166"/>
      <c r="Y1761" s="166"/>
      <c r="Z1761" s="166"/>
      <c r="AA1761" s="166"/>
      <c r="AB1761" s="166"/>
      <c r="AC1761" s="166"/>
      <c r="AD1761" s="166"/>
      <c r="AE1761" s="166"/>
      <c r="AF1761" s="166"/>
      <c r="AG1761" s="166"/>
      <c r="AH1761" s="166"/>
      <c r="AI1761" s="166"/>
    </row>
    <row r="1762" spans="7:35" x14ac:dyDescent="0.25">
      <c r="G1762" s="165"/>
      <c r="H1762" s="166"/>
      <c r="I1762" s="167"/>
      <c r="J1762" s="167"/>
      <c r="K1762" s="166"/>
      <c r="L1762" s="166"/>
      <c r="M1762" s="166"/>
      <c r="N1762" s="166"/>
      <c r="O1762" s="166"/>
      <c r="P1762" s="166"/>
      <c r="Q1762" s="166"/>
      <c r="R1762" s="166"/>
      <c r="S1762" s="166"/>
      <c r="T1762" s="166"/>
      <c r="U1762" s="166"/>
      <c r="V1762" s="166"/>
      <c r="W1762" s="166"/>
      <c r="X1762" s="166"/>
      <c r="Y1762" s="166"/>
      <c r="Z1762" s="166"/>
      <c r="AA1762" s="166"/>
      <c r="AB1762" s="166"/>
      <c r="AC1762" s="166"/>
      <c r="AD1762" s="166"/>
      <c r="AE1762" s="166"/>
      <c r="AF1762" s="166"/>
      <c r="AG1762" s="166"/>
      <c r="AH1762" s="166"/>
      <c r="AI1762" s="166"/>
    </row>
    <row r="1763" spans="7:35" x14ac:dyDescent="0.25">
      <c r="G1763" s="165"/>
      <c r="H1763" s="166"/>
      <c r="I1763" s="167"/>
      <c r="J1763" s="167"/>
      <c r="K1763" s="166"/>
      <c r="L1763" s="166"/>
      <c r="M1763" s="166"/>
      <c r="N1763" s="166"/>
      <c r="O1763" s="166"/>
      <c r="P1763" s="166"/>
      <c r="Q1763" s="166"/>
      <c r="R1763" s="166"/>
      <c r="S1763" s="166"/>
      <c r="T1763" s="166"/>
      <c r="U1763" s="166"/>
      <c r="V1763" s="166"/>
      <c r="W1763" s="166"/>
      <c r="X1763" s="166"/>
      <c r="Y1763" s="166"/>
      <c r="Z1763" s="166"/>
      <c r="AA1763" s="166"/>
      <c r="AB1763" s="166"/>
      <c r="AC1763" s="166"/>
      <c r="AD1763" s="166"/>
      <c r="AE1763" s="166"/>
      <c r="AF1763" s="166"/>
      <c r="AG1763" s="166"/>
      <c r="AH1763" s="166"/>
      <c r="AI1763" s="166"/>
    </row>
    <row r="1764" spans="7:35" x14ac:dyDescent="0.25">
      <c r="G1764" s="165"/>
      <c r="H1764" s="166"/>
      <c r="I1764" s="167"/>
      <c r="J1764" s="167"/>
      <c r="K1764" s="166"/>
      <c r="L1764" s="166"/>
      <c r="M1764" s="166"/>
      <c r="N1764" s="166"/>
      <c r="O1764" s="166"/>
      <c r="P1764" s="166"/>
      <c r="Q1764" s="166"/>
      <c r="R1764" s="166"/>
      <c r="S1764" s="166"/>
      <c r="T1764" s="166"/>
      <c r="U1764" s="166"/>
      <c r="V1764" s="166"/>
      <c r="W1764" s="166"/>
      <c r="X1764" s="166"/>
      <c r="Y1764" s="166"/>
      <c r="Z1764" s="166"/>
      <c r="AA1764" s="166"/>
      <c r="AB1764" s="166"/>
      <c r="AC1764" s="166"/>
      <c r="AD1764" s="166"/>
      <c r="AE1764" s="166"/>
      <c r="AF1764" s="166"/>
      <c r="AG1764" s="166"/>
      <c r="AH1764" s="166"/>
      <c r="AI1764" s="166"/>
    </row>
    <row r="1765" spans="7:35" x14ac:dyDescent="0.25">
      <c r="G1765" s="165"/>
      <c r="H1765" s="166"/>
      <c r="I1765" s="167"/>
      <c r="J1765" s="167"/>
      <c r="K1765" s="166"/>
      <c r="L1765" s="166"/>
      <c r="M1765" s="166"/>
      <c r="N1765" s="166"/>
      <c r="O1765" s="166"/>
      <c r="P1765" s="166"/>
      <c r="Q1765" s="166"/>
      <c r="R1765" s="166"/>
      <c r="S1765" s="166"/>
      <c r="T1765" s="166"/>
      <c r="U1765" s="166"/>
      <c r="V1765" s="166"/>
      <c r="W1765" s="166"/>
      <c r="X1765" s="166"/>
      <c r="Y1765" s="166"/>
      <c r="Z1765" s="166"/>
      <c r="AA1765" s="166"/>
      <c r="AB1765" s="166"/>
      <c r="AC1765" s="166"/>
      <c r="AD1765" s="166"/>
      <c r="AE1765" s="166"/>
      <c r="AF1765" s="166"/>
      <c r="AG1765" s="166"/>
      <c r="AH1765" s="166"/>
      <c r="AI1765" s="166"/>
    </row>
    <row r="1766" spans="7:35" x14ac:dyDescent="0.25">
      <c r="G1766" s="165"/>
      <c r="H1766" s="166"/>
      <c r="I1766" s="167"/>
      <c r="J1766" s="167"/>
      <c r="K1766" s="166"/>
      <c r="L1766" s="166"/>
      <c r="M1766" s="166"/>
      <c r="N1766" s="166"/>
      <c r="O1766" s="166"/>
      <c r="P1766" s="166"/>
      <c r="Q1766" s="166"/>
      <c r="R1766" s="166"/>
      <c r="S1766" s="166"/>
      <c r="T1766" s="166"/>
      <c r="U1766" s="166"/>
      <c r="V1766" s="166"/>
      <c r="W1766" s="166"/>
      <c r="X1766" s="166"/>
      <c r="Y1766" s="166"/>
      <c r="Z1766" s="166"/>
      <c r="AA1766" s="166"/>
      <c r="AB1766" s="166"/>
      <c r="AC1766" s="166"/>
      <c r="AD1766" s="166"/>
      <c r="AE1766" s="166"/>
      <c r="AF1766" s="166"/>
      <c r="AG1766" s="166"/>
      <c r="AH1766" s="166"/>
      <c r="AI1766" s="166"/>
    </row>
    <row r="1767" spans="7:35" x14ac:dyDescent="0.25">
      <c r="G1767" s="165"/>
      <c r="H1767" s="166"/>
      <c r="I1767" s="167"/>
      <c r="J1767" s="167"/>
      <c r="K1767" s="166"/>
      <c r="L1767" s="166"/>
      <c r="M1767" s="166"/>
      <c r="N1767" s="166"/>
      <c r="O1767" s="166"/>
      <c r="P1767" s="166"/>
      <c r="Q1767" s="166"/>
      <c r="R1767" s="166"/>
      <c r="S1767" s="166"/>
      <c r="T1767" s="166"/>
      <c r="U1767" s="166"/>
      <c r="V1767" s="166"/>
      <c r="W1767" s="166"/>
      <c r="X1767" s="166"/>
      <c r="Y1767" s="166"/>
      <c r="Z1767" s="166"/>
      <c r="AA1767" s="166"/>
      <c r="AB1767" s="166"/>
      <c r="AC1767" s="166"/>
      <c r="AD1767" s="166"/>
      <c r="AE1767" s="166"/>
      <c r="AF1767" s="166"/>
      <c r="AG1767" s="166"/>
      <c r="AH1767" s="166"/>
      <c r="AI1767" s="166"/>
    </row>
    <row r="1768" spans="7:35" x14ac:dyDescent="0.25">
      <c r="G1768" s="165"/>
      <c r="H1768" s="166"/>
      <c r="I1768" s="167"/>
      <c r="J1768" s="167"/>
      <c r="K1768" s="166"/>
      <c r="L1768" s="166"/>
      <c r="M1768" s="166"/>
      <c r="N1768" s="166"/>
      <c r="O1768" s="166"/>
      <c r="P1768" s="166"/>
      <c r="Q1768" s="166"/>
      <c r="R1768" s="166"/>
      <c r="S1768" s="166"/>
      <c r="T1768" s="166"/>
      <c r="U1768" s="166"/>
      <c r="V1768" s="166"/>
      <c r="W1768" s="166"/>
      <c r="X1768" s="166"/>
      <c r="Y1768" s="166"/>
      <c r="Z1768" s="166"/>
      <c r="AA1768" s="166"/>
      <c r="AB1768" s="166"/>
      <c r="AC1768" s="166"/>
      <c r="AD1768" s="166"/>
      <c r="AE1768" s="166"/>
      <c r="AF1768" s="166"/>
      <c r="AG1768" s="166"/>
      <c r="AH1768" s="166"/>
      <c r="AI1768" s="166"/>
    </row>
    <row r="1769" spans="7:35" x14ac:dyDescent="0.25">
      <c r="G1769" s="165"/>
      <c r="H1769" s="166"/>
      <c r="I1769" s="167"/>
      <c r="J1769" s="167"/>
      <c r="K1769" s="166"/>
      <c r="L1769" s="166"/>
      <c r="M1769" s="166"/>
      <c r="N1769" s="166"/>
      <c r="O1769" s="166"/>
      <c r="P1769" s="166"/>
      <c r="Q1769" s="166"/>
      <c r="R1769" s="166"/>
      <c r="S1769" s="166"/>
      <c r="T1769" s="166"/>
      <c r="U1769" s="166"/>
      <c r="V1769" s="166"/>
      <c r="W1769" s="166"/>
      <c r="X1769" s="166"/>
      <c r="Y1769" s="166"/>
      <c r="Z1769" s="166"/>
      <c r="AA1769" s="166"/>
      <c r="AB1769" s="166"/>
      <c r="AC1769" s="166"/>
      <c r="AD1769" s="166"/>
      <c r="AE1769" s="166"/>
      <c r="AF1769" s="166"/>
      <c r="AG1769" s="166"/>
      <c r="AH1769" s="166"/>
      <c r="AI1769" s="166"/>
    </row>
    <row r="1770" spans="7:35" x14ac:dyDescent="0.25">
      <c r="G1770" s="165"/>
      <c r="H1770" s="166"/>
      <c r="I1770" s="167"/>
      <c r="J1770" s="167"/>
      <c r="K1770" s="166"/>
      <c r="L1770" s="166"/>
      <c r="M1770" s="166"/>
      <c r="N1770" s="166"/>
      <c r="O1770" s="166"/>
      <c r="P1770" s="166"/>
      <c r="Q1770" s="166"/>
      <c r="R1770" s="166"/>
      <c r="S1770" s="166"/>
      <c r="T1770" s="166"/>
      <c r="U1770" s="166"/>
      <c r="V1770" s="166"/>
      <c r="W1770" s="166"/>
      <c r="X1770" s="166"/>
      <c r="Y1770" s="166"/>
      <c r="Z1770" s="166"/>
      <c r="AA1770" s="166"/>
      <c r="AB1770" s="166"/>
      <c r="AC1770" s="166"/>
      <c r="AD1770" s="166"/>
      <c r="AE1770" s="166"/>
      <c r="AF1770" s="166"/>
      <c r="AG1770" s="166"/>
      <c r="AH1770" s="166"/>
      <c r="AI1770" s="166"/>
    </row>
    <row r="1771" spans="7:35" x14ac:dyDescent="0.25">
      <c r="G1771" s="165"/>
      <c r="H1771" s="166"/>
      <c r="I1771" s="167"/>
      <c r="J1771" s="167"/>
      <c r="K1771" s="166"/>
      <c r="L1771" s="166"/>
      <c r="M1771" s="166"/>
      <c r="N1771" s="166"/>
      <c r="O1771" s="166"/>
      <c r="P1771" s="166"/>
      <c r="Q1771" s="166"/>
      <c r="R1771" s="166"/>
      <c r="S1771" s="166"/>
      <c r="T1771" s="166"/>
      <c r="U1771" s="166"/>
      <c r="V1771" s="166"/>
      <c r="W1771" s="166"/>
      <c r="X1771" s="166"/>
      <c r="Y1771" s="166"/>
      <c r="Z1771" s="166"/>
      <c r="AA1771" s="166"/>
      <c r="AB1771" s="166"/>
      <c r="AC1771" s="166"/>
      <c r="AD1771" s="166"/>
      <c r="AE1771" s="166"/>
      <c r="AF1771" s="166"/>
      <c r="AG1771" s="166"/>
      <c r="AH1771" s="166"/>
      <c r="AI1771" s="166"/>
    </row>
    <row r="1772" spans="7:35" x14ac:dyDescent="0.25">
      <c r="G1772" s="165"/>
      <c r="H1772" s="166"/>
      <c r="I1772" s="167"/>
      <c r="J1772" s="167"/>
      <c r="K1772" s="166"/>
      <c r="L1772" s="166"/>
      <c r="M1772" s="166"/>
      <c r="N1772" s="166"/>
      <c r="O1772" s="166"/>
      <c r="P1772" s="166"/>
      <c r="Q1772" s="166"/>
      <c r="R1772" s="166"/>
      <c r="S1772" s="166"/>
      <c r="T1772" s="166"/>
      <c r="U1772" s="166"/>
      <c r="V1772" s="166"/>
      <c r="W1772" s="166"/>
      <c r="X1772" s="166"/>
      <c r="Y1772" s="166"/>
      <c r="Z1772" s="166"/>
      <c r="AA1772" s="166"/>
      <c r="AB1772" s="166"/>
      <c r="AC1772" s="166"/>
      <c r="AD1772" s="166"/>
      <c r="AE1772" s="166"/>
      <c r="AF1772" s="166"/>
      <c r="AG1772" s="166"/>
      <c r="AH1772" s="166"/>
      <c r="AI1772" s="166"/>
    </row>
    <row r="1773" spans="7:35" x14ac:dyDescent="0.25">
      <c r="G1773" s="165"/>
      <c r="H1773" s="166"/>
      <c r="I1773" s="167"/>
      <c r="J1773" s="167"/>
      <c r="K1773" s="166"/>
      <c r="L1773" s="166"/>
      <c r="M1773" s="166"/>
      <c r="N1773" s="166"/>
      <c r="O1773" s="166"/>
      <c r="P1773" s="166"/>
      <c r="Q1773" s="166"/>
      <c r="R1773" s="166"/>
      <c r="S1773" s="166"/>
      <c r="T1773" s="166"/>
      <c r="U1773" s="166"/>
      <c r="V1773" s="166"/>
      <c r="W1773" s="166"/>
      <c r="X1773" s="166"/>
      <c r="Y1773" s="166"/>
      <c r="Z1773" s="166"/>
      <c r="AA1773" s="166"/>
      <c r="AB1773" s="166"/>
      <c r="AC1773" s="166"/>
      <c r="AD1773" s="166"/>
      <c r="AE1773" s="166"/>
      <c r="AF1773" s="166"/>
      <c r="AG1773" s="166"/>
      <c r="AH1773" s="166"/>
      <c r="AI1773" s="166"/>
    </row>
    <row r="1774" spans="7:35" x14ac:dyDescent="0.25">
      <c r="G1774" s="165"/>
      <c r="H1774" s="166"/>
      <c r="I1774" s="167"/>
      <c r="J1774" s="167"/>
      <c r="K1774" s="166"/>
      <c r="L1774" s="166"/>
      <c r="M1774" s="166"/>
      <c r="N1774" s="166"/>
      <c r="O1774" s="166"/>
      <c r="P1774" s="166"/>
      <c r="Q1774" s="166"/>
      <c r="R1774" s="166"/>
      <c r="S1774" s="166"/>
      <c r="T1774" s="166"/>
      <c r="U1774" s="166"/>
      <c r="V1774" s="166"/>
      <c r="W1774" s="166"/>
      <c r="X1774" s="166"/>
      <c r="Y1774" s="166"/>
      <c r="Z1774" s="166"/>
      <c r="AA1774" s="166"/>
      <c r="AB1774" s="166"/>
      <c r="AC1774" s="166"/>
      <c r="AD1774" s="166"/>
      <c r="AE1774" s="166"/>
      <c r="AF1774" s="166"/>
      <c r="AG1774" s="166"/>
      <c r="AH1774" s="166"/>
      <c r="AI1774" s="166"/>
    </row>
    <row r="1775" spans="7:35" x14ac:dyDescent="0.25">
      <c r="G1775" s="165"/>
      <c r="H1775" s="166"/>
      <c r="I1775" s="167"/>
      <c r="J1775" s="167"/>
      <c r="K1775" s="166"/>
      <c r="L1775" s="166"/>
      <c r="M1775" s="166"/>
      <c r="N1775" s="166"/>
      <c r="O1775" s="166"/>
      <c r="P1775" s="166"/>
      <c r="Q1775" s="166"/>
      <c r="R1775" s="166"/>
      <c r="S1775" s="166"/>
      <c r="T1775" s="166"/>
      <c r="U1775" s="166"/>
      <c r="V1775" s="166"/>
      <c r="W1775" s="166"/>
      <c r="X1775" s="166"/>
      <c r="Y1775" s="166"/>
      <c r="Z1775" s="166"/>
      <c r="AA1775" s="166"/>
      <c r="AB1775" s="166"/>
      <c r="AC1775" s="166"/>
      <c r="AD1775" s="166"/>
      <c r="AE1775" s="166"/>
      <c r="AF1775" s="166"/>
      <c r="AG1775" s="166"/>
      <c r="AH1775" s="166"/>
      <c r="AI1775" s="166"/>
    </row>
    <row r="1776" spans="7:35" x14ac:dyDescent="0.25">
      <c r="G1776" s="165"/>
      <c r="H1776" s="166"/>
      <c r="I1776" s="167"/>
      <c r="J1776" s="167"/>
      <c r="K1776" s="166"/>
      <c r="L1776" s="166"/>
      <c r="M1776" s="166"/>
      <c r="N1776" s="166"/>
      <c r="O1776" s="166"/>
      <c r="P1776" s="166"/>
      <c r="Q1776" s="166"/>
      <c r="R1776" s="166"/>
      <c r="S1776" s="166"/>
      <c r="T1776" s="166"/>
      <c r="U1776" s="166"/>
      <c r="V1776" s="166"/>
      <c r="W1776" s="166"/>
      <c r="X1776" s="166"/>
      <c r="Y1776" s="166"/>
      <c r="Z1776" s="166"/>
      <c r="AA1776" s="166"/>
      <c r="AB1776" s="166"/>
      <c r="AC1776" s="166"/>
      <c r="AD1776" s="166"/>
      <c r="AE1776" s="166"/>
      <c r="AF1776" s="166"/>
      <c r="AG1776" s="166"/>
      <c r="AH1776" s="166"/>
      <c r="AI1776" s="166"/>
    </row>
    <row r="1777" spans="7:35" x14ac:dyDescent="0.25">
      <c r="G1777" s="165"/>
      <c r="H1777" s="166"/>
      <c r="I1777" s="167"/>
      <c r="J1777" s="167"/>
      <c r="K1777" s="166"/>
      <c r="L1777" s="166"/>
      <c r="M1777" s="166"/>
      <c r="N1777" s="166"/>
      <c r="O1777" s="166"/>
      <c r="P1777" s="166"/>
      <c r="Q1777" s="166"/>
      <c r="R1777" s="166"/>
      <c r="S1777" s="166"/>
      <c r="T1777" s="166"/>
      <c r="U1777" s="166"/>
      <c r="V1777" s="166"/>
      <c r="W1777" s="166"/>
      <c r="X1777" s="166"/>
      <c r="Y1777" s="166"/>
      <c r="Z1777" s="166"/>
      <c r="AA1777" s="166"/>
      <c r="AB1777" s="166"/>
      <c r="AC1777" s="166"/>
      <c r="AD1777" s="166"/>
      <c r="AE1777" s="166"/>
      <c r="AF1777" s="166"/>
      <c r="AG1777" s="166"/>
      <c r="AH1777" s="166"/>
      <c r="AI1777" s="166"/>
    </row>
    <row r="1778" spans="7:35" x14ac:dyDescent="0.25">
      <c r="G1778" s="165"/>
      <c r="H1778" s="166"/>
      <c r="I1778" s="167"/>
      <c r="J1778" s="167"/>
      <c r="K1778" s="166"/>
      <c r="L1778" s="166"/>
      <c r="M1778" s="166"/>
      <c r="N1778" s="166"/>
      <c r="O1778" s="166"/>
      <c r="P1778" s="166"/>
      <c r="Q1778" s="166"/>
      <c r="R1778" s="166"/>
      <c r="S1778" s="166"/>
      <c r="T1778" s="166"/>
      <c r="U1778" s="166"/>
      <c r="V1778" s="166"/>
      <c r="W1778" s="166"/>
      <c r="X1778" s="166"/>
      <c r="Y1778" s="166"/>
      <c r="Z1778" s="166"/>
      <c r="AA1778" s="166"/>
      <c r="AB1778" s="166"/>
      <c r="AC1778" s="166"/>
      <c r="AD1778" s="166"/>
      <c r="AE1778" s="166"/>
      <c r="AF1778" s="166"/>
      <c r="AG1778" s="166"/>
      <c r="AH1778" s="166"/>
      <c r="AI1778" s="166"/>
    </row>
    <row r="1779" spans="7:35" x14ac:dyDescent="0.25">
      <c r="G1779" s="165"/>
      <c r="H1779" s="166"/>
      <c r="I1779" s="167"/>
      <c r="J1779" s="167"/>
      <c r="K1779" s="166"/>
      <c r="L1779" s="166"/>
      <c r="M1779" s="166"/>
      <c r="N1779" s="166"/>
      <c r="O1779" s="166"/>
      <c r="P1779" s="166"/>
      <c r="Q1779" s="166"/>
      <c r="R1779" s="166"/>
      <c r="S1779" s="166"/>
      <c r="T1779" s="166"/>
      <c r="U1779" s="166"/>
      <c r="V1779" s="166"/>
      <c r="W1779" s="166"/>
      <c r="X1779" s="166"/>
      <c r="Y1779" s="166"/>
      <c r="Z1779" s="166"/>
      <c r="AA1779" s="166"/>
      <c r="AB1779" s="166"/>
      <c r="AC1779" s="166"/>
      <c r="AD1779" s="166"/>
      <c r="AE1779" s="166"/>
      <c r="AF1779" s="166"/>
      <c r="AG1779" s="166"/>
      <c r="AH1779" s="166"/>
      <c r="AI1779" s="166"/>
    </row>
    <row r="1780" spans="7:35" x14ac:dyDescent="0.25">
      <c r="G1780" s="165"/>
      <c r="H1780" s="166"/>
      <c r="I1780" s="167"/>
      <c r="J1780" s="167"/>
      <c r="K1780" s="166"/>
      <c r="L1780" s="166"/>
      <c r="M1780" s="166"/>
      <c r="N1780" s="166"/>
      <c r="O1780" s="166"/>
      <c r="P1780" s="166"/>
      <c r="Q1780" s="166"/>
      <c r="R1780" s="166"/>
      <c r="S1780" s="166"/>
      <c r="T1780" s="166"/>
      <c r="U1780" s="166"/>
      <c r="V1780" s="166"/>
      <c r="W1780" s="166"/>
      <c r="X1780" s="166"/>
      <c r="Y1780" s="166"/>
      <c r="Z1780" s="166"/>
      <c r="AA1780" s="166"/>
      <c r="AB1780" s="166"/>
      <c r="AC1780" s="166"/>
      <c r="AD1780" s="166"/>
      <c r="AE1780" s="166"/>
      <c r="AF1780" s="166"/>
      <c r="AG1780" s="166"/>
      <c r="AH1780" s="166"/>
      <c r="AI1780" s="166"/>
    </row>
    <row r="1781" spans="7:35" x14ac:dyDescent="0.25">
      <c r="G1781" s="165"/>
      <c r="H1781" s="166"/>
      <c r="I1781" s="167"/>
      <c r="J1781" s="167"/>
      <c r="K1781" s="166"/>
      <c r="L1781" s="166"/>
      <c r="M1781" s="166"/>
      <c r="N1781" s="166"/>
      <c r="O1781" s="166"/>
      <c r="P1781" s="166"/>
      <c r="Q1781" s="166"/>
      <c r="R1781" s="166"/>
      <c r="S1781" s="166"/>
      <c r="T1781" s="166"/>
      <c r="U1781" s="166"/>
      <c r="V1781" s="166"/>
      <c r="W1781" s="166"/>
      <c r="X1781" s="166"/>
      <c r="Y1781" s="166"/>
      <c r="Z1781" s="166"/>
      <c r="AA1781" s="166"/>
      <c r="AB1781" s="166"/>
      <c r="AC1781" s="166"/>
      <c r="AD1781" s="166"/>
      <c r="AE1781" s="166"/>
      <c r="AF1781" s="166"/>
      <c r="AG1781" s="166"/>
      <c r="AH1781" s="166"/>
      <c r="AI1781" s="166"/>
    </row>
    <row r="1782" spans="7:35" x14ac:dyDescent="0.25">
      <c r="G1782" s="165"/>
      <c r="H1782" s="166"/>
      <c r="I1782" s="167"/>
      <c r="J1782" s="167"/>
      <c r="K1782" s="166"/>
      <c r="L1782" s="166"/>
      <c r="M1782" s="166"/>
      <c r="N1782" s="166"/>
      <c r="O1782" s="166"/>
      <c r="P1782" s="166"/>
      <c r="Q1782" s="166"/>
      <c r="R1782" s="166"/>
      <c r="S1782" s="166"/>
      <c r="T1782" s="166"/>
      <c r="U1782" s="166"/>
      <c r="V1782" s="166"/>
      <c r="W1782" s="166"/>
      <c r="X1782" s="166"/>
      <c r="Y1782" s="166"/>
      <c r="Z1782" s="166"/>
      <c r="AA1782" s="166"/>
      <c r="AB1782" s="166"/>
      <c r="AC1782" s="166"/>
      <c r="AD1782" s="166"/>
      <c r="AE1782" s="166"/>
      <c r="AF1782" s="166"/>
      <c r="AG1782" s="166"/>
      <c r="AH1782" s="166"/>
      <c r="AI1782" s="166"/>
    </row>
    <row r="1783" spans="7:35" x14ac:dyDescent="0.25">
      <c r="G1783" s="165"/>
      <c r="H1783" s="166"/>
      <c r="I1783" s="167"/>
      <c r="J1783" s="167"/>
      <c r="K1783" s="166"/>
      <c r="L1783" s="166"/>
      <c r="M1783" s="166"/>
      <c r="N1783" s="166"/>
      <c r="O1783" s="166"/>
      <c r="P1783" s="166"/>
      <c r="Q1783" s="166"/>
      <c r="R1783" s="166"/>
      <c r="S1783" s="166"/>
      <c r="T1783" s="166"/>
      <c r="U1783" s="166"/>
      <c r="V1783" s="166"/>
      <c r="W1783" s="166"/>
      <c r="X1783" s="166"/>
      <c r="Y1783" s="166"/>
      <c r="Z1783" s="166"/>
      <c r="AA1783" s="166"/>
      <c r="AB1783" s="166"/>
      <c r="AC1783" s="166"/>
      <c r="AD1783" s="166"/>
      <c r="AE1783" s="166"/>
      <c r="AF1783" s="166"/>
      <c r="AG1783" s="166"/>
      <c r="AH1783" s="166"/>
      <c r="AI1783" s="166"/>
    </row>
    <row r="1784" spans="7:35" x14ac:dyDescent="0.25">
      <c r="G1784" s="165"/>
      <c r="H1784" s="166"/>
      <c r="I1784" s="167"/>
      <c r="J1784" s="167"/>
      <c r="K1784" s="166"/>
      <c r="L1784" s="166"/>
      <c r="M1784" s="166"/>
      <c r="N1784" s="166"/>
      <c r="O1784" s="166"/>
      <c r="P1784" s="166"/>
      <c r="Q1784" s="166"/>
      <c r="R1784" s="166"/>
      <c r="S1784" s="166"/>
      <c r="T1784" s="166"/>
      <c r="U1784" s="166"/>
      <c r="V1784" s="166"/>
      <c r="W1784" s="166"/>
      <c r="X1784" s="166"/>
      <c r="Y1784" s="166"/>
      <c r="Z1784" s="166"/>
      <c r="AA1784" s="166"/>
      <c r="AB1784" s="166"/>
      <c r="AC1784" s="166"/>
      <c r="AD1784" s="166"/>
      <c r="AE1784" s="166"/>
      <c r="AF1784" s="166"/>
      <c r="AG1784" s="166"/>
      <c r="AH1784" s="166"/>
      <c r="AI1784" s="166"/>
    </row>
    <row r="1785" spans="7:35" x14ac:dyDescent="0.25">
      <c r="G1785" s="165"/>
      <c r="H1785" s="166"/>
      <c r="I1785" s="167"/>
      <c r="J1785" s="167"/>
      <c r="K1785" s="166"/>
      <c r="L1785" s="166"/>
      <c r="M1785" s="166"/>
      <c r="N1785" s="166"/>
      <c r="O1785" s="166"/>
      <c r="P1785" s="166"/>
      <c r="Q1785" s="166"/>
      <c r="R1785" s="166"/>
      <c r="S1785" s="166"/>
      <c r="T1785" s="166"/>
      <c r="U1785" s="166"/>
      <c r="V1785" s="166"/>
      <c r="W1785" s="166"/>
      <c r="X1785" s="166"/>
      <c r="Y1785" s="166"/>
      <c r="Z1785" s="166"/>
      <c r="AA1785" s="166"/>
      <c r="AB1785" s="166"/>
      <c r="AC1785" s="166"/>
      <c r="AD1785" s="166"/>
      <c r="AE1785" s="166"/>
      <c r="AF1785" s="166"/>
      <c r="AG1785" s="166"/>
      <c r="AH1785" s="166"/>
      <c r="AI1785" s="166"/>
    </row>
    <row r="1786" spans="7:35" x14ac:dyDescent="0.25">
      <c r="G1786" s="165"/>
      <c r="H1786" s="166"/>
      <c r="I1786" s="167"/>
      <c r="J1786" s="167"/>
      <c r="K1786" s="166"/>
      <c r="L1786" s="166"/>
      <c r="M1786" s="166"/>
      <c r="N1786" s="166"/>
      <c r="O1786" s="166"/>
      <c r="P1786" s="166"/>
      <c r="Q1786" s="166"/>
      <c r="R1786" s="166"/>
      <c r="S1786" s="166"/>
      <c r="T1786" s="166"/>
      <c r="U1786" s="166"/>
      <c r="V1786" s="166"/>
      <c r="W1786" s="166"/>
      <c r="X1786" s="166"/>
      <c r="Y1786" s="166"/>
      <c r="Z1786" s="166"/>
      <c r="AA1786" s="166"/>
      <c r="AB1786" s="166"/>
      <c r="AC1786" s="166"/>
      <c r="AD1786" s="166"/>
      <c r="AE1786" s="166"/>
      <c r="AF1786" s="166"/>
      <c r="AG1786" s="166"/>
      <c r="AH1786" s="166"/>
      <c r="AI1786" s="166"/>
    </row>
    <row r="1787" spans="7:35" x14ac:dyDescent="0.25">
      <c r="G1787" s="165"/>
      <c r="H1787" s="166"/>
      <c r="I1787" s="167"/>
      <c r="J1787" s="167"/>
      <c r="K1787" s="166"/>
      <c r="L1787" s="166"/>
      <c r="M1787" s="166"/>
      <c r="N1787" s="166"/>
      <c r="O1787" s="166"/>
      <c r="P1787" s="166"/>
      <c r="Q1787" s="166"/>
      <c r="R1787" s="166"/>
      <c r="S1787" s="166"/>
      <c r="T1787" s="166"/>
      <c r="U1787" s="166"/>
      <c r="V1787" s="166"/>
      <c r="W1787" s="166"/>
      <c r="X1787" s="166"/>
      <c r="Y1787" s="166"/>
      <c r="Z1787" s="166"/>
      <c r="AA1787" s="166"/>
      <c r="AB1787" s="166"/>
      <c r="AC1787" s="166"/>
      <c r="AD1787" s="166"/>
      <c r="AE1787" s="166"/>
      <c r="AF1787" s="166"/>
      <c r="AG1787" s="166"/>
      <c r="AH1787" s="166"/>
      <c r="AI1787" s="166"/>
    </row>
    <row r="1788" spans="7:35" x14ac:dyDescent="0.25">
      <c r="G1788" s="165"/>
      <c r="H1788" s="166"/>
      <c r="I1788" s="167"/>
      <c r="J1788" s="167"/>
      <c r="K1788" s="166"/>
      <c r="L1788" s="166"/>
      <c r="M1788" s="166"/>
      <c r="N1788" s="166"/>
      <c r="O1788" s="166"/>
      <c r="P1788" s="166"/>
      <c r="Q1788" s="166"/>
      <c r="R1788" s="166"/>
      <c r="S1788" s="166"/>
      <c r="T1788" s="166"/>
      <c r="U1788" s="166"/>
      <c r="V1788" s="166"/>
      <c r="W1788" s="166"/>
      <c r="X1788" s="166"/>
      <c r="Y1788" s="166"/>
      <c r="Z1788" s="166"/>
      <c r="AA1788" s="166"/>
      <c r="AB1788" s="166"/>
      <c r="AC1788" s="166"/>
      <c r="AD1788" s="166"/>
      <c r="AE1788" s="166"/>
      <c r="AF1788" s="166"/>
      <c r="AG1788" s="166"/>
      <c r="AH1788" s="166"/>
      <c r="AI1788" s="166"/>
    </row>
    <row r="1789" spans="7:35" x14ac:dyDescent="0.25">
      <c r="G1789" s="165"/>
      <c r="H1789" s="166"/>
      <c r="I1789" s="167"/>
      <c r="J1789" s="167"/>
      <c r="K1789" s="166"/>
      <c r="L1789" s="166"/>
      <c r="M1789" s="166"/>
      <c r="N1789" s="166"/>
      <c r="O1789" s="166"/>
      <c r="P1789" s="166"/>
      <c r="Q1789" s="166"/>
      <c r="R1789" s="166"/>
      <c r="S1789" s="166"/>
      <c r="T1789" s="166"/>
      <c r="U1789" s="166"/>
      <c r="V1789" s="166"/>
      <c r="W1789" s="166"/>
      <c r="X1789" s="166"/>
      <c r="Y1789" s="166"/>
      <c r="Z1789" s="166"/>
      <c r="AA1789" s="166"/>
      <c r="AB1789" s="166"/>
      <c r="AC1789" s="166"/>
      <c r="AD1789" s="166"/>
      <c r="AE1789" s="166"/>
      <c r="AF1789" s="166"/>
      <c r="AG1789" s="166"/>
      <c r="AH1789" s="166"/>
      <c r="AI1789" s="166"/>
    </row>
    <row r="1790" spans="7:35" x14ac:dyDescent="0.25">
      <c r="G1790" s="165"/>
      <c r="H1790" s="166"/>
      <c r="I1790" s="167"/>
      <c r="J1790" s="167"/>
      <c r="K1790" s="166"/>
      <c r="L1790" s="166"/>
      <c r="M1790" s="166"/>
      <c r="N1790" s="166"/>
      <c r="O1790" s="166"/>
      <c r="P1790" s="166"/>
      <c r="Q1790" s="166"/>
      <c r="R1790" s="166"/>
      <c r="S1790" s="166"/>
      <c r="T1790" s="166"/>
      <c r="U1790" s="166"/>
      <c r="V1790" s="166"/>
      <c r="W1790" s="166"/>
      <c r="X1790" s="166"/>
      <c r="Y1790" s="166"/>
      <c r="Z1790" s="166"/>
      <c r="AA1790" s="166"/>
      <c r="AB1790" s="166"/>
      <c r="AC1790" s="166"/>
      <c r="AD1790" s="166"/>
      <c r="AE1790" s="166"/>
      <c r="AF1790" s="166"/>
      <c r="AG1790" s="166"/>
      <c r="AH1790" s="166"/>
      <c r="AI1790" s="166"/>
    </row>
    <row r="1791" spans="7:35" x14ac:dyDescent="0.25">
      <c r="G1791" s="165"/>
      <c r="H1791" s="166"/>
      <c r="I1791" s="167"/>
      <c r="J1791" s="167"/>
      <c r="K1791" s="166"/>
      <c r="L1791" s="166"/>
      <c r="M1791" s="166"/>
      <c r="N1791" s="166"/>
      <c r="O1791" s="166"/>
      <c r="P1791" s="166"/>
      <c r="Q1791" s="166"/>
      <c r="R1791" s="166"/>
      <c r="S1791" s="166"/>
      <c r="T1791" s="166"/>
      <c r="U1791" s="166"/>
      <c r="V1791" s="166"/>
      <c r="W1791" s="166"/>
      <c r="X1791" s="166"/>
      <c r="Y1791" s="166"/>
      <c r="Z1791" s="166"/>
      <c r="AA1791" s="166"/>
      <c r="AB1791" s="166"/>
      <c r="AC1791" s="166"/>
      <c r="AD1791" s="166"/>
      <c r="AE1791" s="166"/>
      <c r="AF1791" s="166"/>
      <c r="AG1791" s="166"/>
      <c r="AH1791" s="166"/>
      <c r="AI1791" s="166"/>
    </row>
    <row r="1792" spans="7:35" x14ac:dyDescent="0.25">
      <c r="G1792" s="165"/>
      <c r="H1792" s="166"/>
      <c r="I1792" s="167"/>
      <c r="J1792" s="167"/>
      <c r="K1792" s="166"/>
      <c r="L1792" s="166"/>
      <c r="M1792" s="166"/>
      <c r="N1792" s="166"/>
      <c r="O1792" s="166"/>
      <c r="P1792" s="166"/>
      <c r="Q1792" s="166"/>
      <c r="R1792" s="166"/>
      <c r="S1792" s="166"/>
      <c r="T1792" s="166"/>
      <c r="U1792" s="166"/>
      <c r="V1792" s="166"/>
      <c r="W1792" s="166"/>
      <c r="X1792" s="166"/>
      <c r="Y1792" s="166"/>
      <c r="Z1792" s="166"/>
      <c r="AA1792" s="166"/>
      <c r="AB1792" s="166"/>
      <c r="AC1792" s="166"/>
      <c r="AD1792" s="166"/>
      <c r="AE1792" s="166"/>
      <c r="AF1792" s="166"/>
      <c r="AG1792" s="166"/>
      <c r="AH1792" s="166"/>
      <c r="AI1792" s="166"/>
    </row>
    <row r="1793" spans="7:35" x14ac:dyDescent="0.25">
      <c r="G1793" s="165"/>
      <c r="H1793" s="166"/>
      <c r="I1793" s="167"/>
      <c r="J1793" s="167"/>
      <c r="K1793" s="166"/>
      <c r="L1793" s="166"/>
      <c r="M1793" s="166"/>
      <c r="N1793" s="166"/>
      <c r="O1793" s="166"/>
      <c r="P1793" s="166"/>
      <c r="Q1793" s="166"/>
      <c r="R1793" s="166"/>
      <c r="S1793" s="166"/>
      <c r="T1793" s="166"/>
      <c r="U1793" s="166"/>
      <c r="V1793" s="166"/>
      <c r="W1793" s="166"/>
      <c r="X1793" s="166"/>
      <c r="Y1793" s="166"/>
      <c r="Z1793" s="166"/>
      <c r="AA1793" s="166"/>
      <c r="AB1793" s="166"/>
      <c r="AC1793" s="166"/>
      <c r="AD1793" s="166"/>
      <c r="AE1793" s="166"/>
      <c r="AF1793" s="166"/>
      <c r="AG1793" s="166"/>
      <c r="AH1793" s="166"/>
      <c r="AI1793" s="166"/>
    </row>
    <row r="1794" spans="7:35" x14ac:dyDescent="0.25">
      <c r="G1794" s="165"/>
      <c r="H1794" s="166"/>
      <c r="I1794" s="167"/>
      <c r="J1794" s="167"/>
      <c r="K1794" s="166"/>
      <c r="L1794" s="166"/>
      <c r="M1794" s="166"/>
      <c r="N1794" s="166"/>
      <c r="O1794" s="166"/>
      <c r="P1794" s="166"/>
      <c r="Q1794" s="166"/>
      <c r="R1794" s="166"/>
      <c r="S1794" s="166"/>
      <c r="T1794" s="166"/>
      <c r="U1794" s="166"/>
      <c r="V1794" s="166"/>
      <c r="W1794" s="166"/>
      <c r="X1794" s="166"/>
      <c r="Y1794" s="166"/>
      <c r="Z1794" s="166"/>
      <c r="AA1794" s="166"/>
      <c r="AB1794" s="166"/>
      <c r="AC1794" s="166"/>
      <c r="AD1794" s="166"/>
      <c r="AE1794" s="166"/>
      <c r="AF1794" s="166"/>
      <c r="AG1794" s="166"/>
      <c r="AH1794" s="166"/>
      <c r="AI1794" s="166"/>
    </row>
    <row r="1795" spans="7:35" x14ac:dyDescent="0.25">
      <c r="G1795" s="165"/>
      <c r="H1795" s="166"/>
      <c r="I1795" s="167"/>
      <c r="J1795" s="167"/>
      <c r="K1795" s="166"/>
      <c r="L1795" s="166"/>
      <c r="M1795" s="166"/>
      <c r="N1795" s="166"/>
      <c r="O1795" s="166"/>
      <c r="P1795" s="166"/>
      <c r="Q1795" s="166"/>
      <c r="R1795" s="166"/>
      <c r="S1795" s="166"/>
      <c r="T1795" s="166"/>
      <c r="U1795" s="166"/>
      <c r="V1795" s="166"/>
      <c r="W1795" s="166"/>
      <c r="X1795" s="166"/>
      <c r="Y1795" s="166"/>
      <c r="Z1795" s="166"/>
      <c r="AA1795" s="166"/>
      <c r="AB1795" s="166"/>
      <c r="AC1795" s="166"/>
      <c r="AD1795" s="166"/>
      <c r="AE1795" s="166"/>
      <c r="AF1795" s="166"/>
      <c r="AG1795" s="166"/>
      <c r="AH1795" s="166"/>
      <c r="AI1795" s="166"/>
    </row>
    <row r="1796" spans="7:35" x14ac:dyDescent="0.25">
      <c r="G1796" s="165"/>
      <c r="H1796" s="166"/>
      <c r="I1796" s="167"/>
      <c r="J1796" s="167"/>
      <c r="K1796" s="166"/>
      <c r="L1796" s="166"/>
      <c r="M1796" s="166"/>
      <c r="N1796" s="166"/>
      <c r="O1796" s="166"/>
      <c r="P1796" s="166"/>
      <c r="Q1796" s="166"/>
      <c r="R1796" s="166"/>
      <c r="S1796" s="166"/>
      <c r="T1796" s="166"/>
      <c r="U1796" s="166"/>
      <c r="V1796" s="166"/>
      <c r="W1796" s="166"/>
      <c r="X1796" s="166"/>
      <c r="Y1796" s="166"/>
      <c r="Z1796" s="166"/>
      <c r="AA1796" s="166"/>
      <c r="AB1796" s="166"/>
      <c r="AC1796" s="166"/>
      <c r="AD1796" s="166"/>
      <c r="AE1796" s="166"/>
      <c r="AF1796" s="166"/>
      <c r="AG1796" s="166"/>
      <c r="AH1796" s="166"/>
      <c r="AI1796" s="166"/>
    </row>
    <row r="1797" spans="7:35" x14ac:dyDescent="0.25">
      <c r="G1797" s="165"/>
      <c r="H1797" s="166"/>
      <c r="I1797" s="167"/>
      <c r="J1797" s="167"/>
      <c r="K1797" s="166"/>
      <c r="L1797" s="166"/>
      <c r="M1797" s="166"/>
      <c r="N1797" s="166"/>
      <c r="O1797" s="166"/>
      <c r="P1797" s="166"/>
      <c r="Q1797" s="166"/>
      <c r="R1797" s="166"/>
      <c r="S1797" s="166"/>
      <c r="T1797" s="166"/>
      <c r="U1797" s="166"/>
      <c r="V1797" s="166"/>
      <c r="W1797" s="166"/>
      <c r="X1797" s="166"/>
      <c r="Y1797" s="166"/>
      <c r="Z1797" s="166"/>
      <c r="AA1797" s="166"/>
      <c r="AB1797" s="166"/>
      <c r="AC1797" s="166"/>
      <c r="AD1797" s="166"/>
      <c r="AE1797" s="166"/>
      <c r="AF1797" s="166"/>
      <c r="AG1797" s="166"/>
      <c r="AH1797" s="166"/>
      <c r="AI1797" s="166"/>
    </row>
    <row r="1798" spans="7:35" x14ac:dyDescent="0.25">
      <c r="G1798" s="165"/>
      <c r="H1798" s="166"/>
      <c r="I1798" s="167"/>
      <c r="J1798" s="167"/>
      <c r="K1798" s="166"/>
      <c r="L1798" s="166"/>
      <c r="M1798" s="166"/>
      <c r="N1798" s="166"/>
      <c r="O1798" s="166"/>
      <c r="P1798" s="166"/>
      <c r="Q1798" s="166"/>
      <c r="R1798" s="166"/>
      <c r="S1798" s="166"/>
      <c r="T1798" s="166"/>
      <c r="U1798" s="166"/>
      <c r="V1798" s="166"/>
      <c r="W1798" s="166"/>
      <c r="X1798" s="166"/>
      <c r="Y1798" s="166"/>
      <c r="Z1798" s="166"/>
      <c r="AA1798" s="166"/>
      <c r="AB1798" s="166"/>
      <c r="AC1798" s="166"/>
      <c r="AD1798" s="166"/>
      <c r="AE1798" s="166"/>
      <c r="AF1798" s="166"/>
      <c r="AG1798" s="166"/>
      <c r="AH1798" s="166"/>
      <c r="AI1798" s="166"/>
    </row>
    <row r="1799" spans="7:35" x14ac:dyDescent="0.25">
      <c r="G1799" s="165"/>
      <c r="H1799" s="166"/>
      <c r="I1799" s="167"/>
      <c r="J1799" s="167"/>
      <c r="K1799" s="166"/>
      <c r="L1799" s="166"/>
      <c r="M1799" s="166"/>
      <c r="N1799" s="166"/>
      <c r="O1799" s="166"/>
      <c r="P1799" s="166"/>
      <c r="Q1799" s="166"/>
      <c r="R1799" s="166"/>
      <c r="S1799" s="166"/>
      <c r="T1799" s="166"/>
      <c r="U1799" s="166"/>
      <c r="V1799" s="166"/>
      <c r="W1799" s="166"/>
      <c r="X1799" s="166"/>
      <c r="Y1799" s="166"/>
      <c r="Z1799" s="166"/>
      <c r="AA1799" s="166"/>
      <c r="AB1799" s="166"/>
      <c r="AC1799" s="166"/>
      <c r="AD1799" s="166"/>
      <c r="AE1799" s="166"/>
      <c r="AF1799" s="166"/>
      <c r="AG1799" s="166"/>
      <c r="AH1799" s="166"/>
      <c r="AI1799" s="166"/>
    </row>
    <row r="1800" spans="7:35" x14ac:dyDescent="0.25">
      <c r="G1800" s="165"/>
      <c r="H1800" s="166"/>
      <c r="I1800" s="167"/>
      <c r="J1800" s="167"/>
      <c r="K1800" s="166"/>
      <c r="L1800" s="166"/>
      <c r="M1800" s="166"/>
      <c r="N1800" s="166"/>
      <c r="O1800" s="166"/>
      <c r="P1800" s="166"/>
      <c r="Q1800" s="166"/>
      <c r="R1800" s="166"/>
      <c r="S1800" s="166"/>
      <c r="T1800" s="166"/>
      <c r="U1800" s="166"/>
      <c r="V1800" s="166"/>
      <c r="W1800" s="166"/>
      <c r="X1800" s="166"/>
      <c r="Y1800" s="166"/>
      <c r="Z1800" s="166"/>
      <c r="AA1800" s="166"/>
      <c r="AB1800" s="166"/>
      <c r="AC1800" s="166"/>
      <c r="AD1800" s="166"/>
      <c r="AE1800" s="166"/>
      <c r="AF1800" s="166"/>
      <c r="AG1800" s="166"/>
      <c r="AH1800" s="166"/>
      <c r="AI1800" s="166"/>
    </row>
    <row r="1801" spans="7:35" x14ac:dyDescent="0.25">
      <c r="G1801" s="165"/>
      <c r="H1801" s="166"/>
      <c r="I1801" s="167"/>
      <c r="J1801" s="167"/>
      <c r="K1801" s="166"/>
      <c r="L1801" s="166"/>
      <c r="M1801" s="166"/>
      <c r="N1801" s="166"/>
      <c r="O1801" s="166"/>
      <c r="P1801" s="166"/>
      <c r="Q1801" s="166"/>
      <c r="R1801" s="166"/>
      <c r="S1801" s="166"/>
      <c r="T1801" s="166"/>
      <c r="U1801" s="166"/>
      <c r="V1801" s="166"/>
      <c r="W1801" s="166"/>
      <c r="X1801" s="166"/>
      <c r="Y1801" s="166"/>
      <c r="Z1801" s="166"/>
      <c r="AA1801" s="166"/>
      <c r="AB1801" s="166"/>
      <c r="AC1801" s="166"/>
      <c r="AD1801" s="166"/>
      <c r="AE1801" s="166"/>
      <c r="AF1801" s="166"/>
      <c r="AG1801" s="166"/>
      <c r="AH1801" s="166"/>
      <c r="AI1801" s="166"/>
    </row>
    <row r="1802" spans="7:35" x14ac:dyDescent="0.25">
      <c r="G1802" s="165"/>
      <c r="H1802" s="166"/>
      <c r="I1802" s="167"/>
      <c r="J1802" s="167"/>
      <c r="K1802" s="166"/>
      <c r="L1802" s="166"/>
      <c r="M1802" s="166"/>
      <c r="N1802" s="166"/>
      <c r="O1802" s="166"/>
      <c r="P1802" s="166"/>
      <c r="Q1802" s="166"/>
      <c r="R1802" s="166"/>
      <c r="S1802" s="166"/>
      <c r="T1802" s="166"/>
      <c r="U1802" s="166"/>
      <c r="V1802" s="166"/>
      <c r="W1802" s="166"/>
      <c r="X1802" s="166"/>
      <c r="Y1802" s="166"/>
      <c r="Z1802" s="166"/>
      <c r="AA1802" s="166"/>
      <c r="AB1802" s="166"/>
      <c r="AC1802" s="166"/>
      <c r="AD1802" s="166"/>
      <c r="AE1802" s="166"/>
      <c r="AF1802" s="166"/>
      <c r="AG1802" s="166"/>
      <c r="AH1802" s="166"/>
      <c r="AI1802" s="166"/>
    </row>
    <row r="1803" spans="7:35" x14ac:dyDescent="0.25">
      <c r="G1803" s="165"/>
      <c r="H1803" s="166"/>
      <c r="I1803" s="167"/>
      <c r="J1803" s="167"/>
      <c r="K1803" s="166"/>
      <c r="L1803" s="166"/>
      <c r="M1803" s="166"/>
      <c r="N1803" s="166"/>
      <c r="O1803" s="166"/>
      <c r="P1803" s="166"/>
      <c r="Q1803" s="166"/>
      <c r="R1803" s="166"/>
      <c r="S1803" s="166"/>
      <c r="T1803" s="166"/>
      <c r="U1803" s="166"/>
      <c r="V1803" s="166"/>
      <c r="W1803" s="166"/>
      <c r="X1803" s="166"/>
      <c r="Y1803" s="166"/>
      <c r="Z1803" s="166"/>
      <c r="AA1803" s="166"/>
      <c r="AB1803" s="166"/>
      <c r="AC1803" s="166"/>
      <c r="AD1803" s="166"/>
      <c r="AE1803" s="166"/>
      <c r="AF1803" s="166"/>
      <c r="AG1803" s="166"/>
      <c r="AH1803" s="166"/>
      <c r="AI1803" s="166"/>
    </row>
    <row r="1804" spans="7:35" x14ac:dyDescent="0.25">
      <c r="G1804" s="165"/>
      <c r="H1804" s="166"/>
      <c r="I1804" s="167"/>
      <c r="J1804" s="167"/>
      <c r="K1804" s="166"/>
      <c r="L1804" s="166"/>
      <c r="M1804" s="166"/>
      <c r="N1804" s="166"/>
      <c r="O1804" s="166"/>
      <c r="P1804" s="166"/>
      <c r="Q1804" s="166"/>
      <c r="R1804" s="166"/>
      <c r="S1804" s="166"/>
      <c r="T1804" s="166"/>
      <c r="U1804" s="166"/>
      <c r="V1804" s="166"/>
      <c r="W1804" s="166"/>
      <c r="X1804" s="166"/>
      <c r="Y1804" s="166"/>
      <c r="Z1804" s="166"/>
      <c r="AA1804" s="166"/>
      <c r="AB1804" s="166"/>
      <c r="AC1804" s="166"/>
      <c r="AD1804" s="166"/>
      <c r="AE1804" s="166"/>
      <c r="AF1804" s="166"/>
      <c r="AG1804" s="166"/>
      <c r="AH1804" s="166"/>
      <c r="AI1804" s="166"/>
    </row>
    <row r="1805" spans="7:35" x14ac:dyDescent="0.25">
      <c r="G1805" s="165"/>
      <c r="H1805" s="166"/>
      <c r="I1805" s="167"/>
      <c r="J1805" s="167"/>
      <c r="K1805" s="166"/>
      <c r="L1805" s="166"/>
      <c r="M1805" s="166"/>
      <c r="N1805" s="166"/>
      <c r="O1805" s="166"/>
      <c r="P1805" s="166"/>
      <c r="Q1805" s="166"/>
      <c r="R1805" s="166"/>
      <c r="S1805" s="166"/>
      <c r="T1805" s="166"/>
      <c r="U1805" s="166"/>
      <c r="V1805" s="166"/>
      <c r="W1805" s="166"/>
      <c r="X1805" s="166"/>
      <c r="Y1805" s="166"/>
      <c r="Z1805" s="166"/>
      <c r="AA1805" s="166"/>
      <c r="AB1805" s="166"/>
      <c r="AC1805" s="166"/>
      <c r="AD1805" s="166"/>
      <c r="AE1805" s="166"/>
      <c r="AF1805" s="166"/>
      <c r="AG1805" s="166"/>
      <c r="AH1805" s="166"/>
      <c r="AI1805" s="166"/>
    </row>
    <row r="1806" spans="7:35" x14ac:dyDescent="0.25">
      <c r="G1806" s="165"/>
      <c r="H1806" s="166"/>
      <c r="I1806" s="167"/>
      <c r="J1806" s="167"/>
      <c r="K1806" s="166"/>
      <c r="L1806" s="166"/>
      <c r="M1806" s="166"/>
      <c r="N1806" s="166"/>
      <c r="O1806" s="166"/>
      <c r="P1806" s="166"/>
      <c r="Q1806" s="166"/>
      <c r="R1806" s="166"/>
      <c r="S1806" s="166"/>
      <c r="T1806" s="166"/>
      <c r="U1806" s="166"/>
      <c r="V1806" s="166"/>
      <c r="W1806" s="166"/>
      <c r="X1806" s="166"/>
      <c r="Y1806" s="166"/>
      <c r="Z1806" s="166"/>
      <c r="AA1806" s="166"/>
      <c r="AB1806" s="166"/>
      <c r="AC1806" s="166"/>
      <c r="AD1806" s="166"/>
      <c r="AE1806" s="166"/>
      <c r="AF1806" s="166"/>
      <c r="AG1806" s="166"/>
      <c r="AH1806" s="166"/>
      <c r="AI1806" s="166"/>
    </row>
    <row r="1807" spans="7:35" x14ac:dyDescent="0.25">
      <c r="G1807" s="165"/>
      <c r="H1807" s="166"/>
      <c r="I1807" s="167"/>
      <c r="J1807" s="167"/>
      <c r="K1807" s="166"/>
      <c r="L1807" s="166"/>
      <c r="M1807" s="166"/>
      <c r="N1807" s="166"/>
      <c r="O1807" s="166"/>
      <c r="P1807" s="166"/>
      <c r="Q1807" s="166"/>
      <c r="R1807" s="166"/>
      <c r="S1807" s="166"/>
      <c r="T1807" s="166"/>
      <c r="U1807" s="166"/>
      <c r="V1807" s="166"/>
      <c r="W1807" s="166"/>
      <c r="X1807" s="166"/>
      <c r="Y1807" s="166"/>
      <c r="Z1807" s="166"/>
      <c r="AA1807" s="166"/>
      <c r="AB1807" s="166"/>
      <c r="AC1807" s="166"/>
      <c r="AD1807" s="166"/>
      <c r="AE1807" s="166"/>
      <c r="AF1807" s="166"/>
      <c r="AG1807" s="166"/>
      <c r="AH1807" s="166"/>
      <c r="AI1807" s="166"/>
    </row>
    <row r="1808" spans="7:35" x14ac:dyDescent="0.25">
      <c r="G1808" s="165"/>
      <c r="H1808" s="166"/>
      <c r="I1808" s="167"/>
      <c r="J1808" s="167"/>
      <c r="K1808" s="166"/>
      <c r="L1808" s="166"/>
      <c r="M1808" s="166"/>
      <c r="N1808" s="166"/>
      <c r="O1808" s="166"/>
      <c r="P1808" s="166"/>
      <c r="Q1808" s="166"/>
      <c r="R1808" s="166"/>
      <c r="S1808" s="166"/>
      <c r="T1808" s="166"/>
      <c r="U1808" s="166"/>
      <c r="V1808" s="166"/>
      <c r="W1808" s="166"/>
      <c r="X1808" s="166"/>
      <c r="Y1808" s="166"/>
      <c r="Z1808" s="166"/>
      <c r="AA1808" s="166"/>
      <c r="AB1808" s="166"/>
      <c r="AC1808" s="166"/>
      <c r="AD1808" s="166"/>
      <c r="AE1808" s="166"/>
      <c r="AF1808" s="166"/>
      <c r="AG1808" s="166"/>
      <c r="AH1808" s="166"/>
      <c r="AI1808" s="166"/>
    </row>
    <row r="1809" spans="7:35" x14ac:dyDescent="0.25">
      <c r="G1809" s="165"/>
      <c r="H1809" s="166"/>
      <c r="I1809" s="167"/>
      <c r="J1809" s="167"/>
      <c r="K1809" s="166"/>
      <c r="L1809" s="166"/>
      <c r="M1809" s="166"/>
      <c r="N1809" s="166"/>
      <c r="O1809" s="166"/>
      <c r="P1809" s="166"/>
      <c r="Q1809" s="166"/>
      <c r="R1809" s="166"/>
      <c r="S1809" s="166"/>
      <c r="T1809" s="166"/>
      <c r="U1809" s="166"/>
      <c r="V1809" s="166"/>
      <c r="W1809" s="166"/>
      <c r="X1809" s="166"/>
      <c r="Y1809" s="166"/>
      <c r="Z1809" s="166"/>
      <c r="AA1809" s="166"/>
      <c r="AB1809" s="166"/>
      <c r="AC1809" s="166"/>
      <c r="AD1809" s="166"/>
      <c r="AE1809" s="166"/>
      <c r="AF1809" s="166"/>
      <c r="AG1809" s="166"/>
      <c r="AH1809" s="166"/>
      <c r="AI1809" s="166"/>
    </row>
    <row r="1810" spans="7:35" x14ac:dyDescent="0.25">
      <c r="G1810" s="165"/>
      <c r="H1810" s="166"/>
      <c r="I1810" s="167"/>
      <c r="J1810" s="167"/>
      <c r="K1810" s="166"/>
      <c r="L1810" s="166"/>
      <c r="M1810" s="166"/>
      <c r="N1810" s="166"/>
      <c r="O1810" s="166"/>
      <c r="P1810" s="166"/>
      <c r="Q1810" s="166"/>
      <c r="R1810" s="166"/>
      <c r="S1810" s="166"/>
      <c r="T1810" s="166"/>
      <c r="U1810" s="166"/>
      <c r="V1810" s="166"/>
      <c r="W1810" s="166"/>
      <c r="X1810" s="166"/>
      <c r="Y1810" s="166"/>
      <c r="Z1810" s="166"/>
      <c r="AA1810" s="166"/>
      <c r="AB1810" s="166"/>
      <c r="AC1810" s="166"/>
      <c r="AD1810" s="166"/>
      <c r="AE1810" s="166"/>
      <c r="AF1810" s="166"/>
      <c r="AG1810" s="166"/>
      <c r="AH1810" s="166"/>
      <c r="AI1810" s="166"/>
    </row>
    <row r="1811" spans="7:35" x14ac:dyDescent="0.25">
      <c r="G1811" s="165"/>
      <c r="H1811" s="166"/>
      <c r="I1811" s="167"/>
      <c r="J1811" s="167"/>
      <c r="K1811" s="166"/>
      <c r="L1811" s="166"/>
      <c r="M1811" s="166"/>
      <c r="N1811" s="166"/>
      <c r="O1811" s="166"/>
      <c r="P1811" s="166"/>
      <c r="Q1811" s="166"/>
      <c r="R1811" s="166"/>
      <c r="S1811" s="166"/>
      <c r="T1811" s="166"/>
      <c r="U1811" s="166"/>
      <c r="V1811" s="166"/>
      <c r="W1811" s="166"/>
      <c r="X1811" s="166"/>
      <c r="Y1811" s="166"/>
      <c r="Z1811" s="166"/>
      <c r="AA1811" s="166"/>
      <c r="AB1811" s="166"/>
      <c r="AC1811" s="166"/>
      <c r="AD1811" s="166"/>
      <c r="AE1811" s="166"/>
      <c r="AF1811" s="166"/>
      <c r="AG1811" s="166"/>
      <c r="AH1811" s="166"/>
      <c r="AI1811" s="166"/>
    </row>
    <row r="1812" spans="7:35" x14ac:dyDescent="0.25">
      <c r="G1812" s="165"/>
      <c r="H1812" s="166"/>
      <c r="I1812" s="167"/>
      <c r="J1812" s="167"/>
      <c r="K1812" s="166"/>
      <c r="L1812" s="166"/>
      <c r="M1812" s="166"/>
      <c r="N1812" s="166"/>
      <c r="O1812" s="166"/>
      <c r="P1812" s="166"/>
      <c r="Q1812" s="166"/>
      <c r="R1812" s="166"/>
      <c r="S1812" s="166"/>
      <c r="T1812" s="166"/>
      <c r="U1812" s="166"/>
      <c r="V1812" s="166"/>
      <c r="W1812" s="166"/>
      <c r="X1812" s="166"/>
      <c r="Y1812" s="166"/>
      <c r="Z1812" s="166"/>
      <c r="AA1812" s="166"/>
      <c r="AB1812" s="166"/>
      <c r="AC1812" s="166"/>
      <c r="AD1812" s="166"/>
      <c r="AE1812" s="166"/>
      <c r="AF1812" s="166"/>
      <c r="AG1812" s="166"/>
      <c r="AH1812" s="166"/>
      <c r="AI1812" s="166"/>
    </row>
    <row r="1813" spans="7:35" x14ac:dyDescent="0.25">
      <c r="G1813" s="165"/>
      <c r="H1813" s="166"/>
      <c r="I1813" s="167"/>
      <c r="J1813" s="167"/>
      <c r="K1813" s="166"/>
      <c r="L1813" s="166"/>
      <c r="M1813" s="166"/>
      <c r="N1813" s="166"/>
      <c r="O1813" s="166"/>
      <c r="P1813" s="166"/>
      <c r="Q1813" s="166"/>
      <c r="R1813" s="166"/>
      <c r="S1813" s="166"/>
      <c r="T1813" s="166"/>
      <c r="U1813" s="166"/>
      <c r="V1813" s="166"/>
      <c r="W1813" s="166"/>
      <c r="X1813" s="166"/>
      <c r="Y1813" s="166"/>
      <c r="Z1813" s="166"/>
      <c r="AA1813" s="166"/>
      <c r="AB1813" s="166"/>
      <c r="AC1813" s="166"/>
      <c r="AD1813" s="166"/>
      <c r="AE1813" s="166"/>
      <c r="AF1813" s="166"/>
      <c r="AG1813" s="166"/>
      <c r="AH1813" s="166"/>
      <c r="AI1813" s="166"/>
    </row>
    <row r="1814" spans="7:35" x14ac:dyDescent="0.25">
      <c r="G1814" s="165"/>
      <c r="H1814" s="166"/>
      <c r="I1814" s="167"/>
      <c r="J1814" s="167"/>
      <c r="K1814" s="166"/>
      <c r="L1814" s="166"/>
      <c r="M1814" s="166"/>
      <c r="N1814" s="166"/>
      <c r="O1814" s="166"/>
      <c r="P1814" s="166"/>
      <c r="Q1814" s="166"/>
      <c r="R1814" s="166"/>
      <c r="S1814" s="166"/>
      <c r="T1814" s="166"/>
      <c r="U1814" s="166"/>
      <c r="V1814" s="166"/>
      <c r="W1814" s="166"/>
      <c r="X1814" s="166"/>
      <c r="Y1814" s="166"/>
      <c r="Z1814" s="166"/>
      <c r="AA1814" s="166"/>
      <c r="AB1814" s="166"/>
      <c r="AC1814" s="166"/>
      <c r="AD1814" s="166"/>
      <c r="AE1814" s="166"/>
      <c r="AF1814" s="166"/>
      <c r="AG1814" s="166"/>
      <c r="AH1814" s="166"/>
      <c r="AI1814" s="166"/>
    </row>
    <row r="1815" spans="7:35" x14ac:dyDescent="0.25">
      <c r="G1815" s="165"/>
      <c r="H1815" s="166"/>
      <c r="I1815" s="167"/>
      <c r="J1815" s="167"/>
      <c r="K1815" s="166"/>
      <c r="L1815" s="166"/>
      <c r="M1815" s="166"/>
      <c r="N1815" s="166"/>
      <c r="O1815" s="166"/>
      <c r="P1815" s="166"/>
      <c r="Q1815" s="166"/>
      <c r="R1815" s="166"/>
      <c r="S1815" s="166"/>
      <c r="T1815" s="166"/>
      <c r="U1815" s="166"/>
      <c r="V1815" s="166"/>
      <c r="W1815" s="166"/>
      <c r="X1815" s="166"/>
      <c r="Y1815" s="166"/>
      <c r="Z1815" s="166"/>
      <c r="AA1815" s="166"/>
      <c r="AB1815" s="166"/>
      <c r="AC1815" s="166"/>
      <c r="AD1815" s="166"/>
      <c r="AE1815" s="166"/>
      <c r="AF1815" s="166"/>
      <c r="AG1815" s="166"/>
      <c r="AH1815" s="166"/>
      <c r="AI1815" s="166"/>
    </row>
    <row r="1816" spans="7:35" x14ac:dyDescent="0.25">
      <c r="G1816" s="165"/>
      <c r="H1816" s="166"/>
      <c r="I1816" s="167"/>
      <c r="J1816" s="167"/>
      <c r="K1816" s="166"/>
      <c r="L1816" s="166"/>
      <c r="M1816" s="166"/>
      <c r="N1816" s="166"/>
      <c r="O1816" s="166"/>
      <c r="P1816" s="166"/>
      <c r="Q1816" s="166"/>
      <c r="R1816" s="166"/>
      <c r="S1816" s="166"/>
      <c r="T1816" s="166"/>
      <c r="U1816" s="166"/>
      <c r="V1816" s="166"/>
      <c r="W1816" s="166"/>
      <c r="X1816" s="166"/>
      <c r="Y1816" s="166"/>
      <c r="Z1816" s="166"/>
      <c r="AA1816" s="166"/>
      <c r="AB1816" s="166"/>
      <c r="AC1816" s="166"/>
      <c r="AD1816" s="166"/>
      <c r="AE1816" s="166"/>
      <c r="AF1816" s="166"/>
      <c r="AG1816" s="166"/>
      <c r="AH1816" s="166"/>
      <c r="AI1816" s="166"/>
    </row>
    <row r="1817" spans="7:35" x14ac:dyDescent="0.25">
      <c r="G1817" s="165"/>
      <c r="H1817" s="166"/>
      <c r="I1817" s="167"/>
      <c r="J1817" s="167"/>
      <c r="K1817" s="166"/>
      <c r="L1817" s="166"/>
      <c r="M1817" s="166"/>
      <c r="N1817" s="166"/>
      <c r="O1817" s="166"/>
      <c r="P1817" s="166"/>
      <c r="Q1817" s="166"/>
      <c r="R1817" s="166"/>
      <c r="S1817" s="166"/>
      <c r="T1817" s="166"/>
      <c r="U1817" s="166"/>
      <c r="V1817" s="166"/>
      <c r="W1817" s="166"/>
      <c r="X1817" s="166"/>
      <c r="Y1817" s="166"/>
      <c r="Z1817" s="166"/>
      <c r="AA1817" s="166"/>
      <c r="AB1817" s="166"/>
      <c r="AC1817" s="166"/>
      <c r="AD1817" s="166"/>
      <c r="AE1817" s="166"/>
      <c r="AF1817" s="166"/>
      <c r="AG1817" s="166"/>
      <c r="AH1817" s="166"/>
      <c r="AI1817" s="166"/>
    </row>
    <row r="1818" spans="7:35" x14ac:dyDescent="0.25">
      <c r="G1818" s="165"/>
      <c r="H1818" s="166"/>
      <c r="I1818" s="167"/>
      <c r="J1818" s="167"/>
      <c r="K1818" s="166"/>
      <c r="L1818" s="166"/>
      <c r="M1818" s="166"/>
      <c r="N1818" s="166"/>
      <c r="O1818" s="166"/>
      <c r="P1818" s="166"/>
      <c r="Q1818" s="166"/>
      <c r="R1818" s="166"/>
      <c r="S1818" s="166"/>
      <c r="T1818" s="166"/>
      <c r="U1818" s="166"/>
      <c r="V1818" s="166"/>
      <c r="W1818" s="166"/>
      <c r="X1818" s="166"/>
      <c r="Y1818" s="166"/>
      <c r="Z1818" s="166"/>
      <c r="AA1818" s="166"/>
      <c r="AB1818" s="166"/>
      <c r="AC1818" s="166"/>
      <c r="AD1818" s="166"/>
      <c r="AE1818" s="166"/>
      <c r="AF1818" s="166"/>
      <c r="AG1818" s="166"/>
      <c r="AH1818" s="166"/>
      <c r="AI1818" s="166"/>
    </row>
    <row r="1819" spans="7:35" x14ac:dyDescent="0.25">
      <c r="G1819" s="165"/>
      <c r="H1819" s="166"/>
      <c r="I1819" s="167"/>
      <c r="J1819" s="167"/>
      <c r="K1819" s="166"/>
      <c r="L1819" s="166"/>
      <c r="M1819" s="166"/>
      <c r="N1819" s="166"/>
      <c r="O1819" s="166"/>
      <c r="P1819" s="166"/>
      <c r="Q1819" s="166"/>
      <c r="R1819" s="166"/>
      <c r="S1819" s="166"/>
      <c r="T1819" s="166"/>
      <c r="U1819" s="166"/>
      <c r="V1819" s="166"/>
      <c r="W1819" s="166"/>
      <c r="X1819" s="166"/>
      <c r="Y1819" s="166"/>
      <c r="Z1819" s="166"/>
      <c r="AA1819" s="166"/>
      <c r="AB1819" s="166"/>
      <c r="AC1819" s="166"/>
      <c r="AD1819" s="166"/>
      <c r="AE1819" s="166"/>
      <c r="AF1819" s="166"/>
      <c r="AG1819" s="166"/>
      <c r="AH1819" s="166"/>
      <c r="AI1819" s="166"/>
    </row>
    <row r="1820" spans="7:35" x14ac:dyDescent="0.25">
      <c r="G1820" s="165"/>
      <c r="H1820" s="166"/>
      <c r="I1820" s="167"/>
      <c r="J1820" s="167"/>
      <c r="K1820" s="166"/>
      <c r="L1820" s="166"/>
      <c r="M1820" s="166"/>
      <c r="N1820" s="166"/>
      <c r="O1820" s="166"/>
      <c r="P1820" s="166"/>
      <c r="Q1820" s="166"/>
      <c r="R1820" s="166"/>
      <c r="S1820" s="166"/>
      <c r="T1820" s="166"/>
      <c r="U1820" s="166"/>
      <c r="V1820" s="166"/>
      <c r="W1820" s="166"/>
      <c r="X1820" s="166"/>
      <c r="Y1820" s="166"/>
      <c r="Z1820" s="166"/>
      <c r="AA1820" s="166"/>
      <c r="AB1820" s="166"/>
      <c r="AC1820" s="166"/>
      <c r="AD1820" s="166"/>
      <c r="AE1820" s="166"/>
      <c r="AF1820" s="166"/>
      <c r="AG1820" s="166"/>
      <c r="AH1820" s="166"/>
      <c r="AI1820" s="166"/>
    </row>
    <row r="1821" spans="7:35" x14ac:dyDescent="0.25">
      <c r="G1821" s="165"/>
      <c r="H1821" s="166"/>
      <c r="I1821" s="167"/>
      <c r="J1821" s="167"/>
      <c r="K1821" s="166"/>
      <c r="L1821" s="166"/>
      <c r="M1821" s="166"/>
      <c r="N1821" s="166"/>
      <c r="O1821" s="166"/>
      <c r="P1821" s="166"/>
      <c r="Q1821" s="166"/>
      <c r="R1821" s="166"/>
      <c r="S1821" s="166"/>
      <c r="T1821" s="166"/>
      <c r="U1821" s="166"/>
      <c r="V1821" s="166"/>
      <c r="W1821" s="166"/>
      <c r="X1821" s="166"/>
      <c r="Y1821" s="166"/>
      <c r="Z1821" s="166"/>
      <c r="AA1821" s="166"/>
      <c r="AB1821" s="166"/>
      <c r="AC1821" s="166"/>
      <c r="AD1821" s="166"/>
      <c r="AE1821" s="166"/>
      <c r="AF1821" s="166"/>
      <c r="AG1821" s="166"/>
      <c r="AH1821" s="166"/>
      <c r="AI1821" s="166"/>
    </row>
    <row r="1822" spans="7:35" x14ac:dyDescent="0.25">
      <c r="G1822" s="165"/>
      <c r="H1822" s="166"/>
      <c r="I1822" s="167"/>
      <c r="J1822" s="167"/>
      <c r="K1822" s="166"/>
      <c r="L1822" s="166"/>
      <c r="M1822" s="166"/>
      <c r="N1822" s="166"/>
      <c r="O1822" s="166"/>
      <c r="P1822" s="166"/>
      <c r="Q1822" s="166"/>
      <c r="R1822" s="166"/>
      <c r="S1822" s="166"/>
      <c r="T1822" s="166"/>
      <c r="U1822" s="166"/>
      <c r="V1822" s="166"/>
      <c r="W1822" s="166"/>
      <c r="X1822" s="166"/>
      <c r="Y1822" s="166"/>
      <c r="Z1822" s="166"/>
      <c r="AA1822" s="166"/>
      <c r="AB1822" s="166"/>
      <c r="AC1822" s="166"/>
      <c r="AD1822" s="166"/>
      <c r="AE1822" s="166"/>
      <c r="AF1822" s="166"/>
      <c r="AG1822" s="166"/>
      <c r="AH1822" s="166"/>
      <c r="AI1822" s="166"/>
    </row>
    <row r="1823" spans="7:35" x14ac:dyDescent="0.25">
      <c r="G1823" s="165"/>
      <c r="H1823" s="166"/>
      <c r="I1823" s="167"/>
      <c r="J1823" s="167"/>
      <c r="K1823" s="166"/>
      <c r="L1823" s="166"/>
      <c r="M1823" s="166"/>
      <c r="N1823" s="166"/>
      <c r="O1823" s="166"/>
      <c r="P1823" s="166"/>
      <c r="Q1823" s="166"/>
      <c r="R1823" s="166"/>
      <c r="S1823" s="166"/>
      <c r="T1823" s="166"/>
      <c r="U1823" s="166"/>
      <c r="V1823" s="166"/>
      <c r="W1823" s="166"/>
      <c r="X1823" s="166"/>
      <c r="Y1823" s="166"/>
      <c r="Z1823" s="166"/>
      <c r="AA1823" s="166"/>
      <c r="AB1823" s="166"/>
      <c r="AC1823" s="166"/>
      <c r="AD1823" s="166"/>
      <c r="AE1823" s="166"/>
      <c r="AF1823" s="166"/>
      <c r="AG1823" s="166"/>
      <c r="AH1823" s="166"/>
      <c r="AI1823" s="166"/>
    </row>
    <row r="1824" spans="7:35" x14ac:dyDescent="0.25">
      <c r="G1824" s="165"/>
      <c r="H1824" s="166"/>
      <c r="I1824" s="167"/>
      <c r="J1824" s="167"/>
      <c r="K1824" s="166"/>
      <c r="L1824" s="166"/>
      <c r="M1824" s="166"/>
      <c r="N1824" s="166"/>
      <c r="O1824" s="166"/>
      <c r="P1824" s="166"/>
      <c r="Q1824" s="166"/>
      <c r="R1824" s="166"/>
      <c r="S1824" s="166"/>
      <c r="T1824" s="166"/>
      <c r="U1824" s="166"/>
      <c r="V1824" s="166"/>
      <c r="W1824" s="166"/>
      <c r="X1824" s="166"/>
      <c r="Y1824" s="166"/>
      <c r="Z1824" s="166"/>
      <c r="AA1824" s="166"/>
      <c r="AB1824" s="166"/>
      <c r="AC1824" s="166"/>
      <c r="AD1824" s="166"/>
      <c r="AE1824" s="166"/>
      <c r="AF1824" s="166"/>
      <c r="AG1824" s="166"/>
      <c r="AH1824" s="166"/>
      <c r="AI1824" s="166"/>
    </row>
    <row r="1825" spans="7:35" x14ac:dyDescent="0.25">
      <c r="G1825" s="165"/>
      <c r="H1825" s="166"/>
      <c r="I1825" s="167"/>
      <c r="J1825" s="167"/>
      <c r="K1825" s="166"/>
      <c r="L1825" s="166"/>
      <c r="M1825" s="166"/>
      <c r="N1825" s="166"/>
      <c r="O1825" s="166"/>
      <c r="P1825" s="166"/>
      <c r="Q1825" s="166"/>
      <c r="R1825" s="166"/>
      <c r="S1825" s="166"/>
      <c r="T1825" s="166"/>
      <c r="U1825" s="166"/>
      <c r="V1825" s="166"/>
      <c r="W1825" s="166"/>
      <c r="X1825" s="166"/>
      <c r="Y1825" s="166"/>
      <c r="Z1825" s="166"/>
      <c r="AA1825" s="166"/>
      <c r="AB1825" s="166"/>
      <c r="AC1825" s="166"/>
      <c r="AD1825" s="166"/>
      <c r="AE1825" s="166"/>
      <c r="AF1825" s="166"/>
      <c r="AG1825" s="166"/>
      <c r="AH1825" s="166"/>
      <c r="AI1825" s="166"/>
    </row>
    <row r="1826" spans="7:35" x14ac:dyDescent="0.25">
      <c r="G1826" s="165"/>
      <c r="H1826" s="166"/>
      <c r="I1826" s="167"/>
      <c r="J1826" s="167"/>
      <c r="K1826" s="166"/>
      <c r="L1826" s="166"/>
      <c r="M1826" s="166"/>
      <c r="N1826" s="166"/>
      <c r="O1826" s="166"/>
      <c r="P1826" s="166"/>
      <c r="Q1826" s="166"/>
      <c r="R1826" s="166"/>
      <c r="S1826" s="166"/>
      <c r="T1826" s="166"/>
      <c r="U1826" s="166"/>
      <c r="V1826" s="166"/>
      <c r="W1826" s="166"/>
      <c r="X1826" s="166"/>
      <c r="Y1826" s="166"/>
      <c r="Z1826" s="166"/>
      <c r="AA1826" s="166"/>
      <c r="AB1826" s="166"/>
      <c r="AC1826" s="166"/>
      <c r="AD1826" s="166"/>
      <c r="AE1826" s="166"/>
      <c r="AF1826" s="166"/>
      <c r="AG1826" s="166"/>
      <c r="AH1826" s="166"/>
      <c r="AI1826" s="166"/>
    </row>
    <row r="1827" spans="7:35" x14ac:dyDescent="0.25">
      <c r="G1827" s="165"/>
      <c r="H1827" s="166"/>
      <c r="I1827" s="167"/>
      <c r="J1827" s="167"/>
      <c r="K1827" s="166"/>
      <c r="L1827" s="166"/>
      <c r="M1827" s="166"/>
      <c r="N1827" s="166"/>
      <c r="O1827" s="166"/>
      <c r="P1827" s="166"/>
      <c r="Q1827" s="166"/>
      <c r="R1827" s="166"/>
      <c r="S1827" s="166"/>
      <c r="T1827" s="166"/>
      <c r="U1827" s="166"/>
      <c r="V1827" s="166"/>
      <c r="W1827" s="166"/>
      <c r="X1827" s="166"/>
      <c r="Y1827" s="166"/>
      <c r="Z1827" s="166"/>
      <c r="AA1827" s="166"/>
      <c r="AB1827" s="166"/>
      <c r="AC1827" s="166"/>
      <c r="AD1827" s="166"/>
      <c r="AE1827" s="166"/>
      <c r="AF1827" s="166"/>
      <c r="AG1827" s="166"/>
      <c r="AH1827" s="166"/>
      <c r="AI1827" s="166"/>
    </row>
    <row r="1828" spans="7:35" x14ac:dyDescent="0.25">
      <c r="G1828" s="165"/>
      <c r="H1828" s="166"/>
      <c r="I1828" s="167"/>
      <c r="J1828" s="167"/>
      <c r="K1828" s="166"/>
      <c r="L1828" s="166"/>
      <c r="M1828" s="166"/>
      <c r="N1828" s="166"/>
      <c r="O1828" s="166"/>
      <c r="P1828" s="166"/>
      <c r="Q1828" s="166"/>
      <c r="R1828" s="166"/>
      <c r="S1828" s="166"/>
      <c r="T1828" s="166"/>
      <c r="U1828" s="166"/>
      <c r="V1828" s="166"/>
      <c r="W1828" s="166"/>
      <c r="X1828" s="166"/>
      <c r="Y1828" s="166"/>
      <c r="Z1828" s="166"/>
      <c r="AA1828" s="166"/>
      <c r="AB1828" s="166"/>
      <c r="AC1828" s="166"/>
      <c r="AD1828" s="166"/>
      <c r="AE1828" s="166"/>
      <c r="AF1828" s="166"/>
      <c r="AG1828" s="166"/>
      <c r="AH1828" s="166"/>
      <c r="AI1828" s="166"/>
    </row>
    <row r="1829" spans="7:35" x14ac:dyDescent="0.25">
      <c r="G1829" s="165"/>
      <c r="H1829" s="166"/>
      <c r="I1829" s="167"/>
      <c r="J1829" s="167"/>
      <c r="K1829" s="166"/>
      <c r="L1829" s="166"/>
      <c r="M1829" s="166"/>
      <c r="N1829" s="166"/>
      <c r="O1829" s="166"/>
      <c r="P1829" s="166"/>
      <c r="Q1829" s="166"/>
      <c r="R1829" s="166"/>
      <c r="S1829" s="166"/>
      <c r="T1829" s="166"/>
      <c r="U1829" s="166"/>
      <c r="V1829" s="166"/>
      <c r="W1829" s="166"/>
      <c r="X1829" s="166"/>
      <c r="Y1829" s="166"/>
      <c r="Z1829" s="166"/>
      <c r="AA1829" s="166"/>
      <c r="AB1829" s="166"/>
      <c r="AC1829" s="166"/>
      <c r="AD1829" s="166"/>
      <c r="AE1829" s="166"/>
      <c r="AF1829" s="166"/>
      <c r="AG1829" s="166"/>
      <c r="AH1829" s="166"/>
      <c r="AI1829" s="166"/>
    </row>
    <row r="1830" spans="7:35" x14ac:dyDescent="0.25">
      <c r="G1830" s="165"/>
      <c r="H1830" s="166"/>
      <c r="I1830" s="167"/>
      <c r="J1830" s="167"/>
      <c r="K1830" s="166"/>
      <c r="L1830" s="166"/>
      <c r="M1830" s="166"/>
      <c r="N1830" s="166"/>
      <c r="O1830" s="166"/>
      <c r="P1830" s="166"/>
      <c r="Q1830" s="166"/>
      <c r="R1830" s="166"/>
      <c r="S1830" s="166"/>
      <c r="T1830" s="166"/>
      <c r="U1830" s="166"/>
      <c r="V1830" s="166"/>
      <c r="W1830" s="166"/>
      <c r="X1830" s="166"/>
      <c r="Y1830" s="166"/>
      <c r="Z1830" s="166"/>
      <c r="AA1830" s="166"/>
      <c r="AB1830" s="166"/>
      <c r="AC1830" s="166"/>
      <c r="AD1830" s="166"/>
      <c r="AE1830" s="166"/>
      <c r="AF1830" s="166"/>
      <c r="AG1830" s="166"/>
      <c r="AH1830" s="166"/>
      <c r="AI1830" s="166"/>
    </row>
    <row r="1831" spans="7:35" x14ac:dyDescent="0.25">
      <c r="G1831" s="165"/>
      <c r="H1831" s="166"/>
      <c r="I1831" s="167"/>
      <c r="J1831" s="167"/>
      <c r="K1831" s="166"/>
      <c r="L1831" s="166"/>
      <c r="M1831" s="166"/>
      <c r="N1831" s="166"/>
      <c r="O1831" s="166"/>
      <c r="P1831" s="166"/>
      <c r="Q1831" s="166"/>
      <c r="R1831" s="166"/>
      <c r="S1831" s="166"/>
      <c r="T1831" s="166"/>
      <c r="U1831" s="166"/>
      <c r="V1831" s="166"/>
      <c r="W1831" s="166"/>
      <c r="X1831" s="166"/>
      <c r="Y1831" s="166"/>
      <c r="Z1831" s="166"/>
      <c r="AA1831" s="166"/>
      <c r="AB1831" s="166"/>
      <c r="AC1831" s="166"/>
      <c r="AD1831" s="166"/>
      <c r="AE1831" s="166"/>
      <c r="AF1831" s="166"/>
      <c r="AG1831" s="166"/>
      <c r="AH1831" s="166"/>
      <c r="AI1831" s="166"/>
    </row>
    <row r="1832" spans="7:35" x14ac:dyDescent="0.25">
      <c r="G1832" s="165"/>
      <c r="H1832" s="166"/>
      <c r="I1832" s="167"/>
      <c r="J1832" s="167"/>
      <c r="K1832" s="166"/>
      <c r="L1832" s="166"/>
      <c r="M1832" s="166"/>
      <c r="N1832" s="166"/>
      <c r="O1832" s="166"/>
      <c r="P1832" s="166"/>
      <c r="Q1832" s="166"/>
      <c r="R1832" s="166"/>
      <c r="S1832" s="166"/>
      <c r="T1832" s="166"/>
      <c r="U1832" s="166"/>
      <c r="V1832" s="166"/>
      <c r="W1832" s="166"/>
      <c r="X1832" s="166"/>
      <c r="Y1832" s="166"/>
      <c r="Z1832" s="166"/>
      <c r="AA1832" s="166"/>
      <c r="AB1832" s="166"/>
      <c r="AC1832" s="166"/>
      <c r="AD1832" s="166"/>
      <c r="AE1832" s="166"/>
      <c r="AF1832" s="166"/>
      <c r="AG1832" s="166"/>
      <c r="AH1832" s="166"/>
      <c r="AI1832" s="166"/>
    </row>
    <row r="1833" spans="7:35" x14ac:dyDescent="0.25">
      <c r="G1833" s="165"/>
      <c r="H1833" s="166"/>
      <c r="I1833" s="167"/>
      <c r="J1833" s="167"/>
      <c r="K1833" s="166"/>
      <c r="L1833" s="166"/>
      <c r="M1833" s="166"/>
      <c r="N1833" s="166"/>
      <c r="O1833" s="166"/>
      <c r="P1833" s="166"/>
      <c r="Q1833" s="166"/>
      <c r="R1833" s="166"/>
      <c r="S1833" s="166"/>
      <c r="T1833" s="166"/>
      <c r="U1833" s="166"/>
      <c r="V1833" s="166"/>
      <c r="W1833" s="166"/>
      <c r="X1833" s="166"/>
      <c r="Y1833" s="166"/>
      <c r="Z1833" s="166"/>
      <c r="AA1833" s="166"/>
      <c r="AB1833" s="166"/>
      <c r="AC1833" s="166"/>
      <c r="AD1833" s="166"/>
      <c r="AE1833" s="166"/>
      <c r="AF1833" s="166"/>
      <c r="AG1833" s="166"/>
      <c r="AH1833" s="166"/>
      <c r="AI1833" s="166"/>
    </row>
    <row r="1834" spans="7:35" x14ac:dyDescent="0.25">
      <c r="G1834" s="165"/>
      <c r="H1834" s="166"/>
      <c r="I1834" s="167"/>
      <c r="J1834" s="167"/>
      <c r="K1834" s="166"/>
      <c r="L1834" s="166"/>
      <c r="M1834" s="166"/>
      <c r="N1834" s="166"/>
      <c r="O1834" s="166"/>
      <c r="P1834" s="166"/>
      <c r="Q1834" s="166"/>
      <c r="R1834" s="166"/>
      <c r="S1834" s="166"/>
      <c r="T1834" s="166"/>
      <c r="U1834" s="166"/>
      <c r="V1834" s="166"/>
      <c r="W1834" s="166"/>
      <c r="X1834" s="166"/>
      <c r="Y1834" s="166"/>
      <c r="Z1834" s="166"/>
      <c r="AA1834" s="166"/>
      <c r="AB1834" s="166"/>
      <c r="AC1834" s="166"/>
      <c r="AD1834" s="166"/>
      <c r="AE1834" s="166"/>
      <c r="AF1834" s="166"/>
      <c r="AG1834" s="166"/>
      <c r="AH1834" s="166"/>
      <c r="AI1834" s="166"/>
    </row>
    <row r="1835" spans="7:35" x14ac:dyDescent="0.25">
      <c r="G1835" s="165"/>
      <c r="H1835" s="166"/>
      <c r="I1835" s="167"/>
      <c r="J1835" s="167"/>
      <c r="K1835" s="166"/>
      <c r="L1835" s="166"/>
      <c r="M1835" s="166"/>
      <c r="N1835" s="166"/>
      <c r="O1835" s="166"/>
      <c r="P1835" s="166"/>
      <c r="Q1835" s="166"/>
      <c r="R1835" s="166"/>
      <c r="S1835" s="166"/>
      <c r="T1835" s="166"/>
      <c r="U1835" s="166"/>
      <c r="V1835" s="166"/>
      <c r="W1835" s="166"/>
      <c r="X1835" s="166"/>
      <c r="Y1835" s="166"/>
      <c r="Z1835" s="166"/>
      <c r="AA1835" s="166"/>
      <c r="AB1835" s="166"/>
      <c r="AC1835" s="166"/>
      <c r="AD1835" s="166"/>
      <c r="AE1835" s="166"/>
      <c r="AF1835" s="166"/>
      <c r="AG1835" s="166"/>
      <c r="AH1835" s="166"/>
      <c r="AI1835" s="166"/>
    </row>
    <row r="1836" spans="7:35" x14ac:dyDescent="0.25">
      <c r="G1836" s="165"/>
      <c r="H1836" s="166"/>
      <c r="I1836" s="167"/>
      <c r="J1836" s="167"/>
      <c r="K1836" s="166"/>
      <c r="L1836" s="166"/>
      <c r="M1836" s="166"/>
      <c r="N1836" s="166"/>
      <c r="O1836" s="166"/>
      <c r="P1836" s="166"/>
      <c r="Q1836" s="166"/>
      <c r="R1836" s="166"/>
      <c r="S1836" s="166"/>
      <c r="T1836" s="166"/>
      <c r="U1836" s="166"/>
      <c r="V1836" s="166"/>
      <c r="W1836" s="166"/>
      <c r="X1836" s="166"/>
      <c r="Y1836" s="166"/>
      <c r="Z1836" s="166"/>
      <c r="AA1836" s="166"/>
      <c r="AB1836" s="166"/>
      <c r="AC1836" s="166"/>
      <c r="AD1836" s="166"/>
      <c r="AE1836" s="166"/>
      <c r="AF1836" s="166"/>
      <c r="AG1836" s="166"/>
      <c r="AH1836" s="166"/>
      <c r="AI1836" s="166"/>
    </row>
    <row r="1837" spans="7:35" x14ac:dyDescent="0.25">
      <c r="G1837" s="165"/>
      <c r="H1837" s="166"/>
      <c r="I1837" s="167"/>
      <c r="J1837" s="167"/>
      <c r="K1837" s="166"/>
      <c r="L1837" s="166"/>
      <c r="M1837" s="166"/>
      <c r="N1837" s="166"/>
      <c r="O1837" s="166"/>
      <c r="P1837" s="166"/>
      <c r="Q1837" s="166"/>
      <c r="R1837" s="166"/>
      <c r="S1837" s="166"/>
      <c r="T1837" s="166"/>
      <c r="U1837" s="166"/>
      <c r="V1837" s="166"/>
      <c r="W1837" s="166"/>
      <c r="X1837" s="166"/>
      <c r="Y1837" s="166"/>
      <c r="Z1837" s="166"/>
      <c r="AA1837" s="166"/>
      <c r="AB1837" s="166"/>
      <c r="AC1837" s="166"/>
      <c r="AD1837" s="166"/>
      <c r="AE1837" s="166"/>
      <c r="AF1837" s="166"/>
      <c r="AG1837" s="166"/>
      <c r="AH1837" s="166"/>
      <c r="AI1837" s="166"/>
    </row>
    <row r="1838" spans="7:35" x14ac:dyDescent="0.25">
      <c r="G1838" s="165"/>
      <c r="H1838" s="166"/>
      <c r="I1838" s="167"/>
      <c r="J1838" s="167"/>
      <c r="K1838" s="166"/>
      <c r="L1838" s="166"/>
      <c r="M1838" s="166"/>
      <c r="N1838" s="166"/>
      <c r="O1838" s="166"/>
      <c r="P1838" s="166"/>
      <c r="Q1838" s="166"/>
      <c r="R1838" s="166"/>
      <c r="S1838" s="166"/>
      <c r="T1838" s="166"/>
      <c r="U1838" s="166"/>
      <c r="V1838" s="166"/>
      <c r="W1838" s="166"/>
      <c r="X1838" s="166"/>
      <c r="Y1838" s="166"/>
      <c r="Z1838" s="166"/>
      <c r="AA1838" s="166"/>
      <c r="AB1838" s="166"/>
      <c r="AC1838" s="166"/>
      <c r="AD1838" s="166"/>
      <c r="AE1838" s="166"/>
      <c r="AF1838" s="166"/>
      <c r="AG1838" s="166"/>
      <c r="AH1838" s="166"/>
      <c r="AI1838" s="166"/>
    </row>
    <row r="1839" spans="7:35" x14ac:dyDescent="0.25">
      <c r="G1839" s="165"/>
      <c r="H1839" s="166"/>
      <c r="I1839" s="167"/>
      <c r="J1839" s="167"/>
      <c r="K1839" s="166"/>
      <c r="L1839" s="166"/>
      <c r="M1839" s="166"/>
      <c r="N1839" s="166"/>
      <c r="O1839" s="166"/>
      <c r="P1839" s="166"/>
      <c r="Q1839" s="166"/>
      <c r="R1839" s="166"/>
      <c r="S1839" s="166"/>
      <c r="T1839" s="166"/>
      <c r="U1839" s="166"/>
      <c r="V1839" s="166"/>
      <c r="W1839" s="166"/>
      <c r="X1839" s="166"/>
      <c r="Y1839" s="166"/>
      <c r="Z1839" s="166"/>
      <c r="AA1839" s="166"/>
      <c r="AB1839" s="166"/>
      <c r="AC1839" s="166"/>
      <c r="AD1839" s="166"/>
      <c r="AE1839" s="166"/>
      <c r="AF1839" s="166"/>
      <c r="AG1839" s="166"/>
      <c r="AH1839" s="166"/>
      <c r="AI1839" s="166"/>
    </row>
    <row r="1840" spans="7:35" x14ac:dyDescent="0.25">
      <c r="G1840" s="165"/>
      <c r="H1840" s="166"/>
      <c r="I1840" s="167"/>
      <c r="J1840" s="167"/>
      <c r="K1840" s="166"/>
      <c r="L1840" s="166"/>
      <c r="M1840" s="166"/>
      <c r="N1840" s="166"/>
      <c r="O1840" s="166"/>
      <c r="P1840" s="166"/>
      <c r="Q1840" s="166"/>
      <c r="R1840" s="166"/>
      <c r="S1840" s="166"/>
      <c r="T1840" s="166"/>
      <c r="U1840" s="166"/>
      <c r="V1840" s="166"/>
      <c r="W1840" s="166"/>
      <c r="X1840" s="166"/>
      <c r="Y1840" s="166"/>
      <c r="Z1840" s="166"/>
      <c r="AA1840" s="166"/>
      <c r="AB1840" s="166"/>
      <c r="AC1840" s="166"/>
      <c r="AD1840" s="166"/>
      <c r="AE1840" s="166"/>
      <c r="AF1840" s="166"/>
      <c r="AG1840" s="166"/>
      <c r="AH1840" s="166"/>
      <c r="AI1840" s="166"/>
    </row>
    <row r="1841" spans="7:35" x14ac:dyDescent="0.25">
      <c r="G1841" s="165"/>
      <c r="H1841" s="166"/>
      <c r="I1841" s="167"/>
      <c r="J1841" s="167"/>
      <c r="K1841" s="166"/>
      <c r="L1841" s="166"/>
      <c r="M1841" s="166"/>
      <c r="N1841" s="166"/>
      <c r="O1841" s="166"/>
      <c r="P1841" s="166"/>
      <c r="Q1841" s="166"/>
      <c r="R1841" s="166"/>
      <c r="S1841" s="166"/>
      <c r="T1841" s="166"/>
      <c r="U1841" s="166"/>
      <c r="V1841" s="166"/>
      <c r="W1841" s="166"/>
      <c r="X1841" s="166"/>
      <c r="Y1841" s="166"/>
      <c r="Z1841" s="166"/>
      <c r="AA1841" s="166"/>
      <c r="AB1841" s="166"/>
      <c r="AC1841" s="166"/>
      <c r="AD1841" s="166"/>
      <c r="AE1841" s="166"/>
      <c r="AF1841" s="166"/>
      <c r="AG1841" s="166"/>
      <c r="AH1841" s="166"/>
      <c r="AI1841" s="166"/>
    </row>
    <row r="1842" spans="7:35" x14ac:dyDescent="0.25">
      <c r="G1842" s="165"/>
      <c r="H1842" s="166"/>
      <c r="I1842" s="167"/>
      <c r="J1842" s="167"/>
      <c r="K1842" s="166"/>
      <c r="L1842" s="166"/>
      <c r="M1842" s="166"/>
      <c r="N1842" s="166"/>
      <c r="O1842" s="166"/>
      <c r="P1842" s="166"/>
      <c r="Q1842" s="166"/>
      <c r="R1842" s="166"/>
      <c r="S1842" s="166"/>
      <c r="T1842" s="166"/>
      <c r="U1842" s="166"/>
      <c r="V1842" s="166"/>
      <c r="W1842" s="166"/>
      <c r="X1842" s="166"/>
      <c r="Y1842" s="166"/>
      <c r="Z1842" s="166"/>
      <c r="AA1842" s="166"/>
      <c r="AB1842" s="166"/>
      <c r="AC1842" s="166"/>
      <c r="AD1842" s="166"/>
      <c r="AE1842" s="166"/>
      <c r="AF1842" s="166"/>
      <c r="AG1842" s="166"/>
      <c r="AH1842" s="166"/>
      <c r="AI1842" s="166"/>
    </row>
    <row r="1843" spans="7:35" x14ac:dyDescent="0.25">
      <c r="G1843" s="165"/>
      <c r="H1843" s="166"/>
      <c r="I1843" s="167"/>
      <c r="J1843" s="167"/>
      <c r="K1843" s="166"/>
      <c r="L1843" s="166"/>
      <c r="M1843" s="166"/>
      <c r="N1843" s="166"/>
      <c r="O1843" s="166"/>
      <c r="P1843" s="166"/>
      <c r="Q1843" s="166"/>
      <c r="R1843" s="166"/>
      <c r="S1843" s="166"/>
      <c r="T1843" s="166"/>
      <c r="U1843" s="166"/>
      <c r="V1843" s="166"/>
      <c r="W1843" s="166"/>
      <c r="X1843" s="166"/>
      <c r="Y1843" s="166"/>
      <c r="Z1843" s="166"/>
      <c r="AA1843" s="166"/>
      <c r="AB1843" s="166"/>
      <c r="AC1843" s="166"/>
      <c r="AD1843" s="166"/>
      <c r="AE1843" s="166"/>
      <c r="AF1843" s="166"/>
      <c r="AG1843" s="166"/>
      <c r="AH1843" s="166"/>
      <c r="AI1843" s="166"/>
    </row>
    <row r="1844" spans="7:35" x14ac:dyDescent="0.25">
      <c r="G1844" s="165"/>
      <c r="H1844" s="166"/>
      <c r="I1844" s="167"/>
      <c r="J1844" s="167"/>
      <c r="K1844" s="166"/>
      <c r="L1844" s="166"/>
      <c r="M1844" s="166"/>
      <c r="N1844" s="166"/>
      <c r="O1844" s="166"/>
      <c r="P1844" s="166"/>
      <c r="Q1844" s="166"/>
      <c r="R1844" s="166"/>
      <c r="S1844" s="166"/>
      <c r="T1844" s="166"/>
      <c r="U1844" s="166"/>
      <c r="V1844" s="166"/>
      <c r="W1844" s="166"/>
      <c r="X1844" s="166"/>
      <c r="Y1844" s="166"/>
      <c r="Z1844" s="166"/>
      <c r="AA1844" s="166"/>
      <c r="AB1844" s="166"/>
      <c r="AC1844" s="166"/>
      <c r="AD1844" s="166"/>
      <c r="AE1844" s="166"/>
      <c r="AF1844" s="166"/>
      <c r="AG1844" s="166"/>
      <c r="AH1844" s="166"/>
      <c r="AI1844" s="166"/>
    </row>
    <row r="1845" spans="7:35" x14ac:dyDescent="0.25">
      <c r="G1845" s="165"/>
      <c r="H1845" s="166"/>
      <c r="I1845" s="167"/>
      <c r="J1845" s="167"/>
      <c r="K1845" s="166"/>
      <c r="L1845" s="166"/>
      <c r="M1845" s="166"/>
      <c r="N1845" s="166"/>
      <c r="O1845" s="166"/>
      <c r="P1845" s="166"/>
      <c r="Q1845" s="166"/>
      <c r="R1845" s="166"/>
      <c r="S1845" s="166"/>
      <c r="T1845" s="166"/>
      <c r="U1845" s="166"/>
      <c r="V1845" s="166"/>
      <c r="W1845" s="166"/>
      <c r="X1845" s="166"/>
      <c r="Y1845" s="166"/>
      <c r="Z1845" s="166"/>
      <c r="AA1845" s="166"/>
      <c r="AB1845" s="166"/>
      <c r="AC1845" s="166"/>
      <c r="AD1845" s="166"/>
      <c r="AE1845" s="166"/>
      <c r="AF1845" s="166"/>
      <c r="AG1845" s="166"/>
      <c r="AH1845" s="166"/>
      <c r="AI1845" s="166"/>
    </row>
    <row r="1846" spans="7:35" x14ac:dyDescent="0.25">
      <c r="G1846" s="165"/>
      <c r="H1846" s="166"/>
      <c r="I1846" s="167"/>
      <c r="J1846" s="167"/>
      <c r="K1846" s="166"/>
      <c r="L1846" s="166"/>
      <c r="M1846" s="166"/>
      <c r="N1846" s="166"/>
      <c r="O1846" s="166"/>
      <c r="P1846" s="166"/>
      <c r="Q1846" s="166"/>
      <c r="R1846" s="166"/>
      <c r="S1846" s="166"/>
      <c r="T1846" s="166"/>
      <c r="U1846" s="166"/>
      <c r="V1846" s="166"/>
      <c r="W1846" s="166"/>
      <c r="X1846" s="166"/>
      <c r="Y1846" s="166"/>
      <c r="Z1846" s="166"/>
      <c r="AA1846" s="166"/>
      <c r="AB1846" s="166"/>
      <c r="AC1846" s="166"/>
      <c r="AD1846" s="166"/>
      <c r="AE1846" s="166"/>
      <c r="AF1846" s="166"/>
      <c r="AG1846" s="166"/>
      <c r="AH1846" s="166"/>
      <c r="AI1846" s="166"/>
    </row>
    <row r="1847" spans="7:35" x14ac:dyDescent="0.25">
      <c r="G1847" s="165"/>
      <c r="H1847" s="166"/>
      <c r="I1847" s="167"/>
      <c r="J1847" s="167"/>
      <c r="K1847" s="166"/>
      <c r="L1847" s="166"/>
      <c r="M1847" s="166"/>
      <c r="N1847" s="166"/>
      <c r="O1847" s="166"/>
      <c r="P1847" s="166"/>
      <c r="Q1847" s="166"/>
      <c r="R1847" s="166"/>
      <c r="S1847" s="166"/>
      <c r="T1847" s="166"/>
      <c r="U1847" s="166"/>
      <c r="V1847" s="166"/>
      <c r="W1847" s="166"/>
      <c r="X1847" s="166"/>
      <c r="Y1847" s="166"/>
      <c r="Z1847" s="166"/>
      <c r="AA1847" s="166"/>
      <c r="AB1847" s="166"/>
      <c r="AC1847" s="166"/>
      <c r="AD1847" s="166"/>
      <c r="AE1847" s="166"/>
      <c r="AF1847" s="166"/>
      <c r="AG1847" s="166"/>
      <c r="AH1847" s="166"/>
      <c r="AI1847" s="166"/>
    </row>
    <row r="1848" spans="7:35" x14ac:dyDescent="0.25">
      <c r="G1848" s="165"/>
      <c r="H1848" s="166"/>
      <c r="I1848" s="167"/>
      <c r="J1848" s="167"/>
      <c r="K1848" s="166"/>
      <c r="L1848" s="166"/>
      <c r="M1848" s="166"/>
      <c r="N1848" s="166"/>
      <c r="O1848" s="166"/>
      <c r="P1848" s="166"/>
      <c r="Q1848" s="166"/>
      <c r="R1848" s="166"/>
      <c r="S1848" s="166"/>
      <c r="T1848" s="166"/>
      <c r="U1848" s="166"/>
      <c r="V1848" s="166"/>
      <c r="W1848" s="166"/>
      <c r="X1848" s="166"/>
      <c r="Y1848" s="166"/>
      <c r="Z1848" s="166"/>
      <c r="AA1848" s="166"/>
      <c r="AB1848" s="166"/>
      <c r="AC1848" s="166"/>
      <c r="AD1848" s="166"/>
      <c r="AE1848" s="166"/>
      <c r="AF1848" s="166"/>
      <c r="AG1848" s="166"/>
      <c r="AH1848" s="166"/>
      <c r="AI1848" s="166"/>
    </row>
    <row r="1849" spans="7:35" x14ac:dyDescent="0.25">
      <c r="G1849" s="165"/>
      <c r="H1849" s="166"/>
      <c r="I1849" s="167"/>
      <c r="J1849" s="167"/>
      <c r="K1849" s="166"/>
      <c r="L1849" s="166"/>
      <c r="M1849" s="166"/>
      <c r="N1849" s="166"/>
      <c r="O1849" s="166"/>
      <c r="P1849" s="166"/>
      <c r="Q1849" s="166"/>
      <c r="R1849" s="166"/>
      <c r="S1849" s="166"/>
      <c r="T1849" s="166"/>
      <c r="U1849" s="166"/>
      <c r="V1849" s="166"/>
      <c r="W1849" s="166"/>
      <c r="X1849" s="166"/>
      <c r="Y1849" s="166"/>
      <c r="Z1849" s="166"/>
      <c r="AA1849" s="166"/>
      <c r="AB1849" s="166"/>
      <c r="AC1849" s="166"/>
      <c r="AD1849" s="166"/>
      <c r="AE1849" s="166"/>
      <c r="AF1849" s="166"/>
      <c r="AG1849" s="166"/>
      <c r="AH1849" s="166"/>
      <c r="AI1849" s="166"/>
    </row>
    <row r="1850" spans="7:35" x14ac:dyDescent="0.25">
      <c r="G1850" s="165"/>
      <c r="H1850" s="166"/>
      <c r="I1850" s="167"/>
      <c r="J1850" s="167"/>
      <c r="K1850" s="166"/>
      <c r="L1850" s="166"/>
      <c r="M1850" s="166"/>
      <c r="N1850" s="166"/>
      <c r="O1850" s="166"/>
      <c r="P1850" s="166"/>
      <c r="Q1850" s="166"/>
      <c r="R1850" s="166"/>
      <c r="S1850" s="166"/>
      <c r="T1850" s="166"/>
      <c r="U1850" s="166"/>
      <c r="V1850" s="166"/>
      <c r="W1850" s="166"/>
      <c r="X1850" s="166"/>
      <c r="Y1850" s="166"/>
      <c r="Z1850" s="166"/>
      <c r="AA1850" s="166"/>
      <c r="AB1850" s="166"/>
      <c r="AC1850" s="166"/>
      <c r="AD1850" s="166"/>
      <c r="AE1850" s="166"/>
      <c r="AF1850" s="166"/>
      <c r="AG1850" s="166"/>
      <c r="AH1850" s="166"/>
      <c r="AI1850" s="166"/>
    </row>
    <row r="1851" spans="7:35" x14ac:dyDescent="0.25">
      <c r="G1851" s="165"/>
      <c r="H1851" s="166"/>
      <c r="I1851" s="167"/>
      <c r="J1851" s="167"/>
      <c r="K1851" s="166"/>
      <c r="L1851" s="166"/>
      <c r="M1851" s="166"/>
      <c r="N1851" s="166"/>
      <c r="O1851" s="166"/>
      <c r="P1851" s="166"/>
      <c r="Q1851" s="166"/>
      <c r="R1851" s="166"/>
      <c r="S1851" s="166"/>
      <c r="T1851" s="166"/>
      <c r="U1851" s="166"/>
      <c r="V1851" s="166"/>
      <c r="W1851" s="166"/>
      <c r="X1851" s="166"/>
      <c r="Y1851" s="166"/>
      <c r="Z1851" s="166"/>
      <c r="AA1851" s="166"/>
      <c r="AB1851" s="166"/>
      <c r="AC1851" s="166"/>
      <c r="AD1851" s="166"/>
      <c r="AE1851" s="166"/>
      <c r="AF1851" s="166"/>
      <c r="AG1851" s="166"/>
      <c r="AH1851" s="166"/>
      <c r="AI1851" s="166"/>
    </row>
    <row r="1852" spans="7:35" x14ac:dyDescent="0.25">
      <c r="G1852" s="165"/>
      <c r="H1852" s="166"/>
      <c r="I1852" s="167"/>
      <c r="J1852" s="167"/>
      <c r="K1852" s="166"/>
      <c r="L1852" s="166"/>
      <c r="M1852" s="166"/>
      <c r="N1852" s="166"/>
      <c r="O1852" s="166"/>
      <c r="P1852" s="166"/>
      <c r="Q1852" s="166"/>
      <c r="R1852" s="166"/>
      <c r="S1852" s="166"/>
      <c r="T1852" s="166"/>
      <c r="U1852" s="166"/>
      <c r="V1852" s="166"/>
      <c r="W1852" s="166"/>
      <c r="X1852" s="166"/>
      <c r="Y1852" s="166"/>
      <c r="Z1852" s="166"/>
      <c r="AA1852" s="166"/>
      <c r="AB1852" s="166"/>
      <c r="AC1852" s="166"/>
      <c r="AD1852" s="166"/>
      <c r="AE1852" s="166"/>
      <c r="AF1852" s="166"/>
      <c r="AG1852" s="166"/>
      <c r="AH1852" s="166"/>
      <c r="AI1852" s="166"/>
    </row>
    <row r="1853" spans="7:35" x14ac:dyDescent="0.25">
      <c r="G1853" s="165"/>
      <c r="H1853" s="166"/>
      <c r="I1853" s="167"/>
      <c r="J1853" s="167"/>
      <c r="K1853" s="166"/>
      <c r="L1853" s="166"/>
      <c r="M1853" s="166"/>
      <c r="N1853" s="166"/>
      <c r="O1853" s="166"/>
      <c r="P1853" s="166"/>
      <c r="Q1853" s="166"/>
      <c r="R1853" s="166"/>
      <c r="S1853" s="166"/>
      <c r="T1853" s="166"/>
      <c r="U1853" s="166"/>
      <c r="V1853" s="166"/>
      <c r="W1853" s="166"/>
      <c r="X1853" s="166"/>
      <c r="Y1853" s="166"/>
      <c r="Z1853" s="166"/>
      <c r="AA1853" s="166"/>
      <c r="AB1853" s="166"/>
      <c r="AC1853" s="166"/>
      <c r="AD1853" s="166"/>
      <c r="AE1853" s="166"/>
      <c r="AF1853" s="166"/>
      <c r="AG1853" s="166"/>
      <c r="AH1853" s="166"/>
      <c r="AI1853" s="166"/>
    </row>
    <row r="1854" spans="7:35" x14ac:dyDescent="0.25">
      <c r="G1854" s="165"/>
      <c r="H1854" s="166"/>
      <c r="I1854" s="167"/>
      <c r="J1854" s="167"/>
      <c r="K1854" s="166"/>
      <c r="L1854" s="166"/>
      <c r="M1854" s="166"/>
      <c r="N1854" s="166"/>
      <c r="O1854" s="166"/>
      <c r="P1854" s="166"/>
      <c r="Q1854" s="166"/>
      <c r="R1854" s="166"/>
      <c r="S1854" s="166"/>
      <c r="T1854" s="166"/>
      <c r="U1854" s="166"/>
      <c r="V1854" s="166"/>
      <c r="W1854" s="166"/>
      <c r="X1854" s="166"/>
      <c r="Y1854" s="166"/>
      <c r="Z1854" s="166"/>
      <c r="AA1854" s="166"/>
      <c r="AB1854" s="166"/>
      <c r="AC1854" s="166"/>
      <c r="AD1854" s="166"/>
      <c r="AE1854" s="166"/>
      <c r="AF1854" s="166"/>
      <c r="AG1854" s="166"/>
      <c r="AH1854" s="166"/>
      <c r="AI1854" s="166"/>
    </row>
    <row r="1855" spans="7:35" x14ac:dyDescent="0.25">
      <c r="G1855" s="165"/>
      <c r="H1855" s="166"/>
      <c r="I1855" s="167"/>
      <c r="J1855" s="167"/>
      <c r="K1855" s="166"/>
      <c r="L1855" s="166"/>
      <c r="M1855" s="166"/>
      <c r="N1855" s="166"/>
      <c r="O1855" s="166"/>
      <c r="P1855" s="166"/>
      <c r="Q1855" s="166"/>
      <c r="R1855" s="166"/>
      <c r="S1855" s="166"/>
      <c r="T1855" s="166"/>
      <c r="U1855" s="166"/>
      <c r="V1855" s="166"/>
      <c r="W1855" s="166"/>
      <c r="X1855" s="166"/>
      <c r="Y1855" s="166"/>
      <c r="Z1855" s="166"/>
      <c r="AA1855" s="166"/>
      <c r="AB1855" s="166"/>
      <c r="AC1855" s="166"/>
      <c r="AD1855" s="166"/>
      <c r="AE1855" s="166"/>
      <c r="AF1855" s="166"/>
      <c r="AG1855" s="166"/>
      <c r="AH1855" s="166"/>
      <c r="AI1855" s="166"/>
    </row>
    <row r="1856" spans="7:35" x14ac:dyDescent="0.25">
      <c r="G1856" s="165"/>
      <c r="H1856" s="166"/>
      <c r="I1856" s="167"/>
      <c r="J1856" s="167"/>
      <c r="K1856" s="166"/>
      <c r="L1856" s="166"/>
      <c r="M1856" s="166"/>
      <c r="N1856" s="166"/>
      <c r="O1856" s="166"/>
      <c r="P1856" s="166"/>
      <c r="Q1856" s="166"/>
      <c r="R1856" s="166"/>
      <c r="S1856" s="166"/>
      <c r="T1856" s="166"/>
      <c r="U1856" s="166"/>
      <c r="V1856" s="166"/>
      <c r="W1856" s="166"/>
      <c r="X1856" s="166"/>
      <c r="Y1856" s="166"/>
      <c r="Z1856" s="166"/>
      <c r="AA1856" s="166"/>
      <c r="AB1856" s="166"/>
      <c r="AC1856" s="166"/>
      <c r="AD1856" s="166"/>
      <c r="AE1856" s="166"/>
      <c r="AF1856" s="166"/>
      <c r="AG1856" s="166"/>
      <c r="AH1856" s="166"/>
      <c r="AI1856" s="166"/>
    </row>
    <row r="1857" spans="7:35" x14ac:dyDescent="0.25">
      <c r="G1857" s="165"/>
      <c r="H1857" s="166"/>
      <c r="I1857" s="167"/>
      <c r="J1857" s="167"/>
      <c r="K1857" s="166"/>
      <c r="L1857" s="166"/>
      <c r="M1857" s="166"/>
      <c r="N1857" s="166"/>
      <c r="O1857" s="166"/>
      <c r="P1857" s="166"/>
      <c r="Q1857" s="166"/>
      <c r="R1857" s="166"/>
      <c r="S1857" s="166"/>
      <c r="T1857" s="166"/>
      <c r="U1857" s="166"/>
      <c r="V1857" s="166"/>
      <c r="W1857" s="166"/>
      <c r="X1857" s="166"/>
      <c r="Y1857" s="166"/>
      <c r="Z1857" s="166"/>
      <c r="AA1857" s="166"/>
      <c r="AB1857" s="166"/>
      <c r="AC1857" s="166"/>
      <c r="AD1857" s="166"/>
      <c r="AE1857" s="166"/>
      <c r="AF1857" s="166"/>
      <c r="AG1857" s="166"/>
      <c r="AH1857" s="166"/>
      <c r="AI1857" s="166"/>
    </row>
    <row r="1858" spans="7:35" x14ac:dyDescent="0.25">
      <c r="G1858" s="165"/>
      <c r="H1858" s="166"/>
      <c r="I1858" s="167"/>
      <c r="J1858" s="167"/>
      <c r="K1858" s="166"/>
      <c r="L1858" s="166"/>
      <c r="M1858" s="166"/>
      <c r="N1858" s="166"/>
      <c r="O1858" s="166"/>
      <c r="P1858" s="166"/>
      <c r="Q1858" s="166"/>
      <c r="R1858" s="166"/>
      <c r="S1858" s="166"/>
      <c r="T1858" s="166"/>
      <c r="U1858" s="166"/>
      <c r="V1858" s="166"/>
      <c r="W1858" s="166"/>
      <c r="X1858" s="166"/>
      <c r="Y1858" s="166"/>
      <c r="Z1858" s="166"/>
      <c r="AA1858" s="166"/>
      <c r="AB1858" s="166"/>
      <c r="AC1858" s="166"/>
      <c r="AD1858" s="166"/>
      <c r="AE1858" s="166"/>
      <c r="AF1858" s="166"/>
      <c r="AG1858" s="166"/>
      <c r="AH1858" s="166"/>
      <c r="AI1858" s="166"/>
    </row>
    <row r="1859" spans="7:35" x14ac:dyDescent="0.25">
      <c r="G1859" s="165"/>
      <c r="H1859" s="166"/>
      <c r="I1859" s="167"/>
      <c r="J1859" s="167"/>
      <c r="K1859" s="166"/>
      <c r="L1859" s="166"/>
      <c r="M1859" s="166"/>
      <c r="N1859" s="166"/>
      <c r="O1859" s="166"/>
      <c r="P1859" s="166"/>
      <c r="Q1859" s="166"/>
      <c r="R1859" s="166"/>
      <c r="S1859" s="166"/>
      <c r="T1859" s="166"/>
      <c r="U1859" s="166"/>
      <c r="V1859" s="166"/>
      <c r="W1859" s="166"/>
      <c r="X1859" s="166"/>
      <c r="Y1859" s="166"/>
      <c r="Z1859" s="166"/>
      <c r="AA1859" s="166"/>
      <c r="AB1859" s="166"/>
      <c r="AC1859" s="166"/>
      <c r="AD1859" s="166"/>
      <c r="AE1859" s="166"/>
      <c r="AF1859" s="166"/>
      <c r="AG1859" s="166"/>
      <c r="AH1859" s="166"/>
      <c r="AI1859" s="166"/>
    </row>
    <row r="1860" spans="7:35" x14ac:dyDescent="0.25">
      <c r="G1860" s="165"/>
      <c r="H1860" s="166"/>
      <c r="I1860" s="167"/>
      <c r="J1860" s="167"/>
      <c r="K1860" s="166"/>
      <c r="L1860" s="166"/>
      <c r="M1860" s="166"/>
      <c r="N1860" s="166"/>
      <c r="O1860" s="166"/>
      <c r="P1860" s="166"/>
      <c r="Q1860" s="166"/>
      <c r="R1860" s="166"/>
      <c r="S1860" s="166"/>
      <c r="T1860" s="166"/>
      <c r="U1860" s="166"/>
      <c r="V1860" s="166"/>
      <c r="W1860" s="166"/>
      <c r="X1860" s="166"/>
      <c r="Y1860" s="166"/>
      <c r="Z1860" s="166"/>
      <c r="AA1860" s="166"/>
      <c r="AB1860" s="166"/>
      <c r="AC1860" s="166"/>
      <c r="AD1860" s="166"/>
      <c r="AE1860" s="166"/>
      <c r="AF1860" s="166"/>
      <c r="AG1860" s="166"/>
      <c r="AH1860" s="166"/>
      <c r="AI1860" s="166"/>
    </row>
    <row r="1861" spans="7:35" x14ac:dyDescent="0.25">
      <c r="G1861" s="165"/>
      <c r="H1861" s="166"/>
      <c r="I1861" s="167"/>
      <c r="J1861" s="167"/>
      <c r="K1861" s="166"/>
      <c r="L1861" s="166"/>
      <c r="M1861" s="166"/>
      <c r="N1861" s="166"/>
      <c r="O1861" s="166"/>
      <c r="P1861" s="166"/>
      <c r="Q1861" s="166"/>
      <c r="R1861" s="166"/>
      <c r="S1861" s="166"/>
      <c r="T1861" s="166"/>
      <c r="U1861" s="166"/>
      <c r="V1861" s="166"/>
      <c r="W1861" s="166"/>
      <c r="X1861" s="166"/>
      <c r="Y1861" s="166"/>
      <c r="Z1861" s="166"/>
      <c r="AA1861" s="166"/>
      <c r="AB1861" s="166"/>
      <c r="AC1861" s="166"/>
      <c r="AD1861" s="166"/>
      <c r="AE1861" s="166"/>
      <c r="AF1861" s="166"/>
      <c r="AG1861" s="166"/>
      <c r="AH1861" s="166"/>
      <c r="AI1861" s="166"/>
    </row>
    <row r="1862" spans="7:35" x14ac:dyDescent="0.25">
      <c r="G1862" s="165"/>
      <c r="H1862" s="166"/>
      <c r="I1862" s="167"/>
      <c r="J1862" s="167"/>
      <c r="K1862" s="166"/>
      <c r="L1862" s="166"/>
      <c r="M1862" s="166"/>
      <c r="N1862" s="166"/>
      <c r="O1862" s="166"/>
      <c r="P1862" s="166"/>
      <c r="Q1862" s="166"/>
      <c r="R1862" s="166"/>
      <c r="S1862" s="166"/>
      <c r="T1862" s="166"/>
      <c r="U1862" s="166"/>
      <c r="V1862" s="166"/>
      <c r="W1862" s="166"/>
      <c r="X1862" s="166"/>
      <c r="Y1862" s="166"/>
      <c r="Z1862" s="166"/>
      <c r="AA1862" s="166"/>
      <c r="AB1862" s="166"/>
      <c r="AC1862" s="166"/>
      <c r="AD1862" s="166"/>
      <c r="AE1862" s="166"/>
      <c r="AF1862" s="166"/>
      <c r="AG1862" s="166"/>
      <c r="AH1862" s="166"/>
      <c r="AI1862" s="166"/>
    </row>
    <row r="1863" spans="7:35" x14ac:dyDescent="0.25">
      <c r="G1863" s="165"/>
      <c r="H1863" s="166"/>
      <c r="I1863" s="167"/>
      <c r="J1863" s="167"/>
      <c r="K1863" s="166"/>
      <c r="L1863" s="166"/>
      <c r="M1863" s="166"/>
      <c r="N1863" s="166"/>
      <c r="O1863" s="166"/>
      <c r="P1863" s="166"/>
      <c r="Q1863" s="166"/>
      <c r="R1863" s="166"/>
      <c r="S1863" s="166"/>
      <c r="T1863" s="166"/>
      <c r="U1863" s="166"/>
      <c r="V1863" s="166"/>
      <c r="W1863" s="166"/>
      <c r="X1863" s="166"/>
      <c r="Y1863" s="166"/>
      <c r="Z1863" s="166"/>
      <c r="AA1863" s="166"/>
      <c r="AB1863" s="166"/>
      <c r="AC1863" s="166"/>
      <c r="AD1863" s="166"/>
      <c r="AE1863" s="166"/>
      <c r="AF1863" s="166"/>
      <c r="AG1863" s="166"/>
      <c r="AH1863" s="166"/>
      <c r="AI1863" s="166"/>
    </row>
    <row r="1864" spans="7:35" x14ac:dyDescent="0.25">
      <c r="G1864" s="165"/>
      <c r="H1864" s="166"/>
      <c r="I1864" s="167"/>
      <c r="J1864" s="167"/>
      <c r="K1864" s="166"/>
      <c r="L1864" s="166"/>
      <c r="M1864" s="166"/>
      <c r="N1864" s="166"/>
      <c r="O1864" s="166"/>
      <c r="P1864" s="166"/>
      <c r="Q1864" s="166"/>
      <c r="R1864" s="166"/>
      <c r="S1864" s="166"/>
      <c r="T1864" s="166"/>
      <c r="U1864" s="166"/>
      <c r="V1864" s="166"/>
      <c r="W1864" s="166"/>
      <c r="X1864" s="166"/>
      <c r="Y1864" s="166"/>
      <c r="Z1864" s="166"/>
      <c r="AA1864" s="166"/>
      <c r="AB1864" s="166"/>
      <c r="AC1864" s="166"/>
      <c r="AD1864" s="166"/>
      <c r="AE1864" s="166"/>
      <c r="AF1864" s="166"/>
      <c r="AG1864" s="166"/>
      <c r="AH1864" s="166"/>
      <c r="AI1864" s="166"/>
    </row>
    <row r="1865" spans="7:35" x14ac:dyDescent="0.25">
      <c r="G1865" s="165"/>
      <c r="H1865" s="166"/>
      <c r="I1865" s="167"/>
      <c r="J1865" s="167"/>
      <c r="K1865" s="166"/>
      <c r="L1865" s="166"/>
      <c r="M1865" s="166"/>
      <c r="N1865" s="166"/>
      <c r="O1865" s="166"/>
      <c r="P1865" s="166"/>
      <c r="Q1865" s="166"/>
      <c r="R1865" s="166"/>
      <c r="S1865" s="166"/>
      <c r="T1865" s="166"/>
      <c r="U1865" s="166"/>
      <c r="V1865" s="166"/>
      <c r="W1865" s="166"/>
      <c r="X1865" s="166"/>
      <c r="Y1865" s="166"/>
      <c r="Z1865" s="166"/>
      <c r="AA1865" s="166"/>
      <c r="AB1865" s="166"/>
      <c r="AC1865" s="166"/>
      <c r="AD1865" s="166"/>
      <c r="AE1865" s="166"/>
      <c r="AF1865" s="166"/>
      <c r="AG1865" s="166"/>
      <c r="AH1865" s="166"/>
      <c r="AI1865" s="166"/>
    </row>
    <row r="1866" spans="7:35" x14ac:dyDescent="0.25">
      <c r="G1866" s="165"/>
      <c r="H1866" s="166"/>
      <c r="I1866" s="167"/>
      <c r="J1866" s="167"/>
      <c r="K1866" s="166"/>
      <c r="L1866" s="166"/>
      <c r="M1866" s="166"/>
      <c r="N1866" s="166"/>
      <c r="O1866" s="166"/>
      <c r="P1866" s="166"/>
      <c r="Q1866" s="166"/>
      <c r="R1866" s="166"/>
      <c r="S1866" s="166"/>
      <c r="T1866" s="166"/>
      <c r="U1866" s="166"/>
      <c r="V1866" s="166"/>
      <c r="W1866" s="166"/>
      <c r="X1866" s="166"/>
      <c r="Y1866" s="166"/>
      <c r="Z1866" s="166"/>
      <c r="AA1866" s="166"/>
      <c r="AB1866" s="166"/>
      <c r="AC1866" s="166"/>
      <c r="AD1866" s="166"/>
      <c r="AE1866" s="166"/>
      <c r="AF1866" s="166"/>
      <c r="AG1866" s="166"/>
      <c r="AH1866" s="166"/>
      <c r="AI1866" s="166"/>
    </row>
    <row r="1867" spans="7:35" x14ac:dyDescent="0.25">
      <c r="G1867" s="165"/>
      <c r="H1867" s="166"/>
      <c r="I1867" s="167"/>
      <c r="J1867" s="167"/>
      <c r="K1867" s="166"/>
      <c r="L1867" s="166"/>
      <c r="M1867" s="166"/>
      <c r="N1867" s="166"/>
      <c r="O1867" s="166"/>
      <c r="P1867" s="166"/>
      <c r="Q1867" s="166"/>
      <c r="R1867" s="166"/>
      <c r="S1867" s="166"/>
      <c r="T1867" s="166"/>
      <c r="U1867" s="166"/>
      <c r="V1867" s="166"/>
      <c r="W1867" s="166"/>
      <c r="X1867" s="166"/>
      <c r="Y1867" s="166"/>
      <c r="Z1867" s="166"/>
      <c r="AA1867" s="166"/>
      <c r="AB1867" s="166"/>
      <c r="AC1867" s="166"/>
      <c r="AD1867" s="166"/>
      <c r="AE1867" s="166"/>
      <c r="AF1867" s="166"/>
      <c r="AG1867" s="166"/>
      <c r="AH1867" s="166"/>
      <c r="AI1867" s="166"/>
    </row>
    <row r="1868" spans="7:35" x14ac:dyDescent="0.25">
      <c r="G1868" s="165"/>
      <c r="H1868" s="166"/>
      <c r="I1868" s="167"/>
      <c r="J1868" s="167"/>
      <c r="K1868" s="166"/>
      <c r="L1868" s="166"/>
      <c r="M1868" s="166"/>
      <c r="N1868" s="166"/>
      <c r="O1868" s="166"/>
      <c r="P1868" s="166"/>
      <c r="Q1868" s="166"/>
      <c r="R1868" s="166"/>
      <c r="S1868" s="166"/>
      <c r="T1868" s="166"/>
      <c r="U1868" s="166"/>
      <c r="V1868" s="166"/>
      <c r="W1868" s="166"/>
      <c r="X1868" s="166"/>
      <c r="Y1868" s="166"/>
      <c r="Z1868" s="166"/>
      <c r="AA1868" s="166"/>
      <c r="AB1868" s="166"/>
      <c r="AC1868" s="166"/>
      <c r="AD1868" s="166"/>
      <c r="AE1868" s="166"/>
      <c r="AF1868" s="166"/>
      <c r="AG1868" s="166"/>
      <c r="AH1868" s="166"/>
      <c r="AI1868" s="166"/>
    </row>
    <row r="1869" spans="7:35" x14ac:dyDescent="0.25">
      <c r="G1869" s="165"/>
      <c r="H1869" s="166"/>
      <c r="I1869" s="167"/>
      <c r="J1869" s="167"/>
      <c r="K1869" s="166"/>
      <c r="L1869" s="166"/>
      <c r="M1869" s="166"/>
      <c r="N1869" s="166"/>
      <c r="O1869" s="166"/>
      <c r="P1869" s="166"/>
      <c r="Q1869" s="166"/>
      <c r="R1869" s="166"/>
      <c r="S1869" s="166"/>
      <c r="T1869" s="166"/>
      <c r="U1869" s="166"/>
      <c r="V1869" s="166"/>
      <c r="W1869" s="166"/>
      <c r="X1869" s="166"/>
      <c r="Y1869" s="166"/>
      <c r="Z1869" s="166"/>
      <c r="AA1869" s="166"/>
      <c r="AB1869" s="166"/>
      <c r="AC1869" s="166"/>
      <c r="AD1869" s="166"/>
      <c r="AE1869" s="166"/>
      <c r="AF1869" s="166"/>
      <c r="AG1869" s="166"/>
      <c r="AH1869" s="166"/>
      <c r="AI1869" s="166"/>
    </row>
    <row r="1870" spans="7:35" x14ac:dyDescent="0.25">
      <c r="G1870" s="165"/>
      <c r="H1870" s="166"/>
      <c r="I1870" s="167"/>
      <c r="J1870" s="167"/>
      <c r="K1870" s="166"/>
      <c r="L1870" s="166"/>
      <c r="M1870" s="166"/>
      <c r="N1870" s="166"/>
      <c r="O1870" s="166"/>
      <c r="P1870" s="166"/>
      <c r="Q1870" s="166"/>
      <c r="R1870" s="166"/>
      <c r="S1870" s="166"/>
      <c r="T1870" s="166"/>
      <c r="U1870" s="166"/>
      <c r="V1870" s="166"/>
      <c r="W1870" s="166"/>
      <c r="X1870" s="166"/>
      <c r="Y1870" s="166"/>
      <c r="Z1870" s="166"/>
      <c r="AA1870" s="166"/>
      <c r="AB1870" s="166"/>
      <c r="AC1870" s="166"/>
      <c r="AD1870" s="166"/>
      <c r="AE1870" s="166"/>
      <c r="AF1870" s="166"/>
      <c r="AG1870" s="166"/>
      <c r="AH1870" s="166"/>
      <c r="AI1870" s="166"/>
    </row>
    <row r="1871" spans="7:35" x14ac:dyDescent="0.25">
      <c r="G1871" s="165"/>
      <c r="H1871" s="166"/>
      <c r="I1871" s="167"/>
      <c r="J1871" s="167"/>
      <c r="K1871" s="166"/>
      <c r="L1871" s="166"/>
      <c r="M1871" s="166"/>
      <c r="N1871" s="166"/>
      <c r="O1871" s="166"/>
      <c r="P1871" s="166"/>
      <c r="Q1871" s="166"/>
      <c r="R1871" s="166"/>
      <c r="S1871" s="166"/>
      <c r="T1871" s="166"/>
      <c r="U1871" s="166"/>
      <c r="V1871" s="166"/>
      <c r="W1871" s="166"/>
      <c r="X1871" s="166"/>
      <c r="Y1871" s="166"/>
      <c r="Z1871" s="166"/>
      <c r="AA1871" s="166"/>
      <c r="AB1871" s="166"/>
      <c r="AC1871" s="166"/>
      <c r="AD1871" s="166"/>
      <c r="AE1871" s="166"/>
      <c r="AF1871" s="166"/>
      <c r="AG1871" s="166"/>
      <c r="AH1871" s="166"/>
      <c r="AI1871" s="166"/>
    </row>
    <row r="1872" spans="7:35" x14ac:dyDescent="0.25">
      <c r="G1872" s="165"/>
      <c r="H1872" s="166"/>
      <c r="I1872" s="167"/>
      <c r="J1872" s="167"/>
      <c r="K1872" s="166"/>
      <c r="L1872" s="166"/>
      <c r="M1872" s="166"/>
      <c r="N1872" s="166"/>
      <c r="O1872" s="166"/>
      <c r="P1872" s="166"/>
      <c r="Q1872" s="166"/>
      <c r="R1872" s="166"/>
      <c r="S1872" s="166"/>
      <c r="T1872" s="166"/>
      <c r="U1872" s="166"/>
      <c r="V1872" s="166"/>
      <c r="W1872" s="166"/>
      <c r="X1872" s="166"/>
      <c r="Y1872" s="166"/>
      <c r="Z1872" s="166"/>
      <c r="AA1872" s="166"/>
      <c r="AB1872" s="166"/>
      <c r="AC1872" s="166"/>
      <c r="AD1872" s="166"/>
      <c r="AE1872" s="166"/>
      <c r="AF1872" s="166"/>
      <c r="AG1872" s="166"/>
      <c r="AH1872" s="166"/>
      <c r="AI1872" s="166"/>
    </row>
    <row r="1873" spans="7:35" x14ac:dyDescent="0.25">
      <c r="G1873" s="165"/>
      <c r="H1873" s="166"/>
      <c r="I1873" s="167"/>
      <c r="J1873" s="167"/>
      <c r="K1873" s="166"/>
      <c r="L1873" s="166"/>
      <c r="M1873" s="166"/>
      <c r="N1873" s="166"/>
      <c r="O1873" s="166"/>
      <c r="P1873" s="166"/>
      <c r="Q1873" s="166"/>
      <c r="R1873" s="166"/>
      <c r="S1873" s="166"/>
      <c r="T1873" s="166"/>
      <c r="U1873" s="166"/>
      <c r="V1873" s="166"/>
      <c r="W1873" s="166"/>
      <c r="X1873" s="166"/>
      <c r="Y1873" s="166"/>
      <c r="Z1873" s="166"/>
      <c r="AA1873" s="166"/>
      <c r="AB1873" s="166"/>
      <c r="AC1873" s="166"/>
      <c r="AD1873" s="166"/>
      <c r="AE1873" s="166"/>
      <c r="AF1873" s="166"/>
      <c r="AG1873" s="166"/>
      <c r="AH1873" s="166"/>
      <c r="AI1873" s="166"/>
    </row>
    <row r="1874" spans="7:35" x14ac:dyDescent="0.25">
      <c r="G1874" s="165"/>
      <c r="H1874" s="166"/>
      <c r="I1874" s="167"/>
      <c r="J1874" s="167"/>
      <c r="K1874" s="166"/>
      <c r="L1874" s="166"/>
      <c r="M1874" s="166"/>
      <c r="N1874" s="166"/>
      <c r="O1874" s="166"/>
      <c r="P1874" s="166"/>
      <c r="Q1874" s="166"/>
      <c r="R1874" s="166"/>
      <c r="S1874" s="166"/>
      <c r="T1874" s="166"/>
      <c r="U1874" s="166"/>
      <c r="V1874" s="166"/>
      <c r="W1874" s="166"/>
      <c r="X1874" s="166"/>
      <c r="Y1874" s="166"/>
      <c r="Z1874" s="166"/>
      <c r="AA1874" s="166"/>
      <c r="AB1874" s="166"/>
      <c r="AC1874" s="166"/>
      <c r="AD1874" s="166"/>
      <c r="AE1874" s="166"/>
      <c r="AF1874" s="166"/>
      <c r="AG1874" s="166"/>
      <c r="AH1874" s="166"/>
      <c r="AI1874" s="166"/>
    </row>
    <row r="1875" spans="7:35" x14ac:dyDescent="0.25">
      <c r="G1875" s="165"/>
      <c r="H1875" s="166"/>
      <c r="I1875" s="167"/>
      <c r="J1875" s="167"/>
      <c r="K1875" s="166"/>
      <c r="L1875" s="166"/>
      <c r="M1875" s="166"/>
      <c r="N1875" s="166"/>
      <c r="O1875" s="166"/>
      <c r="P1875" s="166"/>
      <c r="Q1875" s="166"/>
      <c r="R1875" s="166"/>
      <c r="S1875" s="166"/>
      <c r="T1875" s="166"/>
      <c r="U1875" s="166"/>
      <c r="V1875" s="166"/>
      <c r="W1875" s="166"/>
      <c r="X1875" s="166"/>
      <c r="Y1875" s="166"/>
      <c r="Z1875" s="166"/>
      <c r="AA1875" s="166"/>
      <c r="AB1875" s="166"/>
      <c r="AC1875" s="166"/>
      <c r="AD1875" s="166"/>
      <c r="AE1875" s="166"/>
      <c r="AF1875" s="166"/>
      <c r="AG1875" s="166"/>
      <c r="AH1875" s="166"/>
      <c r="AI1875" s="166"/>
    </row>
    <row r="1876" spans="7:35" x14ac:dyDescent="0.25">
      <c r="G1876" s="165"/>
      <c r="H1876" s="166"/>
      <c r="I1876" s="167"/>
      <c r="J1876" s="167"/>
      <c r="K1876" s="166"/>
      <c r="L1876" s="166"/>
      <c r="M1876" s="166"/>
      <c r="N1876" s="166"/>
      <c r="O1876" s="166"/>
      <c r="P1876" s="166"/>
      <c r="Q1876" s="166"/>
      <c r="R1876" s="166"/>
      <c r="S1876" s="166"/>
      <c r="T1876" s="166"/>
      <c r="U1876" s="166"/>
      <c r="V1876" s="166"/>
      <c r="W1876" s="166"/>
      <c r="X1876" s="166"/>
      <c r="Y1876" s="166"/>
      <c r="Z1876" s="166"/>
      <c r="AA1876" s="166"/>
      <c r="AB1876" s="166"/>
      <c r="AC1876" s="166"/>
      <c r="AD1876" s="166"/>
      <c r="AE1876" s="166"/>
      <c r="AF1876" s="166"/>
      <c r="AG1876" s="166"/>
      <c r="AH1876" s="166"/>
      <c r="AI1876" s="166"/>
    </row>
    <row r="1877" spans="7:35" x14ac:dyDescent="0.25">
      <c r="G1877" s="165"/>
      <c r="H1877" s="166"/>
      <c r="I1877" s="167"/>
      <c r="J1877" s="167"/>
      <c r="K1877" s="166"/>
      <c r="L1877" s="166"/>
      <c r="M1877" s="166"/>
      <c r="N1877" s="166"/>
      <c r="O1877" s="166"/>
      <c r="P1877" s="166"/>
      <c r="Q1877" s="166"/>
      <c r="R1877" s="166"/>
      <c r="S1877" s="166"/>
      <c r="T1877" s="166"/>
      <c r="U1877" s="166"/>
      <c r="V1877" s="166"/>
      <c r="W1877" s="166"/>
      <c r="X1877" s="166"/>
      <c r="Y1877" s="166"/>
      <c r="Z1877" s="166"/>
      <c r="AA1877" s="166"/>
      <c r="AB1877" s="166"/>
      <c r="AC1877" s="166"/>
      <c r="AD1877" s="166"/>
      <c r="AE1877" s="166"/>
      <c r="AF1877" s="166"/>
      <c r="AG1877" s="166"/>
      <c r="AH1877" s="166"/>
      <c r="AI1877" s="166"/>
    </row>
    <row r="1878" spans="7:35" x14ac:dyDescent="0.25">
      <c r="G1878" s="165"/>
      <c r="H1878" s="166"/>
      <c r="I1878" s="167"/>
      <c r="J1878" s="167"/>
      <c r="K1878" s="166"/>
      <c r="L1878" s="166"/>
      <c r="M1878" s="166"/>
      <c r="N1878" s="166"/>
      <c r="O1878" s="166"/>
      <c r="P1878" s="166"/>
      <c r="Q1878" s="166"/>
      <c r="R1878" s="166"/>
      <c r="S1878" s="166"/>
      <c r="T1878" s="166"/>
      <c r="U1878" s="166"/>
      <c r="V1878" s="166"/>
      <c r="W1878" s="166"/>
      <c r="X1878" s="166"/>
      <c r="Y1878" s="166"/>
      <c r="Z1878" s="166"/>
      <c r="AA1878" s="166"/>
      <c r="AB1878" s="166"/>
      <c r="AC1878" s="166"/>
      <c r="AD1878" s="166"/>
      <c r="AE1878" s="166"/>
      <c r="AF1878" s="166"/>
      <c r="AG1878" s="166"/>
      <c r="AH1878" s="166"/>
      <c r="AI1878" s="166"/>
    </row>
    <row r="1879" spans="7:35" x14ac:dyDescent="0.25">
      <c r="G1879" s="165"/>
      <c r="H1879" s="166"/>
      <c r="I1879" s="167"/>
      <c r="J1879" s="167"/>
      <c r="K1879" s="166"/>
      <c r="L1879" s="166"/>
      <c r="M1879" s="166"/>
      <c r="N1879" s="166"/>
      <c r="O1879" s="166"/>
      <c r="P1879" s="166"/>
      <c r="Q1879" s="166"/>
      <c r="R1879" s="166"/>
      <c r="S1879" s="166"/>
      <c r="T1879" s="166"/>
      <c r="U1879" s="166"/>
      <c r="V1879" s="166"/>
      <c r="W1879" s="166"/>
      <c r="X1879" s="166"/>
      <c r="Y1879" s="166"/>
      <c r="Z1879" s="166"/>
      <c r="AA1879" s="166"/>
      <c r="AB1879" s="166"/>
      <c r="AC1879" s="166"/>
      <c r="AD1879" s="166"/>
      <c r="AE1879" s="166"/>
      <c r="AF1879" s="166"/>
      <c r="AG1879" s="166"/>
      <c r="AH1879" s="166"/>
      <c r="AI1879" s="166"/>
    </row>
    <row r="1880" spans="7:35" x14ac:dyDescent="0.25">
      <c r="G1880" s="165"/>
      <c r="H1880" s="166"/>
      <c r="I1880" s="167"/>
      <c r="J1880" s="167"/>
      <c r="K1880" s="166"/>
      <c r="L1880" s="166"/>
      <c r="M1880" s="166"/>
      <c r="N1880" s="166"/>
      <c r="O1880" s="166"/>
      <c r="P1880" s="166"/>
      <c r="Q1880" s="166"/>
      <c r="R1880" s="166"/>
      <c r="S1880" s="166"/>
      <c r="T1880" s="166"/>
      <c r="U1880" s="166"/>
      <c r="V1880" s="166"/>
      <c r="W1880" s="166"/>
      <c r="X1880" s="166"/>
      <c r="Y1880" s="166"/>
      <c r="Z1880" s="166"/>
      <c r="AA1880" s="166"/>
      <c r="AB1880" s="166"/>
      <c r="AC1880" s="166"/>
      <c r="AD1880" s="166"/>
      <c r="AE1880" s="166"/>
      <c r="AF1880" s="166"/>
      <c r="AG1880" s="166"/>
      <c r="AH1880" s="166"/>
      <c r="AI1880" s="166"/>
    </row>
    <row r="1881" spans="7:35" x14ac:dyDescent="0.25">
      <c r="G1881" s="165"/>
      <c r="H1881" s="166"/>
      <c r="I1881" s="167"/>
      <c r="J1881" s="167"/>
      <c r="K1881" s="166"/>
      <c r="L1881" s="166"/>
      <c r="M1881" s="166"/>
      <c r="N1881" s="166"/>
      <c r="O1881" s="166"/>
      <c r="P1881" s="166"/>
      <c r="Q1881" s="166"/>
      <c r="R1881" s="166"/>
      <c r="S1881" s="166"/>
      <c r="T1881" s="166"/>
      <c r="U1881" s="166"/>
      <c r="V1881" s="166"/>
      <c r="W1881" s="166"/>
      <c r="X1881" s="166"/>
      <c r="Y1881" s="166"/>
      <c r="Z1881" s="166"/>
      <c r="AA1881" s="166"/>
      <c r="AB1881" s="166"/>
      <c r="AC1881" s="166"/>
      <c r="AD1881" s="166"/>
      <c r="AE1881" s="166"/>
      <c r="AF1881" s="166"/>
      <c r="AG1881" s="166"/>
      <c r="AH1881" s="166"/>
      <c r="AI1881" s="166"/>
    </row>
    <row r="1882" spans="7:35" x14ac:dyDescent="0.25">
      <c r="G1882" s="165"/>
      <c r="H1882" s="166"/>
      <c r="I1882" s="167"/>
      <c r="J1882" s="167"/>
      <c r="K1882" s="166"/>
      <c r="L1882" s="166"/>
      <c r="M1882" s="166"/>
      <c r="N1882" s="166"/>
      <c r="O1882" s="166"/>
      <c r="P1882" s="166"/>
      <c r="Q1882" s="166"/>
      <c r="R1882" s="166"/>
      <c r="S1882" s="166"/>
      <c r="T1882" s="166"/>
      <c r="U1882" s="166"/>
      <c r="V1882" s="166"/>
      <c r="W1882" s="166"/>
      <c r="X1882" s="166"/>
      <c r="Y1882" s="166"/>
      <c r="Z1882" s="166"/>
      <c r="AA1882" s="166"/>
      <c r="AB1882" s="166"/>
      <c r="AC1882" s="166"/>
      <c r="AD1882" s="166"/>
      <c r="AE1882" s="166"/>
      <c r="AF1882" s="166"/>
      <c r="AG1882" s="166"/>
      <c r="AH1882" s="166"/>
      <c r="AI1882" s="166"/>
    </row>
    <row r="1883" spans="7:35" x14ac:dyDescent="0.25">
      <c r="G1883" s="165"/>
      <c r="H1883" s="166"/>
      <c r="I1883" s="167"/>
      <c r="J1883" s="167"/>
      <c r="K1883" s="166"/>
      <c r="L1883" s="166"/>
      <c r="M1883" s="166"/>
      <c r="N1883" s="166"/>
      <c r="O1883" s="166"/>
      <c r="P1883" s="166"/>
      <c r="Q1883" s="166"/>
      <c r="R1883" s="166"/>
      <c r="S1883" s="166"/>
      <c r="T1883" s="166"/>
      <c r="U1883" s="166"/>
      <c r="V1883" s="166"/>
      <c r="W1883" s="166"/>
      <c r="X1883" s="166"/>
      <c r="Y1883" s="166"/>
      <c r="Z1883" s="166"/>
      <c r="AA1883" s="166"/>
      <c r="AB1883" s="166"/>
      <c r="AC1883" s="166"/>
      <c r="AD1883" s="166"/>
      <c r="AE1883" s="166"/>
      <c r="AF1883" s="166"/>
      <c r="AG1883" s="166"/>
      <c r="AH1883" s="166"/>
      <c r="AI1883" s="166"/>
    </row>
    <row r="1884" spans="7:35" x14ac:dyDescent="0.25">
      <c r="G1884" s="165"/>
      <c r="H1884" s="166"/>
      <c r="I1884" s="167"/>
      <c r="J1884" s="167"/>
      <c r="K1884" s="166"/>
      <c r="L1884" s="166"/>
      <c r="M1884" s="166"/>
      <c r="N1884" s="166"/>
      <c r="O1884" s="166"/>
      <c r="P1884" s="166"/>
      <c r="Q1884" s="166"/>
      <c r="R1884" s="166"/>
      <c r="S1884" s="166"/>
      <c r="T1884" s="166"/>
      <c r="U1884" s="166"/>
      <c r="V1884" s="166"/>
      <c r="W1884" s="166"/>
      <c r="X1884" s="166"/>
      <c r="Y1884" s="166"/>
      <c r="Z1884" s="166"/>
      <c r="AA1884" s="166"/>
      <c r="AB1884" s="166"/>
      <c r="AC1884" s="166"/>
      <c r="AD1884" s="166"/>
      <c r="AE1884" s="166"/>
      <c r="AF1884" s="166"/>
      <c r="AG1884" s="166"/>
      <c r="AH1884" s="166"/>
      <c r="AI1884" s="166"/>
    </row>
    <row r="1885" spans="7:35" x14ac:dyDescent="0.25">
      <c r="G1885" s="165"/>
      <c r="H1885" s="166"/>
      <c r="I1885" s="167"/>
      <c r="J1885" s="167"/>
      <c r="K1885" s="166"/>
      <c r="L1885" s="166"/>
      <c r="M1885" s="166"/>
      <c r="N1885" s="166"/>
      <c r="O1885" s="166"/>
      <c r="P1885" s="166"/>
      <c r="Q1885" s="166"/>
      <c r="R1885" s="166"/>
      <c r="S1885" s="166"/>
      <c r="T1885" s="166"/>
      <c r="U1885" s="166"/>
      <c r="V1885" s="166"/>
      <c r="W1885" s="166"/>
      <c r="X1885" s="166"/>
      <c r="Y1885" s="166"/>
      <c r="Z1885" s="166"/>
      <c r="AA1885" s="166"/>
      <c r="AB1885" s="166"/>
      <c r="AC1885" s="166"/>
      <c r="AD1885" s="166"/>
      <c r="AE1885" s="166"/>
      <c r="AF1885" s="166"/>
      <c r="AG1885" s="166"/>
      <c r="AH1885" s="166"/>
      <c r="AI1885" s="166"/>
    </row>
    <row r="1886" spans="7:35" x14ac:dyDescent="0.25">
      <c r="G1886" s="165"/>
      <c r="H1886" s="166"/>
      <c r="I1886" s="167"/>
      <c r="J1886" s="167"/>
      <c r="K1886" s="166"/>
      <c r="L1886" s="166"/>
      <c r="M1886" s="166"/>
      <c r="N1886" s="166"/>
      <c r="O1886" s="166"/>
      <c r="P1886" s="166"/>
      <c r="Q1886" s="166"/>
      <c r="R1886" s="166"/>
      <c r="S1886" s="166"/>
      <c r="T1886" s="166"/>
      <c r="U1886" s="166"/>
      <c r="V1886" s="166"/>
      <c r="W1886" s="166"/>
      <c r="X1886" s="166"/>
      <c r="Y1886" s="166"/>
      <c r="Z1886" s="166"/>
      <c r="AA1886" s="166"/>
      <c r="AB1886" s="166"/>
      <c r="AC1886" s="166"/>
      <c r="AD1886" s="166"/>
      <c r="AE1886" s="166"/>
      <c r="AF1886" s="166"/>
      <c r="AG1886" s="166"/>
      <c r="AH1886" s="166"/>
      <c r="AI1886" s="166"/>
    </row>
    <row r="1887" spans="7:35" x14ac:dyDescent="0.25">
      <c r="G1887" s="165"/>
      <c r="H1887" s="166"/>
      <c r="I1887" s="167"/>
      <c r="J1887" s="167"/>
      <c r="K1887" s="166"/>
      <c r="L1887" s="166"/>
      <c r="M1887" s="166"/>
      <c r="N1887" s="166"/>
      <c r="O1887" s="166"/>
      <c r="P1887" s="166"/>
      <c r="Q1887" s="166"/>
      <c r="R1887" s="166"/>
      <c r="S1887" s="166"/>
      <c r="T1887" s="166"/>
      <c r="U1887" s="166"/>
      <c r="V1887" s="166"/>
      <c r="W1887" s="166"/>
      <c r="X1887" s="166"/>
      <c r="Y1887" s="166"/>
      <c r="Z1887" s="166"/>
      <c r="AA1887" s="166"/>
      <c r="AB1887" s="166"/>
      <c r="AC1887" s="166"/>
      <c r="AD1887" s="166"/>
      <c r="AE1887" s="166"/>
      <c r="AF1887" s="166"/>
      <c r="AG1887" s="166"/>
      <c r="AH1887" s="166"/>
      <c r="AI1887" s="166"/>
    </row>
    <row r="1888" spans="7:35" x14ac:dyDescent="0.25">
      <c r="G1888" s="165"/>
      <c r="H1888" s="166"/>
      <c r="I1888" s="167"/>
      <c r="J1888" s="167"/>
      <c r="K1888" s="166"/>
      <c r="L1888" s="166"/>
      <c r="M1888" s="166"/>
      <c r="N1888" s="166"/>
      <c r="O1888" s="166"/>
      <c r="P1888" s="166"/>
      <c r="Q1888" s="166"/>
      <c r="R1888" s="166"/>
      <c r="S1888" s="166"/>
      <c r="T1888" s="166"/>
      <c r="U1888" s="166"/>
      <c r="V1888" s="166"/>
      <c r="W1888" s="166"/>
      <c r="X1888" s="166"/>
      <c r="Y1888" s="166"/>
      <c r="Z1888" s="166"/>
      <c r="AA1888" s="166"/>
      <c r="AB1888" s="166"/>
      <c r="AC1888" s="166"/>
      <c r="AD1888" s="166"/>
      <c r="AE1888" s="166"/>
      <c r="AF1888" s="166"/>
      <c r="AG1888" s="166"/>
      <c r="AH1888" s="166"/>
      <c r="AI1888" s="166"/>
    </row>
    <row r="1889" spans="7:35" x14ac:dyDescent="0.25">
      <c r="G1889" s="165"/>
      <c r="H1889" s="166"/>
      <c r="I1889" s="167"/>
      <c r="J1889" s="167"/>
      <c r="K1889" s="166"/>
      <c r="L1889" s="166"/>
      <c r="M1889" s="166"/>
      <c r="N1889" s="166"/>
      <c r="O1889" s="166"/>
      <c r="P1889" s="166"/>
      <c r="Q1889" s="166"/>
      <c r="R1889" s="166"/>
      <c r="S1889" s="166"/>
      <c r="T1889" s="166"/>
      <c r="U1889" s="166"/>
      <c r="V1889" s="166"/>
      <c r="W1889" s="166"/>
      <c r="X1889" s="166"/>
      <c r="Y1889" s="166"/>
      <c r="Z1889" s="166"/>
      <c r="AA1889" s="166"/>
      <c r="AB1889" s="166"/>
      <c r="AC1889" s="166"/>
      <c r="AD1889" s="166"/>
      <c r="AE1889" s="166"/>
      <c r="AF1889" s="166"/>
      <c r="AG1889" s="166"/>
      <c r="AH1889" s="166"/>
      <c r="AI1889" s="166"/>
    </row>
    <row r="1890" spans="7:35" x14ac:dyDescent="0.25">
      <c r="G1890" s="165"/>
      <c r="H1890" s="166"/>
      <c r="I1890" s="167"/>
      <c r="J1890" s="167"/>
      <c r="K1890" s="166"/>
      <c r="L1890" s="166"/>
      <c r="M1890" s="166"/>
      <c r="N1890" s="166"/>
      <c r="O1890" s="166"/>
      <c r="P1890" s="166"/>
      <c r="Q1890" s="166"/>
      <c r="R1890" s="166"/>
      <c r="S1890" s="166"/>
      <c r="T1890" s="166"/>
      <c r="U1890" s="166"/>
      <c r="V1890" s="166"/>
      <c r="W1890" s="166"/>
      <c r="X1890" s="166"/>
      <c r="Y1890" s="166"/>
      <c r="Z1890" s="166"/>
      <c r="AA1890" s="166"/>
      <c r="AB1890" s="166"/>
      <c r="AC1890" s="166"/>
      <c r="AD1890" s="166"/>
      <c r="AE1890" s="166"/>
      <c r="AF1890" s="166"/>
      <c r="AG1890" s="166"/>
      <c r="AH1890" s="166"/>
      <c r="AI1890" s="166"/>
    </row>
    <row r="1891" spans="7:35" x14ac:dyDescent="0.25">
      <c r="G1891" s="165"/>
      <c r="H1891" s="166"/>
      <c r="I1891" s="167"/>
      <c r="J1891" s="167"/>
      <c r="K1891" s="166"/>
      <c r="L1891" s="166"/>
      <c r="M1891" s="166"/>
      <c r="N1891" s="166"/>
      <c r="O1891" s="166"/>
      <c r="P1891" s="166"/>
      <c r="Q1891" s="166"/>
      <c r="R1891" s="166"/>
      <c r="S1891" s="166"/>
      <c r="T1891" s="166"/>
      <c r="U1891" s="166"/>
      <c r="V1891" s="166"/>
      <c r="W1891" s="166"/>
      <c r="X1891" s="166"/>
      <c r="Y1891" s="166"/>
      <c r="Z1891" s="166"/>
      <c r="AA1891" s="166"/>
      <c r="AB1891" s="166"/>
      <c r="AC1891" s="166"/>
      <c r="AD1891" s="166"/>
      <c r="AE1891" s="166"/>
      <c r="AF1891" s="166"/>
      <c r="AG1891" s="166"/>
      <c r="AH1891" s="166"/>
      <c r="AI1891" s="166"/>
    </row>
    <row r="1892" spans="7:35" x14ac:dyDescent="0.25">
      <c r="G1892" s="165"/>
      <c r="H1892" s="166"/>
      <c r="I1892" s="167"/>
      <c r="J1892" s="167"/>
      <c r="K1892" s="166"/>
      <c r="L1892" s="166"/>
      <c r="M1892" s="166"/>
      <c r="N1892" s="166"/>
      <c r="O1892" s="166"/>
      <c r="P1892" s="166"/>
      <c r="Q1892" s="166"/>
      <c r="R1892" s="166"/>
      <c r="S1892" s="166"/>
      <c r="T1892" s="166"/>
      <c r="U1892" s="166"/>
      <c r="V1892" s="166"/>
      <c r="W1892" s="166"/>
      <c r="X1892" s="166"/>
      <c r="Y1892" s="166"/>
      <c r="Z1892" s="166"/>
      <c r="AA1892" s="166"/>
      <c r="AB1892" s="166"/>
      <c r="AC1892" s="166"/>
      <c r="AD1892" s="166"/>
      <c r="AE1892" s="166"/>
      <c r="AF1892" s="166"/>
      <c r="AG1892" s="166"/>
      <c r="AH1892" s="166"/>
      <c r="AI1892" s="166"/>
    </row>
    <row r="1893" spans="7:35" x14ac:dyDescent="0.25">
      <c r="G1893" s="165"/>
      <c r="H1893" s="166"/>
      <c r="I1893" s="167"/>
      <c r="J1893" s="167"/>
      <c r="K1893" s="166"/>
      <c r="L1893" s="166"/>
      <c r="M1893" s="166"/>
      <c r="N1893" s="166"/>
      <c r="O1893" s="166"/>
      <c r="P1893" s="166"/>
      <c r="Q1893" s="166"/>
      <c r="R1893" s="166"/>
      <c r="S1893" s="166"/>
      <c r="T1893" s="166"/>
      <c r="U1893" s="166"/>
      <c r="V1893" s="166"/>
      <c r="W1893" s="166"/>
      <c r="X1893" s="166"/>
      <c r="Y1893" s="166"/>
      <c r="Z1893" s="166"/>
      <c r="AA1893" s="166"/>
      <c r="AB1893" s="166"/>
      <c r="AC1893" s="166"/>
      <c r="AD1893" s="166"/>
      <c r="AE1893" s="166"/>
      <c r="AF1893" s="166"/>
      <c r="AG1893" s="166"/>
      <c r="AH1893" s="166"/>
      <c r="AI1893" s="166"/>
    </row>
    <row r="1894" spans="7:35" x14ac:dyDescent="0.25">
      <c r="G1894" s="165"/>
      <c r="H1894" s="166"/>
      <c r="I1894" s="167"/>
      <c r="J1894" s="167"/>
      <c r="K1894" s="166"/>
      <c r="L1894" s="166"/>
      <c r="M1894" s="166"/>
      <c r="N1894" s="166"/>
      <c r="O1894" s="166"/>
      <c r="P1894" s="166"/>
      <c r="Q1894" s="166"/>
      <c r="R1894" s="166"/>
      <c r="S1894" s="166"/>
      <c r="T1894" s="166"/>
      <c r="U1894" s="166"/>
      <c r="V1894" s="166"/>
      <c r="W1894" s="166"/>
      <c r="X1894" s="166"/>
      <c r="Y1894" s="166"/>
      <c r="Z1894" s="166"/>
      <c r="AA1894" s="166"/>
      <c r="AB1894" s="166"/>
      <c r="AC1894" s="166"/>
      <c r="AD1894" s="166"/>
      <c r="AE1894" s="166"/>
      <c r="AF1894" s="166"/>
      <c r="AG1894" s="166"/>
      <c r="AH1894" s="166"/>
      <c r="AI1894" s="166"/>
    </row>
    <row r="1895" spans="7:35" x14ac:dyDescent="0.25">
      <c r="G1895" s="165"/>
      <c r="H1895" s="166"/>
      <c r="I1895" s="167"/>
      <c r="J1895" s="167"/>
      <c r="K1895" s="166"/>
      <c r="L1895" s="166"/>
      <c r="M1895" s="166"/>
      <c r="N1895" s="166"/>
      <c r="O1895" s="166"/>
      <c r="P1895" s="166"/>
      <c r="Q1895" s="166"/>
      <c r="R1895" s="166"/>
      <c r="S1895" s="166"/>
      <c r="T1895" s="166"/>
      <c r="U1895" s="166"/>
      <c r="V1895" s="166"/>
      <c r="W1895" s="166"/>
      <c r="X1895" s="166"/>
      <c r="Y1895" s="166"/>
      <c r="Z1895" s="166"/>
      <c r="AA1895" s="166"/>
      <c r="AB1895" s="166"/>
      <c r="AC1895" s="166"/>
      <c r="AD1895" s="166"/>
      <c r="AE1895" s="166"/>
      <c r="AF1895" s="166"/>
      <c r="AG1895" s="166"/>
      <c r="AH1895" s="166"/>
      <c r="AI1895" s="166"/>
    </row>
    <row r="1896" spans="7:35" x14ac:dyDescent="0.25">
      <c r="G1896" s="165"/>
      <c r="H1896" s="166"/>
      <c r="I1896" s="167"/>
      <c r="J1896" s="167"/>
      <c r="K1896" s="166"/>
      <c r="L1896" s="166"/>
      <c r="M1896" s="166"/>
      <c r="N1896" s="166"/>
      <c r="O1896" s="166"/>
      <c r="P1896" s="166"/>
      <c r="Q1896" s="166"/>
      <c r="R1896" s="166"/>
      <c r="S1896" s="166"/>
      <c r="T1896" s="166"/>
      <c r="U1896" s="166"/>
      <c r="V1896" s="166"/>
      <c r="W1896" s="166"/>
      <c r="X1896" s="166"/>
      <c r="Y1896" s="166"/>
      <c r="Z1896" s="166"/>
      <c r="AA1896" s="166"/>
      <c r="AB1896" s="166"/>
      <c r="AC1896" s="166"/>
      <c r="AD1896" s="166"/>
      <c r="AE1896" s="166"/>
      <c r="AF1896" s="166"/>
      <c r="AG1896" s="166"/>
      <c r="AH1896" s="166"/>
      <c r="AI1896" s="166"/>
    </row>
    <row r="1897" spans="7:35" x14ac:dyDescent="0.25">
      <c r="G1897" s="165"/>
      <c r="H1897" s="166"/>
      <c r="I1897" s="167"/>
      <c r="J1897" s="167"/>
      <c r="K1897" s="166"/>
      <c r="L1897" s="166"/>
      <c r="M1897" s="166"/>
      <c r="N1897" s="166"/>
      <c r="O1897" s="166"/>
      <c r="P1897" s="166"/>
      <c r="Q1897" s="166"/>
      <c r="R1897" s="166"/>
      <c r="S1897" s="166"/>
      <c r="T1897" s="166"/>
      <c r="U1897" s="166"/>
      <c r="V1897" s="166"/>
      <c r="W1897" s="166"/>
      <c r="X1897" s="166"/>
      <c r="Y1897" s="166"/>
      <c r="Z1897" s="166"/>
      <c r="AA1897" s="166"/>
      <c r="AB1897" s="166"/>
      <c r="AC1897" s="166"/>
      <c r="AD1897" s="166"/>
      <c r="AE1897" s="166"/>
      <c r="AF1897" s="166"/>
      <c r="AG1897" s="166"/>
      <c r="AH1897" s="166"/>
      <c r="AI1897" s="166"/>
    </row>
    <row r="1898" spans="7:35" x14ac:dyDescent="0.25">
      <c r="G1898" s="165"/>
      <c r="H1898" s="166"/>
      <c r="I1898" s="167"/>
      <c r="J1898" s="167"/>
      <c r="K1898" s="166"/>
      <c r="L1898" s="166"/>
      <c r="M1898" s="166"/>
      <c r="N1898" s="166"/>
      <c r="O1898" s="166"/>
      <c r="P1898" s="166"/>
      <c r="Q1898" s="166"/>
      <c r="R1898" s="166"/>
      <c r="S1898" s="166"/>
      <c r="T1898" s="166"/>
      <c r="U1898" s="166"/>
      <c r="V1898" s="166"/>
      <c r="W1898" s="166"/>
      <c r="X1898" s="166"/>
      <c r="Y1898" s="166"/>
      <c r="Z1898" s="166"/>
      <c r="AA1898" s="166"/>
      <c r="AB1898" s="166"/>
      <c r="AC1898" s="166"/>
      <c r="AD1898" s="166"/>
      <c r="AE1898" s="166"/>
      <c r="AF1898" s="166"/>
      <c r="AG1898" s="166"/>
      <c r="AH1898" s="166"/>
      <c r="AI1898" s="166"/>
    </row>
    <row r="1899" spans="7:35" x14ac:dyDescent="0.25">
      <c r="G1899" s="165"/>
      <c r="H1899" s="166"/>
      <c r="I1899" s="167"/>
      <c r="J1899" s="167"/>
      <c r="K1899" s="166"/>
      <c r="L1899" s="166"/>
      <c r="M1899" s="166"/>
      <c r="N1899" s="166"/>
      <c r="O1899" s="166"/>
      <c r="P1899" s="166"/>
      <c r="Q1899" s="166"/>
      <c r="R1899" s="166"/>
      <c r="S1899" s="166"/>
      <c r="T1899" s="166"/>
      <c r="U1899" s="166"/>
      <c r="V1899" s="166"/>
      <c r="W1899" s="166"/>
      <c r="X1899" s="166"/>
      <c r="Y1899" s="166"/>
      <c r="Z1899" s="166"/>
      <c r="AA1899" s="166"/>
      <c r="AB1899" s="166"/>
      <c r="AC1899" s="166"/>
      <c r="AD1899" s="166"/>
      <c r="AE1899" s="166"/>
      <c r="AF1899" s="166"/>
      <c r="AG1899" s="166"/>
      <c r="AH1899" s="166"/>
      <c r="AI1899" s="166"/>
    </row>
    <row r="1900" spans="7:35" x14ac:dyDescent="0.25">
      <c r="G1900" s="165"/>
      <c r="H1900" s="166"/>
      <c r="I1900" s="167"/>
      <c r="J1900" s="167"/>
      <c r="K1900" s="166"/>
      <c r="L1900" s="166"/>
      <c r="M1900" s="166"/>
      <c r="N1900" s="166"/>
      <c r="O1900" s="166"/>
      <c r="P1900" s="166"/>
      <c r="Q1900" s="166"/>
      <c r="R1900" s="166"/>
      <c r="S1900" s="166"/>
      <c r="T1900" s="166"/>
      <c r="U1900" s="166"/>
      <c r="V1900" s="166"/>
      <c r="W1900" s="166"/>
      <c r="X1900" s="166"/>
      <c r="Y1900" s="166"/>
      <c r="Z1900" s="166"/>
      <c r="AA1900" s="166"/>
      <c r="AB1900" s="166"/>
      <c r="AC1900" s="166"/>
      <c r="AD1900" s="166"/>
      <c r="AE1900" s="166"/>
      <c r="AF1900" s="166"/>
      <c r="AG1900" s="166"/>
      <c r="AH1900" s="166"/>
      <c r="AI1900" s="166"/>
    </row>
    <row r="1901" spans="7:35" x14ac:dyDescent="0.25">
      <c r="G1901" s="165"/>
      <c r="H1901" s="166"/>
      <c r="I1901" s="167"/>
      <c r="J1901" s="167"/>
      <c r="K1901" s="166"/>
      <c r="L1901" s="166"/>
      <c r="M1901" s="166"/>
      <c r="N1901" s="166"/>
      <c r="O1901" s="166"/>
      <c r="P1901" s="166"/>
      <c r="Q1901" s="166"/>
      <c r="R1901" s="166"/>
      <c r="S1901" s="166"/>
      <c r="T1901" s="166"/>
      <c r="U1901" s="166"/>
      <c r="V1901" s="166"/>
      <c r="W1901" s="166"/>
      <c r="X1901" s="166"/>
      <c r="Y1901" s="166"/>
      <c r="Z1901" s="166"/>
      <c r="AA1901" s="166"/>
      <c r="AB1901" s="166"/>
      <c r="AC1901" s="166"/>
      <c r="AD1901" s="166"/>
      <c r="AE1901" s="166"/>
      <c r="AF1901" s="166"/>
      <c r="AG1901" s="166"/>
      <c r="AH1901" s="166"/>
      <c r="AI1901" s="166"/>
    </row>
    <row r="1902" spans="7:35" x14ac:dyDescent="0.25">
      <c r="G1902" s="165"/>
      <c r="H1902" s="166"/>
      <c r="I1902" s="167"/>
      <c r="J1902" s="167"/>
      <c r="K1902" s="166"/>
      <c r="L1902" s="166"/>
      <c r="M1902" s="166"/>
      <c r="N1902" s="166"/>
      <c r="O1902" s="166"/>
      <c r="P1902" s="166"/>
      <c r="Q1902" s="166"/>
      <c r="R1902" s="166"/>
      <c r="S1902" s="166"/>
      <c r="T1902" s="166"/>
      <c r="U1902" s="166"/>
      <c r="V1902" s="166"/>
      <c r="W1902" s="166"/>
      <c r="X1902" s="166"/>
      <c r="Y1902" s="166"/>
      <c r="Z1902" s="166"/>
      <c r="AA1902" s="166"/>
      <c r="AB1902" s="166"/>
      <c r="AC1902" s="166"/>
      <c r="AD1902" s="166"/>
      <c r="AE1902" s="166"/>
      <c r="AF1902" s="166"/>
      <c r="AG1902" s="166"/>
      <c r="AH1902" s="166"/>
      <c r="AI1902" s="166"/>
    </row>
    <row r="1903" spans="7:35" x14ac:dyDescent="0.25">
      <c r="G1903" s="165"/>
      <c r="H1903" s="166"/>
      <c r="I1903" s="167"/>
      <c r="J1903" s="167"/>
      <c r="K1903" s="166"/>
      <c r="L1903" s="166"/>
      <c r="M1903" s="166"/>
      <c r="N1903" s="166"/>
      <c r="O1903" s="166"/>
      <c r="P1903" s="166"/>
      <c r="Q1903" s="166"/>
      <c r="R1903" s="166"/>
      <c r="S1903" s="166"/>
      <c r="T1903" s="166"/>
      <c r="U1903" s="166"/>
      <c r="V1903" s="166"/>
      <c r="W1903" s="166"/>
      <c r="X1903" s="166"/>
      <c r="Y1903" s="166"/>
      <c r="Z1903" s="166"/>
      <c r="AA1903" s="166"/>
      <c r="AB1903" s="166"/>
      <c r="AC1903" s="166"/>
      <c r="AD1903" s="166"/>
      <c r="AE1903" s="166"/>
      <c r="AF1903" s="166"/>
      <c r="AG1903" s="166"/>
      <c r="AH1903" s="166"/>
      <c r="AI1903" s="166"/>
    </row>
    <row r="1904" spans="7:35" x14ac:dyDescent="0.25">
      <c r="G1904" s="165"/>
      <c r="H1904" s="166"/>
      <c r="I1904" s="167"/>
      <c r="J1904" s="167"/>
      <c r="K1904" s="166"/>
      <c r="L1904" s="166"/>
      <c r="M1904" s="166"/>
      <c r="N1904" s="166"/>
      <c r="O1904" s="166"/>
      <c r="P1904" s="166"/>
      <c r="Q1904" s="166"/>
      <c r="R1904" s="166"/>
      <c r="S1904" s="166"/>
      <c r="T1904" s="166"/>
      <c r="U1904" s="166"/>
      <c r="V1904" s="166"/>
      <c r="W1904" s="166"/>
      <c r="X1904" s="166"/>
      <c r="Y1904" s="166"/>
      <c r="Z1904" s="166"/>
      <c r="AA1904" s="166"/>
      <c r="AB1904" s="166"/>
      <c r="AC1904" s="166"/>
      <c r="AD1904" s="166"/>
      <c r="AE1904" s="166"/>
      <c r="AF1904" s="166"/>
      <c r="AG1904" s="166"/>
      <c r="AH1904" s="166"/>
      <c r="AI1904" s="166"/>
    </row>
    <row r="1905" spans="7:35" x14ac:dyDescent="0.25">
      <c r="G1905" s="165"/>
      <c r="H1905" s="166"/>
      <c r="I1905" s="167"/>
      <c r="J1905" s="167"/>
      <c r="K1905" s="166"/>
      <c r="L1905" s="166"/>
      <c r="M1905" s="166"/>
      <c r="N1905" s="166"/>
      <c r="O1905" s="166"/>
      <c r="P1905" s="166"/>
      <c r="Q1905" s="166"/>
      <c r="R1905" s="166"/>
      <c r="S1905" s="166"/>
      <c r="T1905" s="166"/>
      <c r="U1905" s="166"/>
      <c r="V1905" s="166"/>
      <c r="W1905" s="166"/>
      <c r="X1905" s="166"/>
      <c r="Y1905" s="166"/>
      <c r="Z1905" s="166"/>
      <c r="AA1905" s="166"/>
      <c r="AB1905" s="166"/>
      <c r="AC1905" s="166"/>
      <c r="AD1905" s="166"/>
      <c r="AE1905" s="166"/>
      <c r="AF1905" s="166"/>
      <c r="AG1905" s="166"/>
      <c r="AH1905" s="166"/>
      <c r="AI1905" s="166"/>
    </row>
    <row r="1906" spans="7:35" x14ac:dyDescent="0.25">
      <c r="G1906" s="165"/>
      <c r="H1906" s="166"/>
      <c r="I1906" s="167"/>
      <c r="J1906" s="167"/>
      <c r="K1906" s="166"/>
      <c r="L1906" s="166"/>
      <c r="M1906" s="166"/>
      <c r="N1906" s="166"/>
      <c r="O1906" s="166"/>
      <c r="P1906" s="166"/>
      <c r="Q1906" s="166"/>
      <c r="R1906" s="166"/>
      <c r="S1906" s="166"/>
      <c r="T1906" s="166"/>
      <c r="U1906" s="166"/>
      <c r="V1906" s="166"/>
      <c r="W1906" s="166"/>
      <c r="X1906" s="166"/>
      <c r="Y1906" s="166"/>
      <c r="Z1906" s="166"/>
      <c r="AA1906" s="166"/>
      <c r="AB1906" s="166"/>
      <c r="AC1906" s="166"/>
      <c r="AD1906" s="166"/>
      <c r="AE1906" s="166"/>
      <c r="AF1906" s="166"/>
      <c r="AG1906" s="166"/>
      <c r="AH1906" s="166"/>
      <c r="AI1906" s="166"/>
    </row>
    <row r="1907" spans="7:35" x14ac:dyDescent="0.25">
      <c r="G1907" s="165"/>
      <c r="H1907" s="166"/>
      <c r="I1907" s="167"/>
      <c r="J1907" s="167"/>
      <c r="K1907" s="166"/>
      <c r="L1907" s="166"/>
      <c r="M1907" s="166"/>
      <c r="N1907" s="166"/>
      <c r="O1907" s="166"/>
      <c r="P1907" s="166"/>
      <c r="Q1907" s="166"/>
      <c r="R1907" s="166"/>
      <c r="S1907" s="166"/>
      <c r="T1907" s="166"/>
      <c r="U1907" s="166"/>
      <c r="V1907" s="166"/>
      <c r="W1907" s="166"/>
      <c r="X1907" s="166"/>
      <c r="Y1907" s="166"/>
      <c r="Z1907" s="166"/>
      <c r="AA1907" s="166"/>
      <c r="AB1907" s="166"/>
      <c r="AC1907" s="166"/>
      <c r="AD1907" s="166"/>
      <c r="AE1907" s="166"/>
      <c r="AF1907" s="166"/>
      <c r="AG1907" s="166"/>
      <c r="AH1907" s="166"/>
      <c r="AI1907" s="166"/>
    </row>
    <row r="1908" spans="7:35" x14ac:dyDescent="0.25">
      <c r="G1908" s="165"/>
      <c r="H1908" s="166"/>
      <c r="I1908" s="167"/>
      <c r="J1908" s="167"/>
      <c r="K1908" s="166"/>
      <c r="L1908" s="166"/>
      <c r="M1908" s="166"/>
      <c r="N1908" s="166"/>
      <c r="O1908" s="166"/>
      <c r="P1908" s="166"/>
      <c r="Q1908" s="166"/>
      <c r="R1908" s="166"/>
      <c r="S1908" s="166"/>
      <c r="T1908" s="166"/>
      <c r="U1908" s="166"/>
      <c r="V1908" s="166"/>
      <c r="W1908" s="166"/>
      <c r="X1908" s="166"/>
      <c r="Y1908" s="166"/>
      <c r="Z1908" s="166"/>
      <c r="AA1908" s="166"/>
      <c r="AB1908" s="166"/>
      <c r="AC1908" s="166"/>
      <c r="AD1908" s="166"/>
      <c r="AE1908" s="166"/>
      <c r="AF1908" s="166"/>
      <c r="AG1908" s="166"/>
      <c r="AH1908" s="166"/>
      <c r="AI1908" s="166"/>
    </row>
    <row r="1909" spans="7:35" x14ac:dyDescent="0.25">
      <c r="G1909" s="165"/>
      <c r="H1909" s="166"/>
      <c r="I1909" s="167"/>
      <c r="J1909" s="167"/>
      <c r="K1909" s="166"/>
      <c r="L1909" s="166"/>
      <c r="M1909" s="166"/>
      <c r="N1909" s="166"/>
      <c r="O1909" s="166"/>
      <c r="P1909" s="166"/>
      <c r="Q1909" s="166"/>
      <c r="R1909" s="166"/>
      <c r="S1909" s="166"/>
      <c r="T1909" s="166"/>
      <c r="U1909" s="166"/>
      <c r="V1909" s="166"/>
      <c r="W1909" s="166"/>
      <c r="X1909" s="166"/>
      <c r="Y1909" s="166"/>
      <c r="Z1909" s="166"/>
      <c r="AA1909" s="166"/>
      <c r="AB1909" s="166"/>
      <c r="AC1909" s="166"/>
      <c r="AD1909" s="166"/>
      <c r="AE1909" s="166"/>
      <c r="AF1909" s="166"/>
      <c r="AG1909" s="166"/>
      <c r="AH1909" s="166"/>
      <c r="AI1909" s="166"/>
    </row>
    <row r="1910" spans="7:35" x14ac:dyDescent="0.25">
      <c r="G1910" s="165"/>
      <c r="H1910" s="166"/>
      <c r="I1910" s="167"/>
      <c r="J1910" s="167"/>
      <c r="K1910" s="166"/>
      <c r="L1910" s="166"/>
      <c r="M1910" s="166"/>
      <c r="N1910" s="166"/>
      <c r="O1910" s="166"/>
      <c r="P1910" s="166"/>
      <c r="Q1910" s="166"/>
      <c r="R1910" s="166"/>
      <c r="S1910" s="166"/>
      <c r="T1910" s="166"/>
      <c r="U1910" s="166"/>
      <c r="V1910" s="166"/>
      <c r="W1910" s="166"/>
      <c r="X1910" s="166"/>
      <c r="Y1910" s="166"/>
      <c r="Z1910" s="166"/>
      <c r="AA1910" s="166"/>
      <c r="AB1910" s="166"/>
      <c r="AC1910" s="166"/>
      <c r="AD1910" s="166"/>
      <c r="AE1910" s="166"/>
      <c r="AF1910" s="166"/>
      <c r="AG1910" s="166"/>
      <c r="AH1910" s="166"/>
      <c r="AI1910" s="166"/>
    </row>
    <row r="1911" spans="7:35" x14ac:dyDescent="0.25">
      <c r="G1911" s="165"/>
      <c r="H1911" s="166"/>
      <c r="I1911" s="167"/>
      <c r="J1911" s="167"/>
      <c r="K1911" s="166"/>
      <c r="L1911" s="166"/>
      <c r="M1911" s="166"/>
      <c r="N1911" s="166"/>
      <c r="O1911" s="166"/>
      <c r="P1911" s="166"/>
      <c r="Q1911" s="166"/>
      <c r="R1911" s="166"/>
      <c r="S1911" s="166"/>
      <c r="T1911" s="166"/>
      <c r="U1911" s="166"/>
      <c r="V1911" s="166"/>
      <c r="W1911" s="166"/>
      <c r="X1911" s="166"/>
      <c r="Y1911" s="166"/>
      <c r="Z1911" s="166"/>
      <c r="AA1911" s="166"/>
      <c r="AB1911" s="166"/>
      <c r="AC1911" s="166"/>
      <c r="AD1911" s="166"/>
      <c r="AE1911" s="166"/>
      <c r="AF1911" s="166"/>
      <c r="AG1911" s="166"/>
      <c r="AH1911" s="166"/>
      <c r="AI1911" s="166"/>
    </row>
    <row r="1912" spans="7:35" x14ac:dyDescent="0.25">
      <c r="G1912" s="165"/>
      <c r="H1912" s="166"/>
      <c r="I1912" s="167"/>
      <c r="J1912" s="167"/>
      <c r="K1912" s="166"/>
      <c r="L1912" s="166"/>
      <c r="M1912" s="166"/>
      <c r="N1912" s="166"/>
      <c r="O1912" s="166"/>
      <c r="P1912" s="166"/>
      <c r="Q1912" s="166"/>
      <c r="R1912" s="166"/>
      <c r="S1912" s="166"/>
      <c r="T1912" s="166"/>
      <c r="U1912" s="166"/>
      <c r="V1912" s="166"/>
      <c r="W1912" s="166"/>
      <c r="X1912" s="166"/>
      <c r="Y1912" s="166"/>
      <c r="Z1912" s="166"/>
      <c r="AA1912" s="166"/>
      <c r="AB1912" s="166"/>
      <c r="AC1912" s="166"/>
      <c r="AD1912" s="166"/>
      <c r="AE1912" s="166"/>
      <c r="AF1912" s="166"/>
      <c r="AG1912" s="166"/>
      <c r="AH1912" s="166"/>
      <c r="AI1912" s="166"/>
    </row>
    <row r="1913" spans="7:35" x14ac:dyDescent="0.25">
      <c r="G1913" s="165"/>
      <c r="H1913" s="166"/>
      <c r="I1913" s="167"/>
      <c r="J1913" s="167"/>
      <c r="K1913" s="166"/>
      <c r="L1913" s="166"/>
      <c r="M1913" s="166"/>
      <c r="N1913" s="166"/>
      <c r="O1913" s="166"/>
      <c r="P1913" s="166"/>
      <c r="Q1913" s="166"/>
      <c r="R1913" s="166"/>
      <c r="S1913" s="166"/>
      <c r="T1913" s="166"/>
      <c r="U1913" s="166"/>
      <c r="V1913" s="166"/>
      <c r="W1913" s="166"/>
      <c r="X1913" s="166"/>
      <c r="Y1913" s="166"/>
      <c r="Z1913" s="166"/>
      <c r="AA1913" s="166"/>
      <c r="AB1913" s="166"/>
      <c r="AC1913" s="166"/>
      <c r="AD1913" s="166"/>
      <c r="AE1913" s="166"/>
      <c r="AF1913" s="166"/>
      <c r="AG1913" s="166"/>
      <c r="AH1913" s="166"/>
      <c r="AI1913" s="166"/>
    </row>
    <row r="1914" spans="7:35" x14ac:dyDescent="0.25">
      <c r="G1914" s="165"/>
      <c r="H1914" s="166"/>
      <c r="I1914" s="167"/>
      <c r="J1914" s="167"/>
      <c r="K1914" s="166"/>
      <c r="L1914" s="166"/>
      <c r="M1914" s="166"/>
      <c r="N1914" s="166"/>
      <c r="O1914" s="166"/>
      <c r="P1914" s="166"/>
      <c r="Q1914" s="166"/>
      <c r="R1914" s="166"/>
      <c r="S1914" s="166"/>
      <c r="T1914" s="166"/>
      <c r="U1914" s="166"/>
      <c r="V1914" s="166"/>
      <c r="W1914" s="166"/>
      <c r="X1914" s="166"/>
      <c r="Y1914" s="166"/>
      <c r="Z1914" s="166"/>
      <c r="AA1914" s="166"/>
      <c r="AB1914" s="166"/>
      <c r="AC1914" s="166"/>
      <c r="AD1914" s="166"/>
      <c r="AE1914" s="166"/>
      <c r="AF1914" s="166"/>
      <c r="AG1914" s="166"/>
      <c r="AH1914" s="166"/>
      <c r="AI1914" s="166"/>
    </row>
    <row r="1915" spans="7:35" x14ac:dyDescent="0.25">
      <c r="G1915" s="165"/>
      <c r="H1915" s="166"/>
      <c r="I1915" s="167"/>
      <c r="J1915" s="167"/>
      <c r="K1915" s="166"/>
      <c r="L1915" s="166"/>
      <c r="M1915" s="166"/>
      <c r="N1915" s="166"/>
      <c r="O1915" s="166"/>
      <c r="P1915" s="166"/>
      <c r="Q1915" s="166"/>
      <c r="R1915" s="166"/>
      <c r="S1915" s="166"/>
      <c r="T1915" s="166"/>
      <c r="U1915" s="166"/>
      <c r="V1915" s="166"/>
      <c r="W1915" s="166"/>
      <c r="X1915" s="166"/>
      <c r="Y1915" s="166"/>
      <c r="Z1915" s="166"/>
      <c r="AA1915" s="166"/>
      <c r="AB1915" s="166"/>
      <c r="AC1915" s="166"/>
      <c r="AD1915" s="166"/>
      <c r="AE1915" s="166"/>
      <c r="AF1915" s="166"/>
      <c r="AG1915" s="166"/>
      <c r="AH1915" s="166"/>
      <c r="AI1915" s="166"/>
    </row>
    <row r="1916" spans="7:35" x14ac:dyDescent="0.25">
      <c r="G1916" s="165"/>
      <c r="H1916" s="166"/>
      <c r="I1916" s="167"/>
      <c r="J1916" s="167"/>
      <c r="K1916" s="166"/>
      <c r="L1916" s="166"/>
      <c r="M1916" s="166"/>
      <c r="N1916" s="166"/>
      <c r="O1916" s="166"/>
      <c r="P1916" s="166"/>
      <c r="Q1916" s="166"/>
      <c r="R1916" s="166"/>
      <c r="S1916" s="166"/>
      <c r="T1916" s="166"/>
      <c r="U1916" s="166"/>
      <c r="V1916" s="166"/>
      <c r="W1916" s="166"/>
      <c r="X1916" s="166"/>
      <c r="Y1916" s="166"/>
      <c r="Z1916" s="166"/>
      <c r="AA1916" s="166"/>
      <c r="AB1916" s="166"/>
      <c r="AC1916" s="166"/>
      <c r="AD1916" s="166"/>
      <c r="AE1916" s="166"/>
      <c r="AF1916" s="166"/>
      <c r="AG1916" s="166"/>
      <c r="AH1916" s="166"/>
      <c r="AI1916" s="166"/>
    </row>
    <row r="1917" spans="7:35" x14ac:dyDescent="0.25">
      <c r="G1917" s="165"/>
      <c r="H1917" s="166"/>
      <c r="I1917" s="167"/>
      <c r="J1917" s="167"/>
      <c r="K1917" s="166"/>
      <c r="L1917" s="166"/>
      <c r="M1917" s="166"/>
      <c r="N1917" s="166"/>
      <c r="O1917" s="166"/>
      <c r="P1917" s="166"/>
      <c r="Q1917" s="166"/>
      <c r="R1917" s="166"/>
      <c r="S1917" s="166"/>
      <c r="T1917" s="166"/>
      <c r="U1917" s="166"/>
      <c r="V1917" s="166"/>
      <c r="W1917" s="166"/>
      <c r="X1917" s="166"/>
      <c r="Y1917" s="166"/>
      <c r="Z1917" s="166"/>
      <c r="AA1917" s="166"/>
      <c r="AB1917" s="166"/>
      <c r="AC1917" s="166"/>
      <c r="AD1917" s="166"/>
      <c r="AE1917" s="166"/>
      <c r="AF1917" s="166"/>
      <c r="AG1917" s="166"/>
      <c r="AH1917" s="166"/>
      <c r="AI1917" s="166"/>
    </row>
    <row r="1918" spans="7:35" x14ac:dyDescent="0.25">
      <c r="G1918" s="165"/>
      <c r="H1918" s="166"/>
      <c r="I1918" s="167"/>
      <c r="J1918" s="167"/>
      <c r="K1918" s="166"/>
      <c r="L1918" s="166"/>
      <c r="M1918" s="166"/>
      <c r="N1918" s="166"/>
      <c r="O1918" s="166"/>
      <c r="P1918" s="166"/>
      <c r="Q1918" s="166"/>
      <c r="R1918" s="166"/>
      <c r="S1918" s="166"/>
      <c r="T1918" s="166"/>
      <c r="U1918" s="166"/>
      <c r="V1918" s="166"/>
      <c r="W1918" s="166"/>
      <c r="X1918" s="166"/>
      <c r="Y1918" s="166"/>
      <c r="Z1918" s="166"/>
      <c r="AA1918" s="166"/>
      <c r="AB1918" s="166"/>
      <c r="AC1918" s="166"/>
      <c r="AD1918" s="166"/>
      <c r="AE1918" s="166"/>
      <c r="AF1918" s="166"/>
      <c r="AG1918" s="166"/>
      <c r="AH1918" s="166"/>
      <c r="AI1918" s="166"/>
    </row>
    <row r="1919" spans="7:35" x14ac:dyDescent="0.25">
      <c r="G1919" s="165"/>
      <c r="H1919" s="166"/>
      <c r="I1919" s="167"/>
      <c r="J1919" s="167"/>
      <c r="K1919" s="166"/>
      <c r="L1919" s="166"/>
      <c r="M1919" s="166"/>
      <c r="N1919" s="166"/>
      <c r="O1919" s="166"/>
      <c r="P1919" s="166"/>
      <c r="Q1919" s="166"/>
      <c r="R1919" s="166"/>
      <c r="S1919" s="166"/>
      <c r="T1919" s="166"/>
      <c r="U1919" s="166"/>
      <c r="V1919" s="166"/>
      <c r="W1919" s="166"/>
      <c r="X1919" s="166"/>
      <c r="Y1919" s="166"/>
      <c r="Z1919" s="166"/>
      <c r="AA1919" s="166"/>
      <c r="AB1919" s="166"/>
      <c r="AC1919" s="166"/>
      <c r="AD1919" s="166"/>
      <c r="AE1919" s="166"/>
      <c r="AF1919" s="166"/>
      <c r="AG1919" s="166"/>
      <c r="AH1919" s="166"/>
      <c r="AI1919" s="166"/>
    </row>
    <row r="1920" spans="7:35" x14ac:dyDescent="0.25">
      <c r="G1920" s="165"/>
      <c r="H1920" s="166"/>
      <c r="I1920" s="167"/>
      <c r="J1920" s="167"/>
      <c r="K1920" s="166"/>
      <c r="L1920" s="166"/>
      <c r="M1920" s="166"/>
      <c r="N1920" s="166"/>
      <c r="O1920" s="166"/>
      <c r="P1920" s="166"/>
      <c r="Q1920" s="166"/>
      <c r="R1920" s="166"/>
      <c r="S1920" s="166"/>
      <c r="T1920" s="166"/>
      <c r="U1920" s="166"/>
      <c r="V1920" s="166"/>
      <c r="W1920" s="166"/>
      <c r="X1920" s="166"/>
      <c r="Y1920" s="166"/>
      <c r="Z1920" s="166"/>
      <c r="AA1920" s="166"/>
      <c r="AB1920" s="166"/>
      <c r="AC1920" s="166"/>
      <c r="AD1920" s="166"/>
      <c r="AE1920" s="166"/>
      <c r="AF1920" s="166"/>
      <c r="AG1920" s="166"/>
      <c r="AH1920" s="166"/>
      <c r="AI1920" s="166"/>
    </row>
    <row r="1921" spans="7:35" x14ac:dyDescent="0.25">
      <c r="G1921" s="165"/>
      <c r="H1921" s="166"/>
      <c r="I1921" s="167"/>
      <c r="J1921" s="167"/>
      <c r="K1921" s="166"/>
      <c r="L1921" s="166"/>
      <c r="M1921" s="166"/>
      <c r="N1921" s="166"/>
      <c r="O1921" s="166"/>
      <c r="P1921" s="166"/>
      <c r="Q1921" s="166"/>
      <c r="R1921" s="166"/>
      <c r="S1921" s="166"/>
      <c r="T1921" s="166"/>
      <c r="U1921" s="166"/>
      <c r="V1921" s="166"/>
      <c r="W1921" s="166"/>
      <c r="X1921" s="166"/>
      <c r="Y1921" s="166"/>
      <c r="Z1921" s="166"/>
      <c r="AA1921" s="166"/>
      <c r="AB1921" s="166"/>
      <c r="AC1921" s="166"/>
      <c r="AD1921" s="166"/>
      <c r="AE1921" s="166"/>
      <c r="AF1921" s="166"/>
      <c r="AG1921" s="166"/>
      <c r="AH1921" s="166"/>
      <c r="AI1921" s="166"/>
    </row>
    <row r="1922" spans="7:35" x14ac:dyDescent="0.25">
      <c r="G1922" s="165"/>
      <c r="H1922" s="166"/>
      <c r="I1922" s="167"/>
      <c r="J1922" s="167"/>
      <c r="K1922" s="166"/>
      <c r="L1922" s="166"/>
      <c r="M1922" s="166"/>
      <c r="N1922" s="166"/>
      <c r="O1922" s="166"/>
      <c r="P1922" s="166"/>
      <c r="Q1922" s="166"/>
      <c r="R1922" s="166"/>
      <c r="S1922" s="166"/>
      <c r="T1922" s="166"/>
      <c r="U1922" s="166"/>
      <c r="V1922" s="166"/>
      <c r="W1922" s="166"/>
      <c r="X1922" s="166"/>
      <c r="Y1922" s="166"/>
      <c r="Z1922" s="166"/>
      <c r="AA1922" s="166"/>
      <c r="AB1922" s="166"/>
      <c r="AC1922" s="166"/>
      <c r="AD1922" s="166"/>
      <c r="AE1922" s="166"/>
      <c r="AF1922" s="166"/>
      <c r="AG1922" s="166"/>
      <c r="AH1922" s="166"/>
      <c r="AI1922" s="166"/>
    </row>
    <row r="1923" spans="7:35" x14ac:dyDescent="0.25">
      <c r="G1923" s="165"/>
      <c r="H1923" s="166"/>
      <c r="I1923" s="167"/>
      <c r="J1923" s="167"/>
      <c r="K1923" s="166"/>
      <c r="L1923" s="166"/>
      <c r="M1923" s="166"/>
      <c r="N1923" s="166"/>
      <c r="O1923" s="166"/>
      <c r="P1923" s="166"/>
      <c r="Q1923" s="166"/>
      <c r="R1923" s="166"/>
      <c r="S1923" s="166"/>
      <c r="T1923" s="166"/>
      <c r="U1923" s="166"/>
      <c r="V1923" s="166"/>
      <c r="W1923" s="166"/>
      <c r="X1923" s="166"/>
      <c r="Y1923" s="166"/>
      <c r="Z1923" s="166"/>
      <c r="AA1923" s="166"/>
      <c r="AB1923" s="166"/>
      <c r="AC1923" s="166"/>
      <c r="AD1923" s="166"/>
      <c r="AE1923" s="166"/>
      <c r="AF1923" s="166"/>
      <c r="AG1923" s="166"/>
      <c r="AH1923" s="166"/>
      <c r="AI1923" s="166"/>
    </row>
    <row r="1924" spans="7:35" x14ac:dyDescent="0.25">
      <c r="G1924" s="165"/>
      <c r="H1924" s="166"/>
      <c r="I1924" s="167"/>
      <c r="J1924" s="167"/>
      <c r="K1924" s="166"/>
      <c r="L1924" s="166"/>
      <c r="M1924" s="166"/>
      <c r="N1924" s="166"/>
      <c r="O1924" s="166"/>
      <c r="P1924" s="166"/>
      <c r="Q1924" s="166"/>
      <c r="R1924" s="166"/>
      <c r="S1924" s="166"/>
      <c r="T1924" s="166"/>
      <c r="U1924" s="166"/>
      <c r="V1924" s="166"/>
      <c r="W1924" s="166"/>
      <c r="X1924" s="166"/>
      <c r="Y1924" s="166"/>
      <c r="Z1924" s="166"/>
      <c r="AA1924" s="166"/>
      <c r="AB1924" s="166"/>
      <c r="AC1924" s="166"/>
      <c r="AD1924" s="166"/>
      <c r="AE1924" s="166"/>
      <c r="AF1924" s="166"/>
      <c r="AG1924" s="166"/>
      <c r="AH1924" s="166"/>
      <c r="AI1924" s="166"/>
    </row>
    <row r="1925" spans="7:35" x14ac:dyDescent="0.25">
      <c r="G1925" s="165"/>
      <c r="H1925" s="166"/>
      <c r="I1925" s="167"/>
      <c r="J1925" s="167"/>
      <c r="K1925" s="166"/>
      <c r="L1925" s="166"/>
      <c r="M1925" s="166"/>
      <c r="N1925" s="166"/>
      <c r="O1925" s="166"/>
      <c r="P1925" s="166"/>
      <c r="Q1925" s="166"/>
      <c r="R1925" s="166"/>
      <c r="S1925" s="166"/>
      <c r="T1925" s="166"/>
      <c r="U1925" s="166"/>
      <c r="V1925" s="166"/>
      <c r="W1925" s="166"/>
      <c r="X1925" s="166"/>
      <c r="Y1925" s="166"/>
      <c r="Z1925" s="166"/>
      <c r="AA1925" s="166"/>
      <c r="AB1925" s="166"/>
      <c r="AC1925" s="166"/>
      <c r="AD1925" s="166"/>
      <c r="AE1925" s="166"/>
      <c r="AF1925" s="166"/>
      <c r="AG1925" s="166"/>
      <c r="AH1925" s="166"/>
      <c r="AI1925" s="166"/>
    </row>
    <row r="1926" spans="7:35" x14ac:dyDescent="0.25">
      <c r="G1926" s="165"/>
      <c r="H1926" s="166"/>
      <c r="I1926" s="167"/>
      <c r="J1926" s="167"/>
      <c r="K1926" s="166"/>
      <c r="L1926" s="166"/>
      <c r="M1926" s="166"/>
      <c r="N1926" s="166"/>
      <c r="O1926" s="166"/>
      <c r="P1926" s="166"/>
      <c r="Q1926" s="166"/>
      <c r="R1926" s="166"/>
      <c r="S1926" s="166"/>
      <c r="T1926" s="166"/>
      <c r="U1926" s="166"/>
      <c r="V1926" s="166"/>
      <c r="W1926" s="166"/>
      <c r="X1926" s="166"/>
      <c r="Y1926" s="166"/>
      <c r="Z1926" s="166"/>
      <c r="AA1926" s="166"/>
      <c r="AB1926" s="166"/>
      <c r="AC1926" s="166"/>
      <c r="AD1926" s="166"/>
      <c r="AE1926" s="166"/>
      <c r="AF1926" s="166"/>
      <c r="AG1926" s="166"/>
      <c r="AH1926" s="166"/>
      <c r="AI1926" s="166"/>
    </row>
    <row r="1927" spans="7:35" x14ac:dyDescent="0.25">
      <c r="G1927" s="165"/>
      <c r="H1927" s="166"/>
      <c r="I1927" s="167"/>
      <c r="J1927" s="167"/>
      <c r="K1927" s="166"/>
      <c r="L1927" s="166"/>
      <c r="M1927" s="166"/>
      <c r="N1927" s="166"/>
      <c r="O1927" s="166"/>
      <c r="P1927" s="166"/>
      <c r="Q1927" s="166"/>
      <c r="R1927" s="166"/>
      <c r="S1927" s="166"/>
      <c r="T1927" s="166"/>
      <c r="U1927" s="166"/>
      <c r="V1927" s="166"/>
      <c r="W1927" s="166"/>
      <c r="X1927" s="166"/>
      <c r="Y1927" s="166"/>
      <c r="Z1927" s="166"/>
      <c r="AA1927" s="166"/>
      <c r="AB1927" s="166"/>
      <c r="AC1927" s="166"/>
      <c r="AD1927" s="166"/>
      <c r="AE1927" s="166"/>
      <c r="AF1927" s="166"/>
      <c r="AG1927" s="166"/>
      <c r="AH1927" s="166"/>
      <c r="AI1927" s="166"/>
    </row>
    <row r="1928" spans="7:35" x14ac:dyDescent="0.25">
      <c r="G1928" s="165"/>
      <c r="H1928" s="166"/>
      <c r="I1928" s="167"/>
      <c r="J1928" s="167"/>
      <c r="K1928" s="166"/>
      <c r="L1928" s="166"/>
      <c r="M1928" s="166"/>
      <c r="N1928" s="166"/>
      <c r="O1928" s="166"/>
      <c r="P1928" s="166"/>
      <c r="Q1928" s="166"/>
      <c r="R1928" s="166"/>
      <c r="S1928" s="166"/>
      <c r="T1928" s="166"/>
      <c r="U1928" s="166"/>
      <c r="V1928" s="166"/>
      <c r="W1928" s="166"/>
      <c r="X1928" s="166"/>
      <c r="Y1928" s="166"/>
      <c r="Z1928" s="166"/>
      <c r="AA1928" s="166"/>
      <c r="AB1928" s="166"/>
      <c r="AC1928" s="166"/>
      <c r="AD1928" s="166"/>
      <c r="AE1928" s="166"/>
      <c r="AF1928" s="166"/>
      <c r="AG1928" s="166"/>
      <c r="AH1928" s="166"/>
      <c r="AI1928" s="166"/>
    </row>
    <row r="1929" spans="7:35" x14ac:dyDescent="0.25">
      <c r="G1929" s="165"/>
      <c r="H1929" s="166"/>
      <c r="I1929" s="167"/>
      <c r="J1929" s="167"/>
      <c r="K1929" s="166"/>
      <c r="L1929" s="166"/>
      <c r="M1929" s="166"/>
      <c r="N1929" s="166"/>
      <c r="O1929" s="166"/>
      <c r="P1929" s="166"/>
      <c r="Q1929" s="166"/>
      <c r="R1929" s="166"/>
      <c r="S1929" s="166"/>
      <c r="T1929" s="166"/>
      <c r="U1929" s="166"/>
      <c r="V1929" s="166"/>
      <c r="W1929" s="166"/>
      <c r="X1929" s="166"/>
      <c r="Y1929" s="166"/>
      <c r="Z1929" s="166"/>
      <c r="AA1929" s="166"/>
      <c r="AB1929" s="166"/>
      <c r="AC1929" s="166"/>
      <c r="AD1929" s="166"/>
      <c r="AE1929" s="166"/>
      <c r="AF1929" s="166"/>
      <c r="AG1929" s="166"/>
      <c r="AH1929" s="166"/>
      <c r="AI1929" s="166"/>
    </row>
    <row r="1930" spans="7:35" x14ac:dyDescent="0.25">
      <c r="G1930" s="165"/>
      <c r="H1930" s="166"/>
      <c r="I1930" s="167"/>
      <c r="J1930" s="167"/>
      <c r="K1930" s="166"/>
      <c r="L1930" s="166"/>
      <c r="M1930" s="166"/>
      <c r="N1930" s="166"/>
      <c r="O1930" s="166"/>
      <c r="P1930" s="166"/>
      <c r="Q1930" s="166"/>
      <c r="R1930" s="166"/>
      <c r="S1930" s="166"/>
      <c r="T1930" s="166"/>
      <c r="U1930" s="166"/>
      <c r="V1930" s="166"/>
      <c r="W1930" s="166"/>
      <c r="X1930" s="166"/>
      <c r="Y1930" s="166"/>
      <c r="Z1930" s="166"/>
      <c r="AA1930" s="166"/>
      <c r="AB1930" s="166"/>
      <c r="AC1930" s="166"/>
      <c r="AD1930" s="166"/>
      <c r="AE1930" s="166"/>
      <c r="AF1930" s="166"/>
      <c r="AG1930" s="166"/>
      <c r="AH1930" s="166"/>
      <c r="AI1930" s="166"/>
    </row>
    <row r="1931" spans="7:35" x14ac:dyDescent="0.25">
      <c r="G1931" s="165"/>
      <c r="H1931" s="166"/>
      <c r="I1931" s="167"/>
      <c r="J1931" s="167"/>
      <c r="K1931" s="166"/>
      <c r="L1931" s="166"/>
      <c r="M1931" s="166"/>
      <c r="N1931" s="166"/>
      <c r="O1931" s="166"/>
      <c r="P1931" s="166"/>
      <c r="Q1931" s="166"/>
      <c r="R1931" s="166"/>
      <c r="S1931" s="166"/>
      <c r="T1931" s="166"/>
      <c r="U1931" s="166"/>
      <c r="V1931" s="166"/>
      <c r="W1931" s="166"/>
      <c r="X1931" s="166"/>
      <c r="Y1931" s="166"/>
      <c r="Z1931" s="166"/>
      <c r="AA1931" s="166"/>
      <c r="AB1931" s="166"/>
      <c r="AC1931" s="166"/>
      <c r="AD1931" s="166"/>
      <c r="AE1931" s="166"/>
      <c r="AF1931" s="166"/>
      <c r="AG1931" s="166"/>
      <c r="AH1931" s="166"/>
      <c r="AI1931" s="166"/>
    </row>
    <row r="1932" spans="7:35" x14ac:dyDescent="0.25">
      <c r="G1932" s="165"/>
      <c r="H1932" s="166"/>
      <c r="I1932" s="167"/>
      <c r="J1932" s="167"/>
      <c r="K1932" s="166"/>
      <c r="L1932" s="166"/>
      <c r="M1932" s="166"/>
      <c r="N1932" s="166"/>
      <c r="O1932" s="166"/>
      <c r="P1932" s="166"/>
      <c r="Q1932" s="166"/>
      <c r="R1932" s="166"/>
      <c r="S1932" s="166"/>
      <c r="T1932" s="166"/>
      <c r="U1932" s="166"/>
      <c r="V1932" s="166"/>
      <c r="W1932" s="166"/>
      <c r="X1932" s="166"/>
      <c r="Y1932" s="166"/>
      <c r="Z1932" s="166"/>
      <c r="AA1932" s="166"/>
      <c r="AB1932" s="166"/>
      <c r="AC1932" s="166"/>
      <c r="AD1932" s="166"/>
      <c r="AE1932" s="166"/>
      <c r="AF1932" s="166"/>
      <c r="AG1932" s="166"/>
      <c r="AH1932" s="166"/>
      <c r="AI1932" s="166"/>
    </row>
    <row r="1933" spans="7:35" x14ac:dyDescent="0.25">
      <c r="G1933" s="165"/>
      <c r="H1933" s="166"/>
      <c r="I1933" s="167"/>
      <c r="J1933" s="167"/>
      <c r="K1933" s="166"/>
      <c r="L1933" s="166"/>
      <c r="M1933" s="166"/>
      <c r="N1933" s="166"/>
      <c r="O1933" s="166"/>
      <c r="P1933" s="166"/>
      <c r="Q1933" s="166"/>
      <c r="R1933" s="166"/>
      <c r="S1933" s="166"/>
      <c r="T1933" s="166"/>
      <c r="U1933" s="166"/>
      <c r="V1933" s="166"/>
      <c r="W1933" s="166"/>
      <c r="X1933" s="166"/>
      <c r="Y1933" s="166"/>
      <c r="Z1933" s="166"/>
      <c r="AA1933" s="166"/>
      <c r="AB1933" s="166"/>
      <c r="AC1933" s="166"/>
      <c r="AD1933" s="166"/>
      <c r="AE1933" s="166"/>
      <c r="AF1933" s="166"/>
      <c r="AG1933" s="166"/>
      <c r="AH1933" s="166"/>
      <c r="AI1933" s="166"/>
    </row>
    <row r="1934" spans="7:35" x14ac:dyDescent="0.25">
      <c r="G1934" s="165"/>
      <c r="H1934" s="166"/>
      <c r="I1934" s="167"/>
      <c r="J1934" s="167"/>
      <c r="K1934" s="166"/>
      <c r="L1934" s="166"/>
      <c r="M1934" s="166"/>
      <c r="N1934" s="166"/>
      <c r="O1934" s="166"/>
      <c r="P1934" s="166"/>
      <c r="Q1934" s="166"/>
      <c r="R1934" s="166"/>
      <c r="S1934" s="166"/>
      <c r="T1934" s="166"/>
      <c r="U1934" s="166"/>
      <c r="V1934" s="166"/>
      <c r="W1934" s="166"/>
      <c r="X1934" s="166"/>
      <c r="Y1934" s="166"/>
      <c r="Z1934" s="166"/>
      <c r="AA1934" s="166"/>
      <c r="AB1934" s="166"/>
      <c r="AC1934" s="166"/>
      <c r="AD1934" s="166"/>
      <c r="AE1934" s="166"/>
      <c r="AF1934" s="166"/>
      <c r="AG1934" s="166"/>
      <c r="AH1934" s="166"/>
      <c r="AI1934" s="166"/>
    </row>
    <row r="1935" spans="7:35" x14ac:dyDescent="0.25">
      <c r="G1935" s="165"/>
      <c r="H1935" s="166"/>
      <c r="I1935" s="167"/>
      <c r="J1935" s="167"/>
      <c r="K1935" s="166"/>
      <c r="L1935" s="166"/>
      <c r="M1935" s="166"/>
      <c r="N1935" s="166"/>
      <c r="O1935" s="166"/>
      <c r="P1935" s="166"/>
      <c r="Q1935" s="166"/>
      <c r="R1935" s="166"/>
      <c r="S1935" s="166"/>
      <c r="T1935" s="166"/>
      <c r="U1935" s="166"/>
      <c r="V1935" s="166"/>
      <c r="W1935" s="166"/>
      <c r="X1935" s="166"/>
      <c r="Y1935" s="166"/>
      <c r="Z1935" s="166"/>
      <c r="AA1935" s="166"/>
      <c r="AB1935" s="166"/>
      <c r="AC1935" s="166"/>
      <c r="AD1935" s="166"/>
      <c r="AE1935" s="166"/>
      <c r="AF1935" s="166"/>
      <c r="AG1935" s="166"/>
      <c r="AH1935" s="166"/>
      <c r="AI1935" s="166"/>
    </row>
    <row r="1936" spans="7:35" x14ac:dyDescent="0.25">
      <c r="G1936" s="165"/>
      <c r="H1936" s="166"/>
      <c r="I1936" s="167"/>
      <c r="J1936" s="167"/>
      <c r="K1936" s="166"/>
      <c r="L1936" s="166"/>
      <c r="M1936" s="166"/>
      <c r="N1936" s="166"/>
      <c r="O1936" s="166"/>
      <c r="P1936" s="166"/>
      <c r="Q1936" s="166"/>
      <c r="R1936" s="166"/>
      <c r="S1936" s="166"/>
      <c r="T1936" s="166"/>
      <c r="U1936" s="166"/>
      <c r="V1936" s="166"/>
      <c r="W1936" s="166"/>
      <c r="X1936" s="166"/>
      <c r="Y1936" s="166"/>
      <c r="Z1936" s="166"/>
      <c r="AA1936" s="166"/>
      <c r="AB1936" s="166"/>
      <c r="AC1936" s="166"/>
      <c r="AD1936" s="166"/>
      <c r="AE1936" s="166"/>
      <c r="AF1936" s="166"/>
      <c r="AG1936" s="166"/>
      <c r="AH1936" s="166"/>
      <c r="AI1936" s="166"/>
    </row>
    <row r="1937" spans="7:35" x14ac:dyDescent="0.25">
      <c r="G1937" s="165"/>
      <c r="H1937" s="166"/>
      <c r="I1937" s="167"/>
      <c r="J1937" s="167"/>
      <c r="K1937" s="166"/>
      <c r="L1937" s="166"/>
      <c r="M1937" s="166"/>
      <c r="N1937" s="166"/>
      <c r="O1937" s="166"/>
      <c r="P1937" s="166"/>
      <c r="Q1937" s="166"/>
      <c r="R1937" s="166"/>
      <c r="S1937" s="166"/>
      <c r="T1937" s="166"/>
      <c r="U1937" s="166"/>
      <c r="V1937" s="166"/>
      <c r="W1937" s="166"/>
      <c r="X1937" s="166"/>
      <c r="Y1937" s="166"/>
      <c r="Z1937" s="166"/>
      <c r="AA1937" s="166"/>
      <c r="AB1937" s="166"/>
      <c r="AC1937" s="166"/>
      <c r="AD1937" s="166"/>
      <c r="AE1937" s="166"/>
      <c r="AF1937" s="166"/>
      <c r="AG1937" s="166"/>
      <c r="AH1937" s="166"/>
      <c r="AI1937" s="166"/>
    </row>
    <row r="1938" spans="7:35" x14ac:dyDescent="0.25">
      <c r="G1938" s="165"/>
      <c r="H1938" s="166"/>
      <c r="I1938" s="167"/>
      <c r="J1938" s="167"/>
      <c r="K1938" s="166"/>
      <c r="L1938" s="166"/>
      <c r="M1938" s="166"/>
      <c r="N1938" s="166"/>
      <c r="O1938" s="166"/>
      <c r="P1938" s="166"/>
      <c r="Q1938" s="166"/>
      <c r="R1938" s="166"/>
      <c r="S1938" s="166"/>
      <c r="T1938" s="166"/>
      <c r="U1938" s="166"/>
      <c r="V1938" s="166"/>
      <c r="W1938" s="166"/>
      <c r="X1938" s="166"/>
      <c r="Y1938" s="166"/>
      <c r="Z1938" s="166"/>
      <c r="AA1938" s="166"/>
      <c r="AB1938" s="166"/>
      <c r="AC1938" s="166"/>
      <c r="AD1938" s="166"/>
      <c r="AE1938" s="166"/>
      <c r="AF1938" s="166"/>
      <c r="AG1938" s="166"/>
      <c r="AH1938" s="166"/>
      <c r="AI1938" s="166"/>
    </row>
    <row r="1939" spans="7:35" x14ac:dyDescent="0.25">
      <c r="G1939" s="165"/>
      <c r="H1939" s="166"/>
      <c r="I1939" s="167"/>
      <c r="J1939" s="167"/>
      <c r="K1939" s="166"/>
      <c r="L1939" s="166"/>
      <c r="M1939" s="166"/>
      <c r="N1939" s="166"/>
      <c r="O1939" s="166"/>
      <c r="P1939" s="166"/>
      <c r="Q1939" s="166"/>
      <c r="R1939" s="166"/>
      <c r="S1939" s="166"/>
      <c r="T1939" s="166"/>
      <c r="U1939" s="166"/>
      <c r="V1939" s="166"/>
      <c r="W1939" s="166"/>
      <c r="X1939" s="166"/>
      <c r="Y1939" s="166"/>
      <c r="Z1939" s="166"/>
      <c r="AA1939" s="166"/>
      <c r="AB1939" s="166"/>
      <c r="AC1939" s="166"/>
      <c r="AD1939" s="166"/>
      <c r="AE1939" s="166"/>
      <c r="AF1939" s="166"/>
      <c r="AG1939" s="166"/>
      <c r="AH1939" s="166"/>
      <c r="AI1939" s="166"/>
    </row>
    <row r="1940" spans="7:35" x14ac:dyDescent="0.25">
      <c r="G1940" s="165"/>
      <c r="H1940" s="166"/>
      <c r="I1940" s="167"/>
      <c r="J1940" s="167"/>
      <c r="K1940" s="166"/>
      <c r="L1940" s="166"/>
      <c r="M1940" s="166"/>
      <c r="N1940" s="166"/>
      <c r="O1940" s="166"/>
      <c r="P1940" s="166"/>
      <c r="Q1940" s="166"/>
      <c r="R1940" s="166"/>
      <c r="S1940" s="166"/>
      <c r="T1940" s="166"/>
      <c r="U1940" s="166"/>
      <c r="V1940" s="166"/>
      <c r="W1940" s="166"/>
      <c r="X1940" s="166"/>
      <c r="Y1940" s="166"/>
      <c r="Z1940" s="166"/>
      <c r="AA1940" s="166"/>
      <c r="AB1940" s="166"/>
      <c r="AC1940" s="166"/>
      <c r="AD1940" s="166"/>
      <c r="AE1940" s="166"/>
      <c r="AF1940" s="166"/>
      <c r="AG1940" s="166"/>
      <c r="AH1940" s="166"/>
      <c r="AI1940" s="166"/>
    </row>
    <row r="1941" spans="7:35" x14ac:dyDescent="0.25">
      <c r="G1941" s="165"/>
      <c r="H1941" s="166"/>
      <c r="I1941" s="167"/>
      <c r="J1941" s="167"/>
      <c r="K1941" s="166"/>
      <c r="L1941" s="166"/>
      <c r="M1941" s="166"/>
      <c r="N1941" s="166"/>
      <c r="O1941" s="166"/>
      <c r="P1941" s="166"/>
      <c r="Q1941" s="166"/>
      <c r="R1941" s="166"/>
      <c r="S1941" s="166"/>
      <c r="T1941" s="166"/>
      <c r="U1941" s="166"/>
      <c r="V1941" s="166"/>
      <c r="W1941" s="166"/>
      <c r="X1941" s="166"/>
      <c r="Y1941" s="166"/>
      <c r="Z1941" s="166"/>
      <c r="AA1941" s="166"/>
      <c r="AB1941" s="166"/>
      <c r="AC1941" s="166"/>
      <c r="AD1941" s="166"/>
      <c r="AE1941" s="166"/>
      <c r="AF1941" s="166"/>
      <c r="AG1941" s="166"/>
      <c r="AH1941" s="166"/>
      <c r="AI1941" s="166"/>
    </row>
    <row r="1942" spans="7:35" x14ac:dyDescent="0.25">
      <c r="G1942" s="165"/>
      <c r="H1942" s="166"/>
      <c r="I1942" s="167"/>
      <c r="J1942" s="167"/>
      <c r="K1942" s="166"/>
      <c r="L1942" s="166"/>
      <c r="M1942" s="166"/>
      <c r="N1942" s="166"/>
      <c r="O1942" s="166"/>
      <c r="P1942" s="166"/>
      <c r="Q1942" s="166"/>
      <c r="R1942" s="166"/>
      <c r="S1942" s="166"/>
      <c r="T1942" s="166"/>
      <c r="U1942" s="166"/>
      <c r="V1942" s="166"/>
      <c r="W1942" s="166"/>
      <c r="X1942" s="166"/>
      <c r="Y1942" s="166"/>
      <c r="Z1942" s="166"/>
      <c r="AA1942" s="166"/>
      <c r="AB1942" s="166"/>
      <c r="AC1942" s="166"/>
      <c r="AD1942" s="166"/>
      <c r="AE1942" s="166"/>
      <c r="AF1942" s="166"/>
      <c r="AG1942" s="166"/>
      <c r="AH1942" s="166"/>
      <c r="AI1942" s="166"/>
    </row>
    <row r="1943" spans="7:35" x14ac:dyDescent="0.25">
      <c r="G1943" s="165"/>
      <c r="H1943" s="166"/>
      <c r="I1943" s="167"/>
      <c r="J1943" s="167"/>
      <c r="K1943" s="166"/>
      <c r="L1943" s="166"/>
      <c r="M1943" s="166"/>
      <c r="N1943" s="166"/>
      <c r="O1943" s="166"/>
      <c r="P1943" s="166"/>
      <c r="Q1943" s="166"/>
      <c r="R1943" s="166"/>
      <c r="S1943" s="166"/>
      <c r="T1943" s="166"/>
      <c r="U1943" s="166"/>
      <c r="V1943" s="166"/>
      <c r="W1943" s="166"/>
      <c r="X1943" s="166"/>
      <c r="Y1943" s="166"/>
      <c r="Z1943" s="166"/>
      <c r="AA1943" s="166"/>
      <c r="AB1943" s="166"/>
      <c r="AC1943" s="166"/>
      <c r="AD1943" s="166"/>
      <c r="AE1943" s="166"/>
      <c r="AF1943" s="166"/>
      <c r="AG1943" s="166"/>
      <c r="AH1943" s="166"/>
      <c r="AI1943" s="166"/>
    </row>
    <row r="1944" spans="7:35" x14ac:dyDescent="0.25">
      <c r="G1944" s="165"/>
      <c r="H1944" s="166"/>
      <c r="I1944" s="167"/>
      <c r="J1944" s="167"/>
      <c r="K1944" s="166"/>
      <c r="L1944" s="166"/>
      <c r="M1944" s="166"/>
      <c r="N1944" s="166"/>
      <c r="O1944" s="166"/>
      <c r="P1944" s="166"/>
      <c r="Q1944" s="166"/>
      <c r="R1944" s="166"/>
      <c r="S1944" s="166"/>
      <c r="T1944" s="166"/>
      <c r="U1944" s="166"/>
      <c r="V1944" s="166"/>
      <c r="W1944" s="166"/>
      <c r="X1944" s="166"/>
      <c r="Y1944" s="166"/>
      <c r="Z1944" s="166"/>
      <c r="AA1944" s="166"/>
      <c r="AB1944" s="166"/>
      <c r="AC1944" s="166"/>
      <c r="AD1944" s="166"/>
      <c r="AE1944" s="166"/>
      <c r="AF1944" s="166"/>
      <c r="AG1944" s="166"/>
      <c r="AH1944" s="166"/>
      <c r="AI1944" s="166"/>
    </row>
    <row r="1945" spans="7:35" x14ac:dyDescent="0.25">
      <c r="G1945" s="165"/>
      <c r="H1945" s="166"/>
      <c r="I1945" s="167"/>
      <c r="J1945" s="167"/>
      <c r="K1945" s="166"/>
      <c r="L1945" s="166"/>
      <c r="M1945" s="166"/>
      <c r="N1945" s="166"/>
      <c r="O1945" s="166"/>
      <c r="P1945" s="166"/>
      <c r="Q1945" s="166"/>
      <c r="R1945" s="166"/>
      <c r="S1945" s="166"/>
      <c r="T1945" s="166"/>
      <c r="U1945" s="166"/>
      <c r="V1945" s="166"/>
      <c r="W1945" s="166"/>
      <c r="X1945" s="166"/>
      <c r="Y1945" s="166"/>
      <c r="Z1945" s="166"/>
      <c r="AA1945" s="166"/>
      <c r="AB1945" s="166"/>
      <c r="AC1945" s="166"/>
      <c r="AD1945" s="166"/>
      <c r="AE1945" s="166"/>
      <c r="AF1945" s="166"/>
      <c r="AG1945" s="166"/>
      <c r="AH1945" s="166"/>
      <c r="AI1945" s="166"/>
    </row>
    <row r="1946" spans="7:35" x14ac:dyDescent="0.25">
      <c r="G1946" s="165"/>
      <c r="H1946" s="166"/>
      <c r="I1946" s="167"/>
      <c r="J1946" s="167"/>
      <c r="K1946" s="166"/>
      <c r="L1946" s="166"/>
      <c r="M1946" s="166"/>
      <c r="N1946" s="166"/>
      <c r="O1946" s="166"/>
      <c r="P1946" s="166"/>
      <c r="Q1946" s="166"/>
      <c r="R1946" s="166"/>
      <c r="S1946" s="166"/>
      <c r="T1946" s="166"/>
      <c r="U1946" s="166"/>
      <c r="V1946" s="166"/>
      <c r="W1946" s="166"/>
      <c r="X1946" s="166"/>
      <c r="Y1946" s="166"/>
      <c r="Z1946" s="166"/>
      <c r="AA1946" s="166"/>
      <c r="AB1946" s="166"/>
      <c r="AC1946" s="166"/>
      <c r="AD1946" s="166"/>
      <c r="AE1946" s="166"/>
      <c r="AF1946" s="166"/>
      <c r="AG1946" s="166"/>
      <c r="AH1946" s="166"/>
      <c r="AI1946" s="166"/>
    </row>
    <row r="1947" spans="7:35" x14ac:dyDescent="0.25">
      <c r="G1947" s="165"/>
      <c r="H1947" s="166"/>
      <c r="I1947" s="167"/>
      <c r="J1947" s="167"/>
      <c r="K1947" s="166"/>
      <c r="L1947" s="166"/>
      <c r="M1947" s="166"/>
      <c r="N1947" s="166"/>
      <c r="O1947" s="166"/>
      <c r="P1947" s="166"/>
      <c r="Q1947" s="166"/>
      <c r="R1947" s="166"/>
      <c r="S1947" s="166"/>
      <c r="T1947" s="166"/>
      <c r="U1947" s="166"/>
      <c r="V1947" s="166"/>
      <c r="W1947" s="166"/>
      <c r="X1947" s="166"/>
      <c r="Y1947" s="166"/>
      <c r="Z1947" s="166"/>
      <c r="AA1947" s="166"/>
      <c r="AB1947" s="166"/>
      <c r="AC1947" s="166"/>
      <c r="AD1947" s="166"/>
      <c r="AE1947" s="166"/>
      <c r="AF1947" s="166"/>
      <c r="AG1947" s="166"/>
      <c r="AH1947" s="166"/>
      <c r="AI1947" s="166"/>
    </row>
    <row r="1948" spans="7:35" x14ac:dyDescent="0.25">
      <c r="G1948" s="165"/>
      <c r="H1948" s="166"/>
      <c r="I1948" s="167"/>
      <c r="J1948" s="167"/>
      <c r="K1948" s="166"/>
      <c r="L1948" s="166"/>
      <c r="M1948" s="166"/>
      <c r="N1948" s="166"/>
      <c r="O1948" s="166"/>
      <c r="P1948" s="166"/>
      <c r="Q1948" s="166"/>
      <c r="R1948" s="166"/>
      <c r="S1948" s="166"/>
      <c r="T1948" s="166"/>
      <c r="U1948" s="166"/>
      <c r="V1948" s="166"/>
      <c r="W1948" s="166"/>
      <c r="X1948" s="166"/>
      <c r="Y1948" s="166"/>
      <c r="Z1948" s="166"/>
      <c r="AA1948" s="166"/>
      <c r="AB1948" s="166"/>
      <c r="AC1948" s="166"/>
      <c r="AD1948" s="166"/>
      <c r="AE1948" s="166"/>
      <c r="AF1948" s="166"/>
      <c r="AG1948" s="166"/>
      <c r="AH1948" s="166"/>
      <c r="AI1948" s="166"/>
    </row>
    <row r="1949" spans="7:35" x14ac:dyDescent="0.25">
      <c r="G1949" s="165"/>
      <c r="H1949" s="166"/>
      <c r="I1949" s="167"/>
      <c r="J1949" s="167"/>
      <c r="K1949" s="166"/>
      <c r="L1949" s="166"/>
      <c r="M1949" s="166"/>
      <c r="N1949" s="166"/>
      <c r="O1949" s="166"/>
      <c r="P1949" s="166"/>
      <c r="Q1949" s="166"/>
      <c r="R1949" s="166"/>
      <c r="S1949" s="166"/>
      <c r="T1949" s="166"/>
      <c r="U1949" s="166"/>
      <c r="V1949" s="166"/>
      <c r="W1949" s="166"/>
      <c r="X1949" s="166"/>
      <c r="Y1949" s="166"/>
      <c r="Z1949" s="166"/>
      <c r="AA1949" s="166"/>
      <c r="AB1949" s="166"/>
      <c r="AC1949" s="166"/>
      <c r="AD1949" s="166"/>
      <c r="AE1949" s="166"/>
      <c r="AF1949" s="166"/>
      <c r="AG1949" s="166"/>
      <c r="AH1949" s="166"/>
      <c r="AI1949" s="166"/>
    </row>
    <row r="1950" spans="7:35" x14ac:dyDescent="0.25">
      <c r="G1950" s="165"/>
      <c r="H1950" s="166"/>
      <c r="I1950" s="167"/>
      <c r="J1950" s="167"/>
      <c r="K1950" s="166"/>
      <c r="L1950" s="166"/>
      <c r="M1950" s="166"/>
      <c r="N1950" s="166"/>
      <c r="O1950" s="166"/>
      <c r="P1950" s="166"/>
      <c r="Q1950" s="166"/>
      <c r="R1950" s="166"/>
      <c r="S1950" s="166"/>
      <c r="T1950" s="166"/>
      <c r="U1950" s="166"/>
      <c r="V1950" s="166"/>
      <c r="W1950" s="166"/>
      <c r="X1950" s="166"/>
      <c r="Y1950" s="166"/>
      <c r="Z1950" s="166"/>
      <c r="AA1950" s="166"/>
      <c r="AB1950" s="166"/>
      <c r="AC1950" s="166"/>
      <c r="AD1950" s="166"/>
      <c r="AE1950" s="166"/>
      <c r="AF1950" s="166"/>
      <c r="AG1950" s="166"/>
      <c r="AH1950" s="166"/>
      <c r="AI1950" s="166"/>
    </row>
    <row r="1951" spans="7:35" x14ac:dyDescent="0.25">
      <c r="G1951" s="165"/>
      <c r="H1951" s="166"/>
      <c r="I1951" s="167"/>
      <c r="J1951" s="167"/>
      <c r="K1951" s="166"/>
      <c r="L1951" s="166"/>
      <c r="M1951" s="166"/>
      <c r="N1951" s="166"/>
      <c r="O1951" s="166"/>
      <c r="P1951" s="166"/>
      <c r="Q1951" s="166"/>
      <c r="R1951" s="166"/>
      <c r="S1951" s="166"/>
      <c r="T1951" s="166"/>
      <c r="U1951" s="166"/>
      <c r="V1951" s="166"/>
      <c r="W1951" s="166"/>
      <c r="X1951" s="166"/>
      <c r="Y1951" s="166"/>
      <c r="Z1951" s="166"/>
      <c r="AA1951" s="166"/>
      <c r="AB1951" s="166"/>
      <c r="AC1951" s="166"/>
      <c r="AD1951" s="166"/>
      <c r="AE1951" s="166"/>
      <c r="AF1951" s="166"/>
      <c r="AG1951" s="166"/>
      <c r="AH1951" s="166"/>
      <c r="AI1951" s="166"/>
    </row>
    <row r="1952" spans="7:35" x14ac:dyDescent="0.25">
      <c r="G1952" s="165"/>
      <c r="H1952" s="166"/>
      <c r="I1952" s="167"/>
      <c r="J1952" s="167"/>
      <c r="K1952" s="166"/>
      <c r="L1952" s="166"/>
      <c r="M1952" s="166"/>
      <c r="N1952" s="166"/>
      <c r="O1952" s="166"/>
      <c r="P1952" s="166"/>
      <c r="Q1952" s="166"/>
      <c r="R1952" s="166"/>
      <c r="S1952" s="166"/>
      <c r="T1952" s="166"/>
      <c r="U1952" s="166"/>
      <c r="V1952" s="166"/>
      <c r="W1952" s="166"/>
      <c r="X1952" s="166"/>
      <c r="Y1952" s="166"/>
      <c r="Z1952" s="166"/>
      <c r="AA1952" s="166"/>
      <c r="AB1952" s="166"/>
      <c r="AC1952" s="166"/>
      <c r="AD1952" s="166"/>
      <c r="AE1952" s="166"/>
      <c r="AF1952" s="166"/>
      <c r="AG1952" s="166"/>
      <c r="AH1952" s="166"/>
      <c r="AI1952" s="166"/>
    </row>
    <row r="1953" spans="7:35" x14ac:dyDescent="0.25">
      <c r="G1953" s="165"/>
      <c r="H1953" s="166"/>
      <c r="I1953" s="167"/>
      <c r="J1953" s="167"/>
      <c r="K1953" s="166"/>
      <c r="L1953" s="166"/>
      <c r="M1953" s="166"/>
      <c r="N1953" s="166"/>
      <c r="O1953" s="166"/>
      <c r="P1953" s="166"/>
      <c r="Q1953" s="166"/>
      <c r="R1953" s="166"/>
      <c r="S1953" s="166"/>
      <c r="T1953" s="166"/>
      <c r="U1953" s="166"/>
      <c r="V1953" s="166"/>
      <c r="W1953" s="166"/>
      <c r="X1953" s="166"/>
      <c r="Y1953" s="166"/>
      <c r="Z1953" s="166"/>
      <c r="AA1953" s="166"/>
      <c r="AB1953" s="166"/>
      <c r="AC1953" s="166"/>
      <c r="AD1953" s="166"/>
      <c r="AE1953" s="166"/>
      <c r="AF1953" s="166"/>
      <c r="AG1953" s="166"/>
      <c r="AH1953" s="166"/>
      <c r="AI1953" s="166"/>
    </row>
    <row r="1954" spans="7:35" x14ac:dyDescent="0.25">
      <c r="G1954" s="165"/>
      <c r="H1954" s="166"/>
      <c r="I1954" s="167"/>
      <c r="J1954" s="167"/>
      <c r="K1954" s="166"/>
      <c r="L1954" s="166"/>
      <c r="M1954" s="166"/>
      <c r="N1954" s="166"/>
      <c r="O1954" s="166"/>
      <c r="P1954" s="166"/>
      <c r="Q1954" s="166"/>
      <c r="R1954" s="166"/>
      <c r="S1954" s="166"/>
      <c r="T1954" s="166"/>
      <c r="U1954" s="166"/>
      <c r="V1954" s="166"/>
      <c r="W1954" s="166"/>
      <c r="X1954" s="166"/>
      <c r="Y1954" s="166"/>
      <c r="Z1954" s="166"/>
      <c r="AA1954" s="166"/>
      <c r="AB1954" s="166"/>
      <c r="AC1954" s="166"/>
      <c r="AD1954" s="166"/>
      <c r="AE1954" s="166"/>
      <c r="AF1954" s="166"/>
      <c r="AG1954" s="166"/>
      <c r="AH1954" s="166"/>
      <c r="AI1954" s="166"/>
    </row>
    <row r="1955" spans="7:35" x14ac:dyDescent="0.25">
      <c r="G1955" s="165"/>
      <c r="H1955" s="166"/>
      <c r="I1955" s="167"/>
      <c r="J1955" s="167"/>
      <c r="K1955" s="166"/>
      <c r="L1955" s="166"/>
      <c r="M1955" s="166"/>
      <c r="N1955" s="166"/>
      <c r="O1955" s="166"/>
      <c r="P1955" s="166"/>
      <c r="Q1955" s="166"/>
      <c r="R1955" s="166"/>
      <c r="S1955" s="166"/>
      <c r="T1955" s="166"/>
      <c r="U1955" s="166"/>
      <c r="V1955" s="166"/>
      <c r="W1955" s="166"/>
      <c r="X1955" s="166"/>
      <c r="Y1955" s="166"/>
      <c r="Z1955" s="166"/>
      <c r="AA1955" s="166"/>
      <c r="AB1955" s="166"/>
      <c r="AC1955" s="166"/>
      <c r="AD1955" s="166"/>
      <c r="AE1955" s="166"/>
      <c r="AF1955" s="166"/>
      <c r="AG1955" s="166"/>
      <c r="AH1955" s="166"/>
      <c r="AI1955" s="166"/>
    </row>
    <row r="1956" spans="7:35" x14ac:dyDescent="0.25">
      <c r="G1956" s="165"/>
      <c r="H1956" s="166"/>
      <c r="I1956" s="167"/>
      <c r="J1956" s="167"/>
      <c r="K1956" s="166"/>
      <c r="L1956" s="166"/>
      <c r="M1956" s="166"/>
      <c r="N1956" s="166"/>
      <c r="O1956" s="166"/>
      <c r="P1956" s="166"/>
      <c r="Q1956" s="166"/>
      <c r="R1956" s="166"/>
      <c r="S1956" s="166"/>
      <c r="T1956" s="166"/>
      <c r="U1956" s="166"/>
      <c r="V1956" s="166"/>
      <c r="W1956" s="166"/>
      <c r="X1956" s="166"/>
      <c r="Y1956" s="166"/>
      <c r="Z1956" s="166"/>
      <c r="AA1956" s="166"/>
      <c r="AB1956" s="166"/>
      <c r="AC1956" s="166"/>
      <c r="AD1956" s="166"/>
      <c r="AE1956" s="166"/>
      <c r="AF1956" s="166"/>
      <c r="AG1956" s="166"/>
      <c r="AH1956" s="166"/>
      <c r="AI1956" s="166"/>
    </row>
    <row r="1957" spans="7:35" x14ac:dyDescent="0.25">
      <c r="G1957" s="165"/>
      <c r="H1957" s="166"/>
      <c r="I1957" s="167"/>
      <c r="J1957" s="167"/>
      <c r="K1957" s="166"/>
      <c r="L1957" s="166"/>
      <c r="M1957" s="166"/>
      <c r="N1957" s="166"/>
      <c r="O1957" s="166"/>
      <c r="P1957" s="166"/>
      <c r="Q1957" s="166"/>
      <c r="R1957" s="166"/>
      <c r="S1957" s="166"/>
      <c r="T1957" s="166"/>
      <c r="U1957" s="166"/>
      <c r="V1957" s="166"/>
      <c r="W1957" s="166"/>
      <c r="X1957" s="166"/>
      <c r="Y1957" s="166"/>
      <c r="Z1957" s="166"/>
      <c r="AA1957" s="166"/>
      <c r="AB1957" s="166"/>
      <c r="AC1957" s="166"/>
      <c r="AD1957" s="166"/>
      <c r="AE1957" s="166"/>
      <c r="AF1957" s="166"/>
      <c r="AG1957" s="166"/>
      <c r="AH1957" s="166"/>
      <c r="AI1957" s="166"/>
    </row>
    <row r="1958" spans="7:35" x14ac:dyDescent="0.25">
      <c r="G1958" s="165"/>
      <c r="H1958" s="166"/>
      <c r="I1958" s="167"/>
      <c r="J1958" s="167"/>
      <c r="K1958" s="166"/>
      <c r="L1958" s="166"/>
      <c r="M1958" s="166"/>
      <c r="N1958" s="166"/>
      <c r="O1958" s="166"/>
      <c r="P1958" s="166"/>
      <c r="Q1958" s="166"/>
      <c r="R1958" s="166"/>
      <c r="S1958" s="166"/>
      <c r="T1958" s="166"/>
      <c r="U1958" s="166"/>
      <c r="V1958" s="166"/>
      <c r="W1958" s="166"/>
      <c r="X1958" s="166"/>
      <c r="Y1958" s="166"/>
      <c r="Z1958" s="166"/>
      <c r="AA1958" s="166"/>
      <c r="AB1958" s="166"/>
      <c r="AC1958" s="166"/>
      <c r="AD1958" s="166"/>
      <c r="AE1958" s="166"/>
      <c r="AF1958" s="166"/>
      <c r="AG1958" s="166"/>
      <c r="AH1958" s="166"/>
      <c r="AI1958" s="166"/>
    </row>
    <row r="1959" spans="7:35" x14ac:dyDescent="0.25">
      <c r="G1959" s="165"/>
      <c r="H1959" s="166"/>
      <c r="I1959" s="167"/>
      <c r="J1959" s="167"/>
      <c r="K1959" s="166"/>
      <c r="L1959" s="166"/>
      <c r="M1959" s="166"/>
      <c r="N1959" s="166"/>
      <c r="O1959" s="166"/>
      <c r="P1959" s="166"/>
      <c r="Q1959" s="166"/>
      <c r="R1959" s="166"/>
      <c r="S1959" s="166"/>
      <c r="T1959" s="166"/>
      <c r="U1959" s="166"/>
      <c r="V1959" s="166"/>
      <c r="W1959" s="166"/>
      <c r="X1959" s="166"/>
      <c r="Y1959" s="166"/>
      <c r="Z1959" s="166"/>
      <c r="AA1959" s="166"/>
      <c r="AB1959" s="166"/>
      <c r="AC1959" s="166"/>
      <c r="AD1959" s="166"/>
      <c r="AE1959" s="166"/>
      <c r="AF1959" s="166"/>
      <c r="AG1959" s="166"/>
      <c r="AH1959" s="166"/>
      <c r="AI1959" s="166"/>
    </row>
    <row r="1960" spans="7:35" x14ac:dyDescent="0.25">
      <c r="G1960" s="165"/>
      <c r="H1960" s="166"/>
      <c r="I1960" s="167"/>
      <c r="J1960" s="167"/>
      <c r="K1960" s="166"/>
      <c r="L1960" s="166"/>
      <c r="M1960" s="166"/>
      <c r="N1960" s="166"/>
      <c r="O1960" s="166"/>
      <c r="P1960" s="166"/>
      <c r="Q1960" s="166"/>
      <c r="R1960" s="166"/>
      <c r="S1960" s="166"/>
      <c r="T1960" s="166"/>
      <c r="U1960" s="166"/>
      <c r="V1960" s="166"/>
      <c r="W1960" s="166"/>
      <c r="X1960" s="166"/>
      <c r="Y1960" s="166"/>
      <c r="Z1960" s="166"/>
      <c r="AA1960" s="166"/>
      <c r="AB1960" s="166"/>
      <c r="AC1960" s="166"/>
      <c r="AD1960" s="166"/>
      <c r="AE1960" s="166"/>
      <c r="AF1960" s="166"/>
      <c r="AG1960" s="166"/>
      <c r="AH1960" s="166"/>
      <c r="AI1960" s="166"/>
    </row>
    <row r="1961" spans="7:35" x14ac:dyDescent="0.25">
      <c r="G1961" s="165"/>
      <c r="H1961" s="166"/>
      <c r="I1961" s="167"/>
      <c r="J1961" s="167"/>
      <c r="K1961" s="166"/>
      <c r="L1961" s="166"/>
      <c r="M1961" s="166"/>
      <c r="N1961" s="166"/>
      <c r="O1961" s="166"/>
      <c r="P1961" s="166"/>
      <c r="Q1961" s="166"/>
      <c r="R1961" s="166"/>
      <c r="S1961" s="166"/>
      <c r="T1961" s="166"/>
      <c r="U1961" s="166"/>
      <c r="V1961" s="166"/>
      <c r="W1961" s="166"/>
      <c r="X1961" s="166"/>
      <c r="Y1961" s="166"/>
      <c r="Z1961" s="166"/>
      <c r="AA1961" s="166"/>
      <c r="AB1961" s="166"/>
      <c r="AC1961" s="166"/>
      <c r="AD1961" s="166"/>
      <c r="AE1961" s="166"/>
      <c r="AF1961" s="166"/>
      <c r="AG1961" s="166"/>
      <c r="AH1961" s="166"/>
      <c r="AI1961" s="166"/>
    </row>
    <row r="1962" spans="7:35" x14ac:dyDescent="0.25">
      <c r="G1962" s="165"/>
      <c r="H1962" s="166"/>
      <c r="I1962" s="167"/>
      <c r="J1962" s="167"/>
      <c r="K1962" s="166"/>
      <c r="L1962" s="166"/>
      <c r="M1962" s="166"/>
      <c r="N1962" s="166"/>
      <c r="O1962" s="166"/>
      <c r="P1962" s="166"/>
      <c r="Q1962" s="166"/>
      <c r="R1962" s="166"/>
      <c r="S1962" s="166"/>
      <c r="T1962" s="166"/>
      <c r="U1962" s="166"/>
      <c r="V1962" s="166"/>
      <c r="W1962" s="166"/>
      <c r="X1962" s="166"/>
      <c r="Y1962" s="166"/>
      <c r="Z1962" s="166"/>
      <c r="AA1962" s="166"/>
      <c r="AB1962" s="166"/>
      <c r="AC1962" s="166"/>
      <c r="AD1962" s="166"/>
      <c r="AE1962" s="166"/>
      <c r="AF1962" s="166"/>
      <c r="AG1962" s="166"/>
      <c r="AH1962" s="166"/>
      <c r="AI1962" s="166"/>
    </row>
    <row r="1963" spans="7:35" x14ac:dyDescent="0.25">
      <c r="G1963" s="165"/>
      <c r="H1963" s="166"/>
      <c r="I1963" s="167"/>
      <c r="J1963" s="167"/>
      <c r="K1963" s="166"/>
      <c r="L1963" s="166"/>
      <c r="M1963" s="166"/>
      <c r="N1963" s="166"/>
      <c r="O1963" s="166"/>
      <c r="P1963" s="166"/>
      <c r="Q1963" s="166"/>
      <c r="R1963" s="166"/>
      <c r="S1963" s="166"/>
      <c r="T1963" s="166"/>
      <c r="U1963" s="166"/>
      <c r="V1963" s="166"/>
      <c r="W1963" s="166"/>
      <c r="X1963" s="166"/>
      <c r="Y1963" s="166"/>
      <c r="Z1963" s="166"/>
      <c r="AA1963" s="166"/>
      <c r="AB1963" s="166"/>
      <c r="AC1963" s="166"/>
      <c r="AD1963" s="166"/>
      <c r="AE1963" s="166"/>
      <c r="AF1963" s="166"/>
      <c r="AG1963" s="166"/>
      <c r="AH1963" s="166"/>
      <c r="AI1963" s="166"/>
    </row>
    <row r="1964" spans="7:35" x14ac:dyDescent="0.25">
      <c r="G1964" s="165"/>
      <c r="H1964" s="166"/>
      <c r="I1964" s="167"/>
      <c r="J1964" s="167"/>
      <c r="K1964" s="166"/>
      <c r="L1964" s="166"/>
      <c r="M1964" s="166"/>
      <c r="N1964" s="166"/>
      <c r="O1964" s="166"/>
      <c r="P1964" s="166"/>
      <c r="Q1964" s="166"/>
      <c r="R1964" s="166"/>
      <c r="S1964" s="166"/>
      <c r="T1964" s="166"/>
      <c r="U1964" s="166"/>
      <c r="V1964" s="166"/>
      <c r="W1964" s="166"/>
      <c r="X1964" s="166"/>
      <c r="Y1964" s="166"/>
      <c r="Z1964" s="166"/>
      <c r="AA1964" s="166"/>
      <c r="AB1964" s="166"/>
      <c r="AC1964" s="166"/>
      <c r="AD1964" s="166"/>
      <c r="AE1964" s="166"/>
      <c r="AF1964" s="166"/>
      <c r="AG1964" s="166"/>
      <c r="AH1964" s="166"/>
      <c r="AI1964" s="166"/>
    </row>
    <row r="1965" spans="7:35" x14ac:dyDescent="0.25">
      <c r="G1965" s="165"/>
      <c r="H1965" s="166"/>
      <c r="I1965" s="167"/>
      <c r="J1965" s="167"/>
      <c r="K1965" s="166"/>
      <c r="L1965" s="166"/>
      <c r="M1965" s="166"/>
      <c r="N1965" s="166"/>
      <c r="O1965" s="166"/>
      <c r="P1965" s="166"/>
      <c r="Q1965" s="166"/>
      <c r="R1965" s="166"/>
      <c r="S1965" s="166"/>
      <c r="T1965" s="166"/>
      <c r="U1965" s="166"/>
      <c r="V1965" s="166"/>
      <c r="W1965" s="166"/>
      <c r="X1965" s="166"/>
      <c r="Y1965" s="166"/>
      <c r="Z1965" s="166"/>
      <c r="AA1965" s="166"/>
      <c r="AB1965" s="166"/>
      <c r="AC1965" s="166"/>
      <c r="AD1965" s="166"/>
      <c r="AE1965" s="166"/>
      <c r="AF1965" s="166"/>
      <c r="AG1965" s="166"/>
      <c r="AH1965" s="166"/>
      <c r="AI1965" s="166"/>
    </row>
    <row r="1966" spans="7:35" x14ac:dyDescent="0.25">
      <c r="G1966" s="165"/>
      <c r="H1966" s="166"/>
      <c r="I1966" s="167"/>
      <c r="J1966" s="167"/>
      <c r="K1966" s="166"/>
      <c r="L1966" s="166"/>
      <c r="M1966" s="166"/>
      <c r="N1966" s="166"/>
      <c r="O1966" s="166"/>
      <c r="P1966" s="166"/>
      <c r="Q1966" s="166"/>
      <c r="R1966" s="166"/>
      <c r="S1966" s="166"/>
      <c r="T1966" s="166"/>
      <c r="U1966" s="166"/>
      <c r="V1966" s="166"/>
      <c r="W1966" s="166"/>
      <c r="X1966" s="166"/>
      <c r="Y1966" s="166"/>
      <c r="Z1966" s="166"/>
      <c r="AA1966" s="166"/>
      <c r="AB1966" s="166"/>
      <c r="AC1966" s="166"/>
      <c r="AD1966" s="166"/>
      <c r="AE1966" s="166"/>
      <c r="AF1966" s="166"/>
      <c r="AG1966" s="166"/>
      <c r="AH1966" s="166"/>
      <c r="AI1966" s="166"/>
    </row>
    <row r="1967" spans="7:35" x14ac:dyDescent="0.25">
      <c r="G1967" s="165"/>
      <c r="H1967" s="166"/>
      <c r="I1967" s="167"/>
      <c r="J1967" s="167"/>
      <c r="K1967" s="166"/>
      <c r="L1967" s="166"/>
      <c r="M1967" s="166"/>
      <c r="N1967" s="166"/>
      <c r="O1967" s="166"/>
      <c r="P1967" s="166"/>
      <c r="Q1967" s="166"/>
      <c r="R1967" s="166"/>
      <c r="S1967" s="166"/>
      <c r="T1967" s="166"/>
      <c r="U1967" s="166"/>
      <c r="V1967" s="166"/>
      <c r="W1967" s="166"/>
      <c r="X1967" s="166"/>
      <c r="Y1967" s="166"/>
      <c r="Z1967" s="166"/>
      <c r="AA1967" s="166"/>
      <c r="AB1967" s="166"/>
      <c r="AC1967" s="166"/>
      <c r="AD1967" s="166"/>
      <c r="AE1967" s="166"/>
      <c r="AF1967" s="166"/>
      <c r="AG1967" s="166"/>
      <c r="AH1967" s="166"/>
      <c r="AI1967" s="166"/>
    </row>
    <row r="1968" spans="7:35" x14ac:dyDescent="0.25">
      <c r="G1968" s="165"/>
      <c r="H1968" s="166"/>
      <c r="I1968" s="167"/>
      <c r="J1968" s="167"/>
      <c r="K1968" s="166"/>
      <c r="L1968" s="166"/>
      <c r="M1968" s="166"/>
      <c r="N1968" s="166"/>
      <c r="O1968" s="166"/>
      <c r="P1968" s="166"/>
      <c r="Q1968" s="166"/>
      <c r="R1968" s="166"/>
      <c r="S1968" s="166"/>
      <c r="T1968" s="166"/>
      <c r="U1968" s="166"/>
      <c r="V1968" s="166"/>
      <c r="W1968" s="166"/>
      <c r="X1968" s="166"/>
      <c r="Y1968" s="166"/>
      <c r="Z1968" s="166"/>
      <c r="AA1968" s="166"/>
      <c r="AB1968" s="166"/>
      <c r="AC1968" s="166"/>
      <c r="AD1968" s="166"/>
      <c r="AE1968" s="166"/>
      <c r="AF1968" s="166"/>
      <c r="AG1968" s="166"/>
      <c r="AH1968" s="166"/>
      <c r="AI1968" s="166"/>
    </row>
    <row r="1969" spans="7:35" x14ac:dyDescent="0.25">
      <c r="G1969" s="165"/>
      <c r="H1969" s="166"/>
      <c r="I1969" s="167"/>
      <c r="J1969" s="167"/>
      <c r="K1969" s="166"/>
      <c r="L1969" s="166"/>
      <c r="M1969" s="166"/>
      <c r="N1969" s="166"/>
      <c r="O1969" s="166"/>
      <c r="P1969" s="166"/>
      <c r="Q1969" s="166"/>
      <c r="R1969" s="166"/>
      <c r="S1969" s="166"/>
      <c r="T1969" s="166"/>
      <c r="U1969" s="166"/>
      <c r="V1969" s="166"/>
      <c r="W1969" s="166"/>
      <c r="X1969" s="166"/>
      <c r="Y1969" s="166"/>
      <c r="Z1969" s="166"/>
      <c r="AA1969" s="166"/>
      <c r="AB1969" s="166"/>
      <c r="AC1969" s="166"/>
      <c r="AD1969" s="166"/>
      <c r="AE1969" s="166"/>
      <c r="AF1969" s="166"/>
      <c r="AG1969" s="166"/>
      <c r="AH1969" s="166"/>
      <c r="AI1969" s="166"/>
    </row>
    <row r="1970" spans="7:35" x14ac:dyDescent="0.25">
      <c r="G1970" s="165"/>
      <c r="H1970" s="166"/>
      <c r="I1970" s="167"/>
      <c r="J1970" s="167"/>
      <c r="K1970" s="166"/>
      <c r="L1970" s="166"/>
      <c r="M1970" s="166"/>
      <c r="N1970" s="166"/>
      <c r="O1970" s="166"/>
      <c r="P1970" s="166"/>
      <c r="Q1970" s="166"/>
      <c r="R1970" s="166"/>
      <c r="S1970" s="166"/>
      <c r="T1970" s="166"/>
      <c r="U1970" s="166"/>
      <c r="V1970" s="166"/>
      <c r="W1970" s="166"/>
      <c r="X1970" s="166"/>
      <c r="Y1970" s="166"/>
      <c r="Z1970" s="166"/>
      <c r="AA1970" s="166"/>
      <c r="AB1970" s="166"/>
      <c r="AC1970" s="166"/>
      <c r="AD1970" s="166"/>
      <c r="AE1970" s="166"/>
      <c r="AF1970" s="166"/>
      <c r="AG1970" s="166"/>
      <c r="AH1970" s="166"/>
      <c r="AI1970" s="166"/>
    </row>
    <row r="1971" spans="7:35" x14ac:dyDescent="0.25">
      <c r="G1971" s="165"/>
      <c r="H1971" s="166"/>
      <c r="I1971" s="167"/>
      <c r="J1971" s="167"/>
      <c r="K1971" s="166"/>
      <c r="L1971" s="166"/>
      <c r="M1971" s="166"/>
      <c r="N1971" s="166"/>
      <c r="O1971" s="166"/>
      <c r="P1971" s="166"/>
      <c r="Q1971" s="166"/>
      <c r="R1971" s="166"/>
      <c r="S1971" s="166"/>
      <c r="T1971" s="166"/>
      <c r="U1971" s="166"/>
      <c r="V1971" s="166"/>
      <c r="W1971" s="166"/>
      <c r="X1971" s="166"/>
      <c r="Y1971" s="166"/>
      <c r="Z1971" s="166"/>
      <c r="AA1971" s="166"/>
      <c r="AB1971" s="166"/>
      <c r="AC1971" s="166"/>
      <c r="AD1971" s="166"/>
      <c r="AE1971" s="166"/>
      <c r="AF1971" s="166"/>
      <c r="AG1971" s="166"/>
      <c r="AH1971" s="166"/>
      <c r="AI1971" s="166"/>
    </row>
    <row r="1972" spans="7:35" x14ac:dyDescent="0.25">
      <c r="G1972" s="165"/>
      <c r="H1972" s="166"/>
      <c r="I1972" s="167"/>
      <c r="J1972" s="167"/>
      <c r="K1972" s="166"/>
      <c r="L1972" s="166"/>
      <c r="M1972" s="166"/>
      <c r="N1972" s="166"/>
      <c r="O1972" s="166"/>
      <c r="P1972" s="166"/>
      <c r="Q1972" s="166"/>
      <c r="R1972" s="166"/>
      <c r="S1972" s="166"/>
      <c r="T1972" s="166"/>
      <c r="U1972" s="166"/>
      <c r="V1972" s="166"/>
      <c r="W1972" s="166"/>
      <c r="X1972" s="166"/>
      <c r="Y1972" s="166"/>
      <c r="Z1972" s="166"/>
      <c r="AA1972" s="166"/>
      <c r="AB1972" s="166"/>
      <c r="AC1972" s="166"/>
      <c r="AD1972" s="166"/>
      <c r="AE1972" s="166"/>
      <c r="AF1972" s="166"/>
      <c r="AG1972" s="166"/>
      <c r="AH1972" s="166"/>
      <c r="AI1972" s="166"/>
    </row>
    <row r="1973" spans="7:35" x14ac:dyDescent="0.25">
      <c r="G1973" s="165"/>
      <c r="H1973" s="166"/>
      <c r="I1973" s="167"/>
      <c r="J1973" s="167"/>
      <c r="K1973" s="166"/>
      <c r="L1973" s="166"/>
      <c r="M1973" s="166"/>
      <c r="N1973" s="166"/>
      <c r="O1973" s="166"/>
      <c r="P1973" s="166"/>
      <c r="Q1973" s="166"/>
      <c r="R1973" s="166"/>
      <c r="S1973" s="166"/>
      <c r="T1973" s="166"/>
      <c r="U1973" s="166"/>
      <c r="V1973" s="166"/>
      <c r="W1973" s="166"/>
      <c r="X1973" s="166"/>
      <c r="Y1973" s="166"/>
      <c r="Z1973" s="166"/>
      <c r="AA1973" s="166"/>
      <c r="AB1973" s="166"/>
      <c r="AC1973" s="166"/>
      <c r="AD1973" s="166"/>
      <c r="AE1973" s="166"/>
      <c r="AF1973" s="166"/>
      <c r="AG1973" s="166"/>
      <c r="AH1973" s="166"/>
      <c r="AI1973" s="166"/>
    </row>
    <row r="1974" spans="7:35" x14ac:dyDescent="0.25">
      <c r="G1974" s="165"/>
      <c r="H1974" s="166"/>
      <c r="I1974" s="167"/>
      <c r="J1974" s="167"/>
      <c r="K1974" s="166"/>
      <c r="L1974" s="166"/>
      <c r="M1974" s="166"/>
      <c r="N1974" s="166"/>
      <c r="O1974" s="166"/>
      <c r="P1974" s="166"/>
      <c r="Q1974" s="166"/>
      <c r="R1974" s="166"/>
      <c r="S1974" s="166"/>
      <c r="T1974" s="166"/>
      <c r="U1974" s="166"/>
      <c r="V1974" s="166"/>
      <c r="W1974" s="166"/>
      <c r="X1974" s="166"/>
      <c r="Y1974" s="166"/>
      <c r="Z1974" s="166"/>
      <c r="AA1974" s="166"/>
      <c r="AB1974" s="166"/>
      <c r="AC1974" s="166"/>
      <c r="AD1974" s="166"/>
      <c r="AE1974" s="166"/>
      <c r="AF1974" s="166"/>
      <c r="AG1974" s="166"/>
      <c r="AH1974" s="166"/>
      <c r="AI1974" s="166"/>
    </row>
    <row r="1975" spans="7:35" x14ac:dyDescent="0.25">
      <c r="G1975" s="165"/>
      <c r="H1975" s="166"/>
      <c r="I1975" s="167"/>
      <c r="J1975" s="167"/>
      <c r="K1975" s="166"/>
      <c r="L1975" s="166"/>
      <c r="M1975" s="166"/>
      <c r="N1975" s="166"/>
      <c r="O1975" s="166"/>
      <c r="P1975" s="166"/>
      <c r="Q1975" s="166"/>
      <c r="R1975" s="166"/>
      <c r="S1975" s="166"/>
      <c r="T1975" s="166"/>
      <c r="U1975" s="166"/>
      <c r="V1975" s="166"/>
      <c r="W1975" s="166"/>
      <c r="X1975" s="166"/>
      <c r="Y1975" s="166"/>
      <c r="Z1975" s="166"/>
      <c r="AA1975" s="166"/>
      <c r="AB1975" s="166"/>
      <c r="AC1975" s="166"/>
      <c r="AD1975" s="166"/>
      <c r="AE1975" s="166"/>
      <c r="AF1975" s="166"/>
      <c r="AG1975" s="166"/>
      <c r="AH1975" s="166"/>
      <c r="AI1975" s="166"/>
    </row>
    <row r="1976" spans="7:35" x14ac:dyDescent="0.25">
      <c r="G1976" s="165"/>
      <c r="H1976" s="166"/>
      <c r="I1976" s="167"/>
      <c r="J1976" s="167"/>
      <c r="K1976" s="166"/>
      <c r="L1976" s="166"/>
      <c r="M1976" s="166"/>
      <c r="N1976" s="166"/>
      <c r="O1976" s="166"/>
      <c r="P1976" s="166"/>
      <c r="Q1976" s="166"/>
      <c r="R1976" s="166"/>
      <c r="S1976" s="166"/>
      <c r="T1976" s="166"/>
      <c r="U1976" s="166"/>
      <c r="V1976" s="166"/>
      <c r="W1976" s="166"/>
      <c r="X1976" s="166"/>
      <c r="Y1976" s="166"/>
      <c r="Z1976" s="166"/>
      <c r="AA1976" s="166"/>
      <c r="AB1976" s="166"/>
      <c r="AC1976" s="166"/>
      <c r="AD1976" s="166"/>
      <c r="AE1976" s="166"/>
      <c r="AF1976" s="166"/>
      <c r="AG1976" s="166"/>
      <c r="AH1976" s="166"/>
      <c r="AI1976" s="166"/>
    </row>
    <row r="1977" spans="7:35" x14ac:dyDescent="0.25">
      <c r="G1977" s="165"/>
      <c r="H1977" s="166"/>
      <c r="I1977" s="167"/>
      <c r="J1977" s="167"/>
      <c r="K1977" s="166"/>
      <c r="L1977" s="166"/>
      <c r="M1977" s="166"/>
      <c r="N1977" s="166"/>
      <c r="O1977" s="166"/>
      <c r="P1977" s="166"/>
      <c r="Q1977" s="166"/>
      <c r="R1977" s="166"/>
      <c r="S1977" s="166"/>
      <c r="T1977" s="166"/>
      <c r="U1977" s="166"/>
      <c r="V1977" s="166"/>
      <c r="W1977" s="166"/>
      <c r="X1977" s="166"/>
      <c r="Y1977" s="166"/>
      <c r="Z1977" s="166"/>
      <c r="AA1977" s="166"/>
      <c r="AB1977" s="166"/>
      <c r="AC1977" s="166"/>
      <c r="AD1977" s="166"/>
      <c r="AE1977" s="166"/>
      <c r="AF1977" s="166"/>
      <c r="AG1977" s="166"/>
      <c r="AH1977" s="166"/>
      <c r="AI1977" s="166"/>
    </row>
    <row r="1978" spans="7:35" x14ac:dyDescent="0.25">
      <c r="G1978" s="165"/>
      <c r="H1978" s="166"/>
      <c r="I1978" s="167"/>
      <c r="J1978" s="167"/>
      <c r="K1978" s="166"/>
      <c r="L1978" s="166"/>
      <c r="M1978" s="166"/>
      <c r="N1978" s="166"/>
      <c r="O1978" s="166"/>
      <c r="P1978" s="166"/>
      <c r="Q1978" s="166"/>
      <c r="R1978" s="166"/>
      <c r="S1978" s="166"/>
      <c r="T1978" s="166"/>
      <c r="U1978" s="166"/>
      <c r="V1978" s="166"/>
      <c r="W1978" s="166"/>
      <c r="X1978" s="166"/>
      <c r="Y1978" s="166"/>
      <c r="Z1978" s="166"/>
      <c r="AA1978" s="166"/>
      <c r="AB1978" s="166"/>
      <c r="AC1978" s="166"/>
      <c r="AD1978" s="166"/>
      <c r="AE1978" s="166"/>
      <c r="AF1978" s="166"/>
      <c r="AG1978" s="166"/>
      <c r="AH1978" s="166"/>
      <c r="AI1978" s="166"/>
    </row>
    <row r="1979" spans="7:35" x14ac:dyDescent="0.25">
      <c r="G1979" s="165"/>
      <c r="H1979" s="166"/>
      <c r="I1979" s="167"/>
      <c r="J1979" s="167"/>
      <c r="K1979" s="166"/>
      <c r="L1979" s="166"/>
      <c r="M1979" s="166"/>
      <c r="N1979" s="166"/>
      <c r="O1979" s="166"/>
      <c r="P1979" s="166"/>
      <c r="Q1979" s="166"/>
      <c r="R1979" s="166"/>
      <c r="S1979" s="166"/>
      <c r="T1979" s="166"/>
      <c r="U1979" s="166"/>
      <c r="V1979" s="166"/>
      <c r="W1979" s="166"/>
      <c r="X1979" s="166"/>
      <c r="Y1979" s="166"/>
      <c r="Z1979" s="166"/>
      <c r="AA1979" s="166"/>
      <c r="AB1979" s="166"/>
      <c r="AC1979" s="166"/>
      <c r="AD1979" s="166"/>
      <c r="AE1979" s="166"/>
      <c r="AF1979" s="166"/>
      <c r="AG1979" s="166"/>
      <c r="AH1979" s="166"/>
      <c r="AI1979" s="166"/>
    </row>
    <row r="1980" spans="7:35" x14ac:dyDescent="0.25">
      <c r="G1980" s="165"/>
      <c r="H1980" s="166"/>
      <c r="I1980" s="167"/>
      <c r="J1980" s="167"/>
      <c r="K1980" s="166"/>
      <c r="L1980" s="166"/>
      <c r="M1980" s="166"/>
      <c r="N1980" s="166"/>
      <c r="O1980" s="166"/>
      <c r="P1980" s="166"/>
      <c r="Q1980" s="166"/>
      <c r="R1980" s="166"/>
      <c r="S1980" s="166"/>
      <c r="T1980" s="166"/>
      <c r="U1980" s="166"/>
      <c r="V1980" s="166"/>
      <c r="W1980" s="166"/>
      <c r="X1980" s="166"/>
      <c r="Y1980" s="166"/>
      <c r="Z1980" s="166"/>
      <c r="AA1980" s="166"/>
      <c r="AB1980" s="166"/>
      <c r="AC1980" s="166"/>
      <c r="AD1980" s="166"/>
      <c r="AE1980" s="166"/>
      <c r="AF1980" s="166"/>
      <c r="AG1980" s="166"/>
      <c r="AH1980" s="166"/>
      <c r="AI1980" s="166"/>
    </row>
    <row r="1981" spans="7:35" x14ac:dyDescent="0.25">
      <c r="G1981" s="165"/>
      <c r="H1981" s="166"/>
      <c r="I1981" s="167"/>
      <c r="J1981" s="167"/>
      <c r="K1981" s="166"/>
      <c r="L1981" s="166"/>
      <c r="M1981" s="166"/>
      <c r="N1981" s="166"/>
      <c r="O1981" s="166"/>
      <c r="P1981" s="166"/>
      <c r="Q1981" s="166"/>
      <c r="R1981" s="166"/>
      <c r="S1981" s="166"/>
      <c r="T1981" s="166"/>
      <c r="U1981" s="166"/>
      <c r="V1981" s="166"/>
      <c r="W1981" s="166"/>
      <c r="X1981" s="166"/>
      <c r="Y1981" s="166"/>
      <c r="Z1981" s="166"/>
      <c r="AA1981" s="166"/>
      <c r="AB1981" s="166"/>
      <c r="AC1981" s="166"/>
      <c r="AD1981" s="166"/>
      <c r="AE1981" s="166"/>
      <c r="AF1981" s="166"/>
      <c r="AG1981" s="166"/>
      <c r="AH1981" s="166"/>
      <c r="AI1981" s="166"/>
    </row>
    <row r="1982" spans="7:35" x14ac:dyDescent="0.25">
      <c r="G1982" s="165"/>
      <c r="H1982" s="166"/>
      <c r="I1982" s="167"/>
      <c r="J1982" s="167"/>
      <c r="K1982" s="166"/>
      <c r="L1982" s="166"/>
      <c r="M1982" s="166"/>
      <c r="N1982" s="166"/>
      <c r="O1982" s="166"/>
      <c r="P1982" s="166"/>
      <c r="Q1982" s="166"/>
      <c r="R1982" s="166"/>
      <c r="S1982" s="166"/>
      <c r="T1982" s="166"/>
      <c r="U1982" s="166"/>
      <c r="V1982" s="166"/>
      <c r="W1982" s="166"/>
      <c r="X1982" s="166"/>
      <c r="Y1982" s="166"/>
      <c r="Z1982" s="166"/>
      <c r="AA1982" s="166"/>
      <c r="AB1982" s="166"/>
      <c r="AC1982" s="166"/>
      <c r="AD1982" s="166"/>
      <c r="AE1982" s="166"/>
      <c r="AF1982" s="166"/>
      <c r="AG1982" s="166"/>
      <c r="AH1982" s="166"/>
      <c r="AI1982" s="166"/>
    </row>
    <row r="1983" spans="7:35" x14ac:dyDescent="0.25">
      <c r="G1983" s="165"/>
      <c r="H1983" s="166"/>
      <c r="I1983" s="167"/>
      <c r="J1983" s="167"/>
      <c r="K1983" s="166"/>
      <c r="L1983" s="166"/>
      <c r="M1983" s="166"/>
      <c r="N1983" s="166"/>
      <c r="O1983" s="166"/>
      <c r="P1983" s="166"/>
      <c r="Q1983" s="166"/>
      <c r="R1983" s="166"/>
      <c r="S1983" s="166"/>
      <c r="T1983" s="166"/>
      <c r="U1983" s="166"/>
      <c r="V1983" s="166"/>
      <c r="W1983" s="166"/>
      <c r="X1983" s="166"/>
      <c r="Y1983" s="166"/>
      <c r="Z1983" s="166"/>
      <c r="AA1983" s="166"/>
      <c r="AB1983" s="166"/>
      <c r="AC1983" s="166"/>
      <c r="AD1983" s="166"/>
      <c r="AE1983" s="166"/>
      <c r="AF1983" s="166"/>
      <c r="AG1983" s="166"/>
      <c r="AH1983" s="166"/>
      <c r="AI1983" s="166"/>
    </row>
    <row r="1984" spans="7:35" x14ac:dyDescent="0.25">
      <c r="G1984" s="165"/>
      <c r="H1984" s="166"/>
      <c r="I1984" s="167"/>
      <c r="J1984" s="167"/>
      <c r="K1984" s="166"/>
      <c r="L1984" s="166"/>
      <c r="M1984" s="166"/>
      <c r="N1984" s="166"/>
      <c r="O1984" s="166"/>
      <c r="P1984" s="166"/>
      <c r="Q1984" s="166"/>
      <c r="R1984" s="166"/>
      <c r="S1984" s="166"/>
      <c r="T1984" s="166"/>
      <c r="U1984" s="166"/>
      <c r="V1984" s="166"/>
      <c r="W1984" s="166"/>
      <c r="X1984" s="166"/>
      <c r="Y1984" s="166"/>
      <c r="Z1984" s="166"/>
      <c r="AA1984" s="166"/>
      <c r="AB1984" s="166"/>
      <c r="AC1984" s="166"/>
      <c r="AD1984" s="166"/>
      <c r="AE1984" s="166"/>
      <c r="AF1984" s="166"/>
      <c r="AG1984" s="166"/>
      <c r="AH1984" s="166"/>
      <c r="AI1984" s="166"/>
    </row>
    <row r="1985" spans="7:35" x14ac:dyDescent="0.25">
      <c r="G1985" s="165"/>
      <c r="H1985" s="166"/>
      <c r="I1985" s="167"/>
      <c r="J1985" s="167"/>
      <c r="K1985" s="166"/>
      <c r="L1985" s="166"/>
      <c r="M1985" s="166"/>
      <c r="N1985" s="166"/>
      <c r="O1985" s="166"/>
      <c r="P1985" s="166"/>
      <c r="Q1985" s="166"/>
      <c r="R1985" s="166"/>
      <c r="S1985" s="166"/>
      <c r="T1985" s="166"/>
      <c r="U1985" s="166"/>
      <c r="V1985" s="166"/>
      <c r="W1985" s="166"/>
      <c r="X1985" s="166"/>
      <c r="Y1985" s="166"/>
      <c r="Z1985" s="166"/>
      <c r="AA1985" s="166"/>
      <c r="AB1985" s="166"/>
      <c r="AC1985" s="166"/>
      <c r="AD1985" s="166"/>
      <c r="AE1985" s="166"/>
      <c r="AF1985" s="166"/>
      <c r="AG1985" s="166"/>
      <c r="AH1985" s="166"/>
      <c r="AI1985" s="166"/>
    </row>
    <row r="1986" spans="7:35" x14ac:dyDescent="0.25">
      <c r="G1986" s="165"/>
      <c r="H1986" s="166"/>
      <c r="I1986" s="167"/>
      <c r="J1986" s="167"/>
      <c r="K1986" s="166"/>
      <c r="L1986" s="166"/>
      <c r="M1986" s="166"/>
      <c r="N1986" s="166"/>
      <c r="O1986" s="166"/>
      <c r="P1986" s="166"/>
      <c r="Q1986" s="166"/>
      <c r="R1986" s="166"/>
      <c r="S1986" s="166"/>
      <c r="T1986" s="166"/>
      <c r="U1986" s="166"/>
      <c r="V1986" s="166"/>
      <c r="W1986" s="166"/>
      <c r="X1986" s="166"/>
      <c r="Y1986" s="166"/>
      <c r="Z1986" s="166"/>
      <c r="AA1986" s="166"/>
      <c r="AB1986" s="166"/>
      <c r="AC1986" s="166"/>
      <c r="AD1986" s="166"/>
      <c r="AE1986" s="166"/>
      <c r="AF1986" s="166"/>
      <c r="AG1986" s="166"/>
      <c r="AH1986" s="166"/>
      <c r="AI1986" s="166"/>
    </row>
    <row r="1987" spans="7:35" x14ac:dyDescent="0.25">
      <c r="G1987" s="165"/>
      <c r="H1987" s="166"/>
      <c r="I1987" s="167"/>
      <c r="J1987" s="167"/>
      <c r="K1987" s="166"/>
      <c r="L1987" s="166"/>
      <c r="M1987" s="166"/>
      <c r="N1987" s="166"/>
      <c r="O1987" s="166"/>
      <c r="P1987" s="166"/>
      <c r="Q1987" s="166"/>
      <c r="R1987" s="166"/>
      <c r="S1987" s="166"/>
      <c r="T1987" s="166"/>
      <c r="U1987" s="166"/>
      <c r="V1987" s="166"/>
      <c r="W1987" s="166"/>
      <c r="X1987" s="166"/>
      <c r="Y1987" s="166"/>
      <c r="Z1987" s="166"/>
      <c r="AA1987" s="166"/>
      <c r="AB1987" s="166"/>
      <c r="AC1987" s="166"/>
      <c r="AD1987" s="166"/>
      <c r="AE1987" s="166"/>
      <c r="AF1987" s="166"/>
      <c r="AG1987" s="166"/>
      <c r="AH1987" s="166"/>
      <c r="AI1987" s="166"/>
    </row>
    <row r="1988" spans="7:35" x14ac:dyDescent="0.25">
      <c r="G1988" s="165"/>
      <c r="H1988" s="166"/>
      <c r="I1988" s="167"/>
      <c r="J1988" s="167"/>
      <c r="K1988" s="166"/>
      <c r="L1988" s="166"/>
      <c r="M1988" s="166"/>
      <c r="N1988" s="166"/>
      <c r="O1988" s="166"/>
      <c r="P1988" s="166"/>
      <c r="Q1988" s="166"/>
      <c r="R1988" s="166"/>
      <c r="S1988" s="166"/>
      <c r="T1988" s="166"/>
      <c r="U1988" s="166"/>
      <c r="V1988" s="166"/>
      <c r="W1988" s="166"/>
      <c r="X1988" s="166"/>
      <c r="Y1988" s="166"/>
      <c r="Z1988" s="166"/>
      <c r="AA1988" s="166"/>
      <c r="AB1988" s="166"/>
      <c r="AC1988" s="166"/>
      <c r="AD1988" s="166"/>
      <c r="AE1988" s="166"/>
      <c r="AF1988" s="166"/>
      <c r="AG1988" s="166"/>
      <c r="AH1988" s="166"/>
      <c r="AI1988" s="166"/>
    </row>
    <row r="1989" spans="7:35" x14ac:dyDescent="0.25">
      <c r="G1989" s="165"/>
      <c r="H1989" s="166"/>
      <c r="I1989" s="167"/>
      <c r="J1989" s="167"/>
      <c r="K1989" s="166"/>
      <c r="L1989" s="166"/>
      <c r="M1989" s="166"/>
      <c r="N1989" s="166"/>
      <c r="O1989" s="166"/>
      <c r="P1989" s="166"/>
      <c r="Q1989" s="166"/>
      <c r="R1989" s="166"/>
      <c r="S1989" s="166"/>
      <c r="T1989" s="166"/>
      <c r="U1989" s="166"/>
      <c r="V1989" s="166"/>
      <c r="W1989" s="166"/>
      <c r="X1989" s="166"/>
      <c r="Y1989" s="166"/>
      <c r="Z1989" s="166"/>
      <c r="AA1989" s="166"/>
      <c r="AB1989" s="166"/>
      <c r="AC1989" s="166"/>
      <c r="AD1989" s="166"/>
      <c r="AE1989" s="166"/>
      <c r="AF1989" s="166"/>
      <c r="AG1989" s="166"/>
      <c r="AH1989" s="166"/>
      <c r="AI1989" s="166"/>
    </row>
    <row r="1990" spans="7:35" x14ac:dyDescent="0.25">
      <c r="G1990" s="165"/>
      <c r="H1990" s="166"/>
      <c r="I1990" s="167"/>
      <c r="J1990" s="167"/>
      <c r="K1990" s="166"/>
      <c r="L1990" s="166"/>
      <c r="M1990" s="166"/>
      <c r="N1990" s="166"/>
      <c r="O1990" s="166"/>
      <c r="P1990" s="166"/>
      <c r="Q1990" s="166"/>
      <c r="R1990" s="166"/>
      <c r="S1990" s="166"/>
      <c r="T1990" s="166"/>
      <c r="U1990" s="166"/>
      <c r="V1990" s="166"/>
      <c r="W1990" s="166"/>
      <c r="X1990" s="166"/>
      <c r="Y1990" s="166"/>
      <c r="Z1990" s="166"/>
      <c r="AA1990" s="166"/>
      <c r="AB1990" s="166"/>
      <c r="AC1990" s="166"/>
      <c r="AD1990" s="166"/>
      <c r="AE1990" s="166"/>
      <c r="AF1990" s="166"/>
      <c r="AG1990" s="166"/>
      <c r="AH1990" s="166"/>
      <c r="AI1990" s="166"/>
    </row>
    <row r="1991" spans="7:35" x14ac:dyDescent="0.25">
      <c r="G1991" s="165"/>
      <c r="H1991" s="166"/>
      <c r="I1991" s="167"/>
      <c r="J1991" s="167"/>
      <c r="K1991" s="166"/>
      <c r="L1991" s="166"/>
      <c r="M1991" s="166"/>
      <c r="N1991" s="166"/>
      <c r="O1991" s="166"/>
      <c r="P1991" s="166"/>
      <c r="Q1991" s="166"/>
      <c r="R1991" s="166"/>
      <c r="S1991" s="166"/>
      <c r="T1991" s="166"/>
      <c r="U1991" s="166"/>
      <c r="V1991" s="166"/>
      <c r="W1991" s="166"/>
      <c r="X1991" s="166"/>
      <c r="Y1991" s="166"/>
      <c r="Z1991" s="166"/>
      <c r="AA1991" s="166"/>
      <c r="AB1991" s="166"/>
      <c r="AC1991" s="166"/>
      <c r="AD1991" s="166"/>
      <c r="AE1991" s="166"/>
      <c r="AF1991" s="166"/>
      <c r="AG1991" s="166"/>
      <c r="AH1991" s="166"/>
      <c r="AI1991" s="166"/>
    </row>
    <row r="1992" spans="7:35" x14ac:dyDescent="0.25">
      <c r="G1992" s="165"/>
      <c r="H1992" s="166"/>
      <c r="I1992" s="167"/>
      <c r="J1992" s="167"/>
      <c r="K1992" s="166"/>
      <c r="L1992" s="166"/>
      <c r="M1992" s="166"/>
      <c r="N1992" s="166"/>
      <c r="O1992" s="166"/>
      <c r="P1992" s="166"/>
      <c r="Q1992" s="166"/>
      <c r="R1992" s="166"/>
      <c r="S1992" s="166"/>
      <c r="T1992" s="166"/>
      <c r="U1992" s="166"/>
      <c r="V1992" s="166"/>
      <c r="W1992" s="166"/>
      <c r="X1992" s="166"/>
      <c r="Y1992" s="166"/>
      <c r="Z1992" s="166"/>
      <c r="AA1992" s="166"/>
      <c r="AB1992" s="166"/>
      <c r="AC1992" s="166"/>
      <c r="AD1992" s="166"/>
      <c r="AE1992" s="166"/>
      <c r="AF1992" s="166"/>
      <c r="AG1992" s="166"/>
      <c r="AH1992" s="166"/>
      <c r="AI1992" s="166"/>
    </row>
    <row r="1993" spans="7:35" x14ac:dyDescent="0.25">
      <c r="G1993" s="165"/>
      <c r="H1993" s="166"/>
      <c r="I1993" s="167"/>
      <c r="J1993" s="167"/>
      <c r="K1993" s="166"/>
      <c r="L1993" s="166"/>
      <c r="M1993" s="166"/>
      <c r="N1993" s="166"/>
      <c r="O1993" s="166"/>
      <c r="P1993" s="166"/>
      <c r="Q1993" s="166"/>
      <c r="R1993" s="166"/>
      <c r="S1993" s="166"/>
      <c r="T1993" s="166"/>
      <c r="U1993" s="166"/>
      <c r="V1993" s="166"/>
      <c r="W1993" s="166"/>
      <c r="X1993" s="166"/>
      <c r="Y1993" s="166"/>
      <c r="Z1993" s="166"/>
      <c r="AA1993" s="166"/>
      <c r="AB1993" s="166"/>
      <c r="AC1993" s="166"/>
      <c r="AD1993" s="166"/>
      <c r="AE1993" s="166"/>
      <c r="AF1993" s="166"/>
      <c r="AG1993" s="166"/>
      <c r="AH1993" s="166"/>
      <c r="AI1993" s="166"/>
    </row>
    <row r="1994" spans="7:35" x14ac:dyDescent="0.25">
      <c r="G1994" s="165"/>
      <c r="H1994" s="166"/>
      <c r="I1994" s="167"/>
      <c r="J1994" s="167"/>
      <c r="K1994" s="166"/>
      <c r="L1994" s="166"/>
      <c r="M1994" s="166"/>
      <c r="N1994" s="166"/>
      <c r="O1994" s="166"/>
      <c r="P1994" s="166"/>
      <c r="Q1994" s="166"/>
      <c r="R1994" s="166"/>
      <c r="S1994" s="166"/>
      <c r="T1994" s="166"/>
      <c r="U1994" s="166"/>
      <c r="V1994" s="166"/>
      <c r="W1994" s="166"/>
      <c r="X1994" s="166"/>
      <c r="Y1994" s="166"/>
      <c r="Z1994" s="166"/>
      <c r="AA1994" s="166"/>
      <c r="AB1994" s="166"/>
      <c r="AC1994" s="166"/>
      <c r="AD1994" s="166"/>
      <c r="AE1994" s="166"/>
      <c r="AF1994" s="166"/>
      <c r="AG1994" s="166"/>
      <c r="AH1994" s="166"/>
      <c r="AI1994" s="166"/>
    </row>
    <row r="1995" spans="7:35" x14ac:dyDescent="0.25">
      <c r="G1995" s="165"/>
      <c r="H1995" s="166"/>
      <c r="I1995" s="167"/>
      <c r="J1995" s="167"/>
      <c r="K1995" s="166"/>
      <c r="L1995" s="166"/>
      <c r="M1995" s="166"/>
      <c r="N1995" s="166"/>
      <c r="O1995" s="166"/>
      <c r="P1995" s="166"/>
      <c r="Q1995" s="166"/>
      <c r="R1995" s="166"/>
      <c r="S1995" s="166"/>
      <c r="T1995" s="166"/>
      <c r="U1995" s="166"/>
      <c r="V1995" s="166"/>
      <c r="W1995" s="166"/>
      <c r="X1995" s="166"/>
      <c r="Y1995" s="166"/>
      <c r="Z1995" s="166"/>
      <c r="AA1995" s="166"/>
      <c r="AB1995" s="166"/>
      <c r="AC1995" s="166"/>
      <c r="AD1995" s="166"/>
      <c r="AE1995" s="166"/>
      <c r="AF1995" s="166"/>
      <c r="AG1995" s="166"/>
      <c r="AH1995" s="166"/>
      <c r="AI1995" s="166"/>
    </row>
    <row r="1996" spans="7:35" x14ac:dyDescent="0.25">
      <c r="G1996" s="165"/>
      <c r="H1996" s="166"/>
      <c r="I1996" s="167"/>
      <c r="J1996" s="167"/>
      <c r="K1996" s="166"/>
      <c r="L1996" s="166"/>
      <c r="M1996" s="166"/>
      <c r="N1996" s="166"/>
      <c r="O1996" s="166"/>
      <c r="P1996" s="166"/>
      <c r="Q1996" s="166"/>
      <c r="R1996" s="166"/>
      <c r="S1996" s="166"/>
      <c r="T1996" s="166"/>
      <c r="U1996" s="166"/>
      <c r="V1996" s="166"/>
      <c r="W1996" s="166"/>
      <c r="X1996" s="166"/>
      <c r="Y1996" s="166"/>
      <c r="Z1996" s="166"/>
      <c r="AA1996" s="166"/>
      <c r="AB1996" s="166"/>
      <c r="AC1996" s="166"/>
      <c r="AD1996" s="166"/>
      <c r="AE1996" s="166"/>
      <c r="AF1996" s="166"/>
      <c r="AG1996" s="166"/>
      <c r="AH1996" s="166"/>
      <c r="AI1996" s="166"/>
    </row>
    <row r="1997" spans="7:35" x14ac:dyDescent="0.25">
      <c r="G1997" s="165"/>
      <c r="H1997" s="166"/>
      <c r="I1997" s="167"/>
      <c r="J1997" s="167"/>
      <c r="K1997" s="166"/>
      <c r="L1997" s="166"/>
      <c r="M1997" s="166"/>
      <c r="N1997" s="166"/>
      <c r="O1997" s="166"/>
      <c r="P1997" s="166"/>
      <c r="Q1997" s="166"/>
      <c r="R1997" s="166"/>
      <c r="S1997" s="166"/>
      <c r="T1997" s="166"/>
      <c r="U1997" s="166"/>
      <c r="V1997" s="166"/>
      <c r="W1997" s="166"/>
      <c r="X1997" s="166"/>
      <c r="Y1997" s="166"/>
      <c r="Z1997" s="166"/>
      <c r="AA1997" s="166"/>
      <c r="AB1997" s="166"/>
      <c r="AC1997" s="166"/>
      <c r="AD1997" s="166"/>
      <c r="AE1997" s="166"/>
      <c r="AF1997" s="166"/>
      <c r="AG1997" s="166"/>
      <c r="AH1997" s="166"/>
      <c r="AI1997" s="166"/>
    </row>
    <row r="1998" spans="7:35" x14ac:dyDescent="0.25">
      <c r="G1998" s="165"/>
      <c r="H1998" s="166"/>
      <c r="I1998" s="167"/>
      <c r="J1998" s="167"/>
      <c r="K1998" s="166"/>
      <c r="L1998" s="166"/>
      <c r="M1998" s="166"/>
      <c r="N1998" s="166"/>
      <c r="O1998" s="166"/>
      <c r="P1998" s="166"/>
      <c r="Q1998" s="166"/>
      <c r="R1998" s="166"/>
      <c r="S1998" s="166"/>
      <c r="T1998" s="166"/>
      <c r="U1998" s="166"/>
      <c r="V1998" s="166"/>
      <c r="W1998" s="166"/>
      <c r="X1998" s="166"/>
      <c r="Y1998" s="166"/>
      <c r="Z1998" s="166"/>
      <c r="AA1998" s="166"/>
      <c r="AB1998" s="166"/>
      <c r="AC1998" s="166"/>
      <c r="AD1998" s="166"/>
      <c r="AE1998" s="166"/>
      <c r="AF1998" s="166"/>
      <c r="AG1998" s="166"/>
      <c r="AH1998" s="166"/>
      <c r="AI1998" s="166"/>
    </row>
    <row r="1999" spans="7:35" x14ac:dyDescent="0.25">
      <c r="G1999" s="165"/>
      <c r="H1999" s="166"/>
      <c r="I1999" s="167"/>
      <c r="J1999" s="167"/>
      <c r="K1999" s="166"/>
      <c r="L1999" s="166"/>
      <c r="M1999" s="166"/>
      <c r="N1999" s="166"/>
      <c r="O1999" s="166"/>
      <c r="P1999" s="166"/>
      <c r="Q1999" s="166"/>
      <c r="R1999" s="166"/>
      <c r="S1999" s="166"/>
      <c r="T1999" s="166"/>
      <c r="U1999" s="166"/>
      <c r="V1999" s="166"/>
      <c r="W1999" s="166"/>
      <c r="X1999" s="166"/>
      <c r="Y1999" s="166"/>
      <c r="Z1999" s="166"/>
      <c r="AA1999" s="166"/>
      <c r="AB1999" s="166"/>
      <c r="AC1999" s="166"/>
      <c r="AD1999" s="166"/>
      <c r="AE1999" s="166"/>
      <c r="AF1999" s="166"/>
      <c r="AG1999" s="166"/>
      <c r="AH1999" s="166"/>
      <c r="AI1999" s="166"/>
    </row>
    <row r="2000" spans="7:35" x14ac:dyDescent="0.25">
      <c r="G2000" s="165"/>
      <c r="H2000" s="166"/>
      <c r="I2000" s="167"/>
      <c r="J2000" s="167"/>
      <c r="K2000" s="166"/>
      <c r="L2000" s="166"/>
      <c r="M2000" s="166"/>
      <c r="N2000" s="166"/>
      <c r="O2000" s="166"/>
      <c r="P2000" s="166"/>
      <c r="Q2000" s="166"/>
      <c r="R2000" s="166"/>
      <c r="S2000" s="166"/>
      <c r="T2000" s="166"/>
      <c r="U2000" s="166"/>
      <c r="V2000" s="166"/>
      <c r="W2000" s="166"/>
      <c r="X2000" s="166"/>
      <c r="Y2000" s="166"/>
      <c r="Z2000" s="166"/>
      <c r="AA2000" s="166"/>
      <c r="AB2000" s="166"/>
      <c r="AC2000" s="166"/>
      <c r="AD2000" s="166"/>
      <c r="AE2000" s="166"/>
      <c r="AF2000" s="166"/>
      <c r="AG2000" s="166"/>
      <c r="AH2000" s="166"/>
      <c r="AI2000" s="166"/>
    </row>
    <row r="2001" spans="7:35" x14ac:dyDescent="0.25">
      <c r="G2001" s="165"/>
      <c r="H2001" s="166"/>
      <c r="I2001" s="167"/>
      <c r="J2001" s="167"/>
      <c r="K2001" s="166"/>
      <c r="L2001" s="166"/>
      <c r="M2001" s="166"/>
      <c r="N2001" s="166"/>
      <c r="O2001" s="166"/>
      <c r="P2001" s="166"/>
      <c r="Q2001" s="166"/>
      <c r="R2001" s="166"/>
      <c r="S2001" s="166"/>
      <c r="T2001" s="166"/>
      <c r="U2001" s="166"/>
      <c r="V2001" s="166"/>
      <c r="W2001" s="166"/>
      <c r="X2001" s="166"/>
      <c r="Y2001" s="166"/>
      <c r="Z2001" s="166"/>
      <c r="AA2001" s="166"/>
      <c r="AB2001" s="166"/>
      <c r="AC2001" s="166"/>
      <c r="AD2001" s="166"/>
      <c r="AE2001" s="166"/>
      <c r="AF2001" s="166"/>
      <c r="AG2001" s="166"/>
      <c r="AH2001" s="166"/>
      <c r="AI2001" s="166"/>
    </row>
    <row r="2002" spans="7:35" x14ac:dyDescent="0.25">
      <c r="G2002" s="165"/>
      <c r="H2002" s="166"/>
      <c r="I2002" s="167"/>
      <c r="J2002" s="167"/>
      <c r="K2002" s="166"/>
      <c r="L2002" s="166"/>
      <c r="M2002" s="166"/>
      <c r="N2002" s="166"/>
      <c r="O2002" s="166"/>
      <c r="P2002" s="166"/>
      <c r="Q2002" s="166"/>
      <c r="R2002" s="166"/>
      <c r="S2002" s="166"/>
      <c r="T2002" s="166"/>
      <c r="U2002" s="166"/>
      <c r="V2002" s="166"/>
      <c r="W2002" s="166"/>
      <c r="X2002" s="166"/>
      <c r="Y2002" s="166"/>
      <c r="Z2002" s="166"/>
      <c r="AA2002" s="166"/>
      <c r="AB2002" s="166"/>
      <c r="AC2002" s="166"/>
      <c r="AD2002" s="166"/>
      <c r="AE2002" s="166"/>
      <c r="AF2002" s="166"/>
      <c r="AG2002" s="166"/>
      <c r="AH2002" s="166"/>
      <c r="AI2002" s="166"/>
    </row>
    <row r="2003" spans="7:35" x14ac:dyDescent="0.25">
      <c r="G2003" s="165"/>
      <c r="H2003" s="166"/>
      <c r="I2003" s="167"/>
      <c r="J2003" s="167"/>
      <c r="K2003" s="166"/>
      <c r="L2003" s="166"/>
      <c r="M2003" s="166"/>
      <c r="N2003" s="166"/>
      <c r="O2003" s="166"/>
      <c r="P2003" s="166"/>
      <c r="Q2003" s="166"/>
      <c r="R2003" s="166"/>
      <c r="S2003" s="166"/>
      <c r="T2003" s="166"/>
      <c r="U2003" s="166"/>
      <c r="V2003" s="166"/>
      <c r="W2003" s="166"/>
      <c r="X2003" s="166"/>
      <c r="Y2003" s="166"/>
      <c r="Z2003" s="166"/>
      <c r="AA2003" s="166"/>
      <c r="AB2003" s="166"/>
      <c r="AC2003" s="166"/>
      <c r="AD2003" s="166"/>
      <c r="AE2003" s="166"/>
      <c r="AF2003" s="166"/>
      <c r="AG2003" s="166"/>
      <c r="AH2003" s="166"/>
      <c r="AI2003" s="166"/>
    </row>
    <row r="2004" spans="7:35" x14ac:dyDescent="0.25">
      <c r="G2004" s="165"/>
      <c r="H2004" s="166"/>
      <c r="I2004" s="167"/>
      <c r="J2004" s="167"/>
      <c r="K2004" s="166"/>
      <c r="L2004" s="166"/>
      <c r="M2004" s="166"/>
      <c r="N2004" s="166"/>
      <c r="O2004" s="166"/>
      <c r="P2004" s="166"/>
      <c r="Q2004" s="166"/>
      <c r="R2004" s="166"/>
      <c r="S2004" s="166"/>
      <c r="T2004" s="166"/>
      <c r="U2004" s="166"/>
      <c r="V2004" s="166"/>
      <c r="W2004" s="166"/>
      <c r="X2004" s="166"/>
      <c r="Y2004" s="166"/>
      <c r="Z2004" s="166"/>
      <c r="AA2004" s="166"/>
      <c r="AB2004" s="166"/>
      <c r="AC2004" s="166"/>
      <c r="AD2004" s="166"/>
      <c r="AE2004" s="166"/>
      <c r="AF2004" s="166"/>
      <c r="AG2004" s="166"/>
      <c r="AH2004" s="166"/>
      <c r="AI2004" s="166"/>
    </row>
    <row r="2005" spans="7:35" x14ac:dyDescent="0.25">
      <c r="G2005" s="165"/>
      <c r="H2005" s="166"/>
      <c r="I2005" s="167"/>
      <c r="J2005" s="167"/>
      <c r="K2005" s="166"/>
      <c r="L2005" s="166"/>
      <c r="M2005" s="166"/>
      <c r="N2005" s="166"/>
      <c r="O2005" s="166"/>
      <c r="P2005" s="166"/>
      <c r="Q2005" s="166"/>
      <c r="R2005" s="166"/>
      <c r="S2005" s="166"/>
      <c r="T2005" s="166"/>
      <c r="U2005" s="166"/>
      <c r="V2005" s="166"/>
      <c r="W2005" s="166"/>
      <c r="X2005" s="166"/>
      <c r="Y2005" s="166"/>
      <c r="Z2005" s="166"/>
      <c r="AA2005" s="166"/>
      <c r="AB2005" s="166"/>
      <c r="AC2005" s="166"/>
      <c r="AD2005" s="166"/>
      <c r="AE2005" s="166"/>
      <c r="AF2005" s="166"/>
      <c r="AG2005" s="166"/>
      <c r="AH2005" s="166"/>
      <c r="AI2005" s="166"/>
    </row>
    <row r="2006" spans="7:35" x14ac:dyDescent="0.25">
      <c r="G2006" s="165"/>
      <c r="H2006" s="166"/>
      <c r="I2006" s="167"/>
      <c r="J2006" s="167"/>
      <c r="K2006" s="166"/>
      <c r="L2006" s="166"/>
      <c r="M2006" s="166"/>
      <c r="N2006" s="166"/>
      <c r="O2006" s="166"/>
      <c r="P2006" s="166"/>
      <c r="Q2006" s="166"/>
      <c r="R2006" s="166"/>
      <c r="S2006" s="166"/>
      <c r="T2006" s="166"/>
      <c r="U2006" s="166"/>
      <c r="V2006" s="166"/>
      <c r="W2006" s="166"/>
      <c r="X2006" s="166"/>
      <c r="Y2006" s="166"/>
      <c r="Z2006" s="166"/>
      <c r="AA2006" s="166"/>
      <c r="AB2006" s="166"/>
      <c r="AC2006" s="166"/>
      <c r="AD2006" s="166"/>
      <c r="AE2006" s="166"/>
      <c r="AF2006" s="166"/>
      <c r="AG2006" s="166"/>
      <c r="AH2006" s="166"/>
      <c r="AI2006" s="166"/>
    </row>
    <row r="2007" spans="7:35" x14ac:dyDescent="0.25">
      <c r="G2007" s="165"/>
      <c r="H2007" s="166"/>
      <c r="I2007" s="167"/>
      <c r="J2007" s="167"/>
      <c r="K2007" s="166"/>
      <c r="L2007" s="166"/>
      <c r="M2007" s="166"/>
      <c r="N2007" s="166"/>
      <c r="O2007" s="166"/>
      <c r="P2007" s="166"/>
      <c r="Q2007" s="166"/>
      <c r="R2007" s="166"/>
      <c r="S2007" s="166"/>
      <c r="T2007" s="166"/>
      <c r="U2007" s="166"/>
      <c r="V2007" s="166"/>
      <c r="W2007" s="166"/>
      <c r="X2007" s="166"/>
      <c r="Y2007" s="166"/>
      <c r="Z2007" s="166"/>
      <c r="AA2007" s="166"/>
      <c r="AB2007" s="166"/>
      <c r="AC2007" s="166"/>
      <c r="AD2007" s="166"/>
      <c r="AE2007" s="166"/>
      <c r="AF2007" s="166"/>
      <c r="AG2007" s="166"/>
      <c r="AH2007" s="166"/>
      <c r="AI2007" s="166"/>
    </row>
    <row r="2008" spans="7:35" x14ac:dyDescent="0.25">
      <c r="G2008" s="165"/>
      <c r="H2008" s="166"/>
      <c r="I2008" s="167"/>
      <c r="J2008" s="167"/>
      <c r="K2008" s="166"/>
      <c r="L2008" s="166"/>
      <c r="M2008" s="166"/>
      <c r="N2008" s="166"/>
      <c r="O2008" s="166"/>
      <c r="P2008" s="166"/>
      <c r="Q2008" s="166"/>
      <c r="R2008" s="166"/>
      <c r="S2008" s="166"/>
      <c r="T2008" s="166"/>
      <c r="U2008" s="166"/>
      <c r="V2008" s="166"/>
      <c r="W2008" s="166"/>
      <c r="X2008" s="166"/>
      <c r="Y2008" s="166"/>
      <c r="Z2008" s="166"/>
      <c r="AA2008" s="166"/>
      <c r="AB2008" s="166"/>
      <c r="AC2008" s="166"/>
      <c r="AD2008" s="166"/>
      <c r="AE2008" s="166"/>
      <c r="AF2008" s="166"/>
      <c r="AG2008" s="166"/>
      <c r="AH2008" s="166"/>
      <c r="AI2008" s="166"/>
    </row>
    <row r="2009" spans="7:35" x14ac:dyDescent="0.25">
      <c r="G2009" s="165"/>
      <c r="H2009" s="166"/>
      <c r="I2009" s="167"/>
      <c r="J2009" s="167"/>
      <c r="K2009" s="166"/>
      <c r="L2009" s="166"/>
      <c r="M2009" s="166"/>
      <c r="N2009" s="166"/>
      <c r="O2009" s="166"/>
      <c r="P2009" s="166"/>
      <c r="Q2009" s="166"/>
      <c r="R2009" s="166"/>
      <c r="S2009" s="166"/>
      <c r="T2009" s="166"/>
      <c r="U2009" s="166"/>
      <c r="V2009" s="166"/>
      <c r="W2009" s="166"/>
      <c r="X2009" s="166"/>
      <c r="Y2009" s="166"/>
      <c r="Z2009" s="166"/>
      <c r="AA2009" s="166"/>
      <c r="AB2009" s="166"/>
      <c r="AC2009" s="166"/>
      <c r="AD2009" s="166"/>
      <c r="AE2009" s="166"/>
      <c r="AF2009" s="166"/>
      <c r="AG2009" s="166"/>
      <c r="AH2009" s="166"/>
      <c r="AI2009" s="166"/>
    </row>
    <row r="2010" spans="7:35" x14ac:dyDescent="0.25">
      <c r="G2010" s="165"/>
      <c r="H2010" s="166"/>
      <c r="I2010" s="167"/>
      <c r="J2010" s="167"/>
      <c r="K2010" s="166"/>
      <c r="L2010" s="166"/>
      <c r="M2010" s="166"/>
      <c r="N2010" s="166"/>
      <c r="O2010" s="166"/>
      <c r="P2010" s="166"/>
      <c r="Q2010" s="166"/>
      <c r="R2010" s="166"/>
      <c r="S2010" s="166"/>
      <c r="T2010" s="166"/>
      <c r="U2010" s="166"/>
      <c r="V2010" s="166"/>
      <c r="W2010" s="166"/>
      <c r="X2010" s="166"/>
      <c r="Y2010" s="166"/>
      <c r="Z2010" s="166"/>
      <c r="AA2010" s="166"/>
      <c r="AB2010" s="166"/>
      <c r="AC2010" s="166"/>
      <c r="AD2010" s="166"/>
      <c r="AE2010" s="166"/>
      <c r="AF2010" s="166"/>
      <c r="AG2010" s="166"/>
      <c r="AH2010" s="166"/>
      <c r="AI2010" s="166"/>
    </row>
    <row r="2011" spans="7:35" x14ac:dyDescent="0.25">
      <c r="G2011" s="165"/>
      <c r="H2011" s="166"/>
      <c r="I2011" s="167"/>
      <c r="J2011" s="167"/>
      <c r="K2011" s="166"/>
      <c r="L2011" s="166"/>
      <c r="M2011" s="166"/>
      <c r="N2011" s="166"/>
      <c r="O2011" s="166"/>
      <c r="P2011" s="166"/>
      <c r="Q2011" s="166"/>
      <c r="R2011" s="166"/>
      <c r="S2011" s="166"/>
      <c r="T2011" s="166"/>
      <c r="U2011" s="166"/>
      <c r="V2011" s="166"/>
      <c r="W2011" s="166"/>
      <c r="X2011" s="166"/>
      <c r="Y2011" s="166"/>
      <c r="Z2011" s="166"/>
      <c r="AA2011" s="166"/>
      <c r="AB2011" s="166"/>
      <c r="AC2011" s="166"/>
      <c r="AD2011" s="166"/>
      <c r="AE2011" s="166"/>
      <c r="AF2011" s="166"/>
      <c r="AG2011" s="166"/>
      <c r="AH2011" s="166"/>
      <c r="AI2011" s="166"/>
    </row>
    <row r="2012" spans="7:35" x14ac:dyDescent="0.25">
      <c r="G2012" s="165"/>
      <c r="H2012" s="166"/>
      <c r="I2012" s="167"/>
      <c r="J2012" s="167"/>
      <c r="K2012" s="166"/>
      <c r="L2012" s="166"/>
      <c r="M2012" s="166"/>
      <c r="N2012" s="166"/>
      <c r="O2012" s="166"/>
      <c r="P2012" s="166"/>
      <c r="Q2012" s="166"/>
      <c r="R2012" s="166"/>
      <c r="S2012" s="166"/>
      <c r="T2012" s="166"/>
      <c r="U2012" s="166"/>
      <c r="V2012" s="166"/>
      <c r="W2012" s="166"/>
      <c r="X2012" s="166"/>
      <c r="Y2012" s="166"/>
      <c r="Z2012" s="166"/>
      <c r="AA2012" s="166"/>
      <c r="AB2012" s="166"/>
      <c r="AC2012" s="166"/>
      <c r="AD2012" s="166"/>
      <c r="AE2012" s="166"/>
      <c r="AF2012" s="166"/>
      <c r="AG2012" s="166"/>
      <c r="AH2012" s="166"/>
      <c r="AI2012" s="166"/>
    </row>
    <row r="2013" spans="7:35" x14ac:dyDescent="0.25">
      <c r="G2013" s="165"/>
      <c r="H2013" s="166"/>
      <c r="I2013" s="167"/>
      <c r="J2013" s="167"/>
      <c r="K2013" s="166"/>
      <c r="L2013" s="166"/>
      <c r="M2013" s="166"/>
      <c r="N2013" s="166"/>
      <c r="O2013" s="166"/>
      <c r="P2013" s="166"/>
      <c r="Q2013" s="166"/>
      <c r="R2013" s="166"/>
      <c r="S2013" s="166"/>
      <c r="T2013" s="166"/>
      <c r="U2013" s="166"/>
      <c r="V2013" s="166"/>
      <c r="W2013" s="166"/>
      <c r="X2013" s="166"/>
      <c r="Y2013" s="166"/>
      <c r="Z2013" s="166"/>
      <c r="AA2013" s="166"/>
      <c r="AB2013" s="166"/>
      <c r="AC2013" s="166"/>
      <c r="AD2013" s="166"/>
      <c r="AE2013" s="166"/>
      <c r="AF2013" s="166"/>
      <c r="AG2013" s="166"/>
      <c r="AH2013" s="166"/>
      <c r="AI2013" s="166"/>
    </row>
    <row r="2014" spans="7:35" x14ac:dyDescent="0.25">
      <c r="G2014" s="165"/>
      <c r="H2014" s="166"/>
      <c r="I2014" s="167"/>
      <c r="J2014" s="167"/>
      <c r="K2014" s="166"/>
      <c r="L2014" s="166"/>
      <c r="M2014" s="166"/>
      <c r="N2014" s="166"/>
      <c r="O2014" s="166"/>
      <c r="P2014" s="166"/>
      <c r="Q2014" s="166"/>
      <c r="R2014" s="166"/>
      <c r="S2014" s="166"/>
      <c r="T2014" s="166"/>
      <c r="U2014" s="166"/>
      <c r="V2014" s="166"/>
      <c r="W2014" s="166"/>
      <c r="X2014" s="166"/>
      <c r="Y2014" s="166"/>
      <c r="Z2014" s="166"/>
      <c r="AA2014" s="166"/>
      <c r="AB2014" s="166"/>
      <c r="AC2014" s="166"/>
      <c r="AD2014" s="166"/>
      <c r="AE2014" s="166"/>
      <c r="AF2014" s="166"/>
      <c r="AG2014" s="166"/>
      <c r="AH2014" s="166"/>
      <c r="AI2014" s="166"/>
    </row>
    <row r="2015" spans="7:35" x14ac:dyDescent="0.25">
      <c r="G2015" s="165"/>
      <c r="H2015" s="166"/>
      <c r="I2015" s="167"/>
      <c r="J2015" s="167"/>
      <c r="K2015" s="166"/>
      <c r="L2015" s="166"/>
      <c r="M2015" s="166"/>
      <c r="N2015" s="166"/>
      <c r="O2015" s="166"/>
      <c r="P2015" s="166"/>
      <c r="Q2015" s="166"/>
      <c r="R2015" s="166"/>
      <c r="S2015" s="166"/>
      <c r="T2015" s="166"/>
      <c r="U2015" s="166"/>
      <c r="V2015" s="166"/>
      <c r="W2015" s="166"/>
      <c r="X2015" s="166"/>
      <c r="Y2015" s="166"/>
      <c r="Z2015" s="166"/>
      <c r="AA2015" s="166"/>
      <c r="AB2015" s="166"/>
      <c r="AC2015" s="166"/>
      <c r="AD2015" s="166"/>
      <c r="AE2015" s="166"/>
      <c r="AF2015" s="166"/>
      <c r="AG2015" s="166"/>
      <c r="AH2015" s="166"/>
      <c r="AI2015" s="166"/>
    </row>
    <row r="2016" spans="7:35" x14ac:dyDescent="0.25">
      <c r="G2016" s="165"/>
      <c r="H2016" s="166"/>
      <c r="I2016" s="167"/>
      <c r="J2016" s="167"/>
      <c r="K2016" s="166"/>
      <c r="L2016" s="166"/>
      <c r="M2016" s="166"/>
      <c r="N2016" s="166"/>
      <c r="O2016" s="166"/>
      <c r="P2016" s="166"/>
      <c r="Q2016" s="166"/>
      <c r="R2016" s="166"/>
      <c r="S2016" s="166"/>
      <c r="T2016" s="166"/>
      <c r="U2016" s="166"/>
      <c r="V2016" s="166"/>
      <c r="W2016" s="166"/>
      <c r="X2016" s="166"/>
      <c r="Y2016" s="166"/>
      <c r="Z2016" s="166"/>
      <c r="AA2016" s="166"/>
      <c r="AB2016" s="166"/>
      <c r="AC2016" s="166"/>
      <c r="AD2016" s="166"/>
      <c r="AE2016" s="166"/>
      <c r="AF2016" s="166"/>
      <c r="AG2016" s="166"/>
      <c r="AH2016" s="166"/>
      <c r="AI2016" s="166"/>
    </row>
    <row r="2017" spans="7:35" x14ac:dyDescent="0.25">
      <c r="G2017" s="165"/>
      <c r="H2017" s="166"/>
      <c r="I2017" s="167"/>
      <c r="J2017" s="167"/>
      <c r="K2017" s="166"/>
      <c r="L2017" s="166"/>
      <c r="M2017" s="166"/>
      <c r="N2017" s="166"/>
      <c r="O2017" s="166"/>
      <c r="P2017" s="166"/>
      <c r="Q2017" s="166"/>
      <c r="R2017" s="166"/>
      <c r="S2017" s="166"/>
      <c r="T2017" s="166"/>
      <c r="U2017" s="166"/>
      <c r="V2017" s="166"/>
      <c r="W2017" s="166"/>
      <c r="X2017" s="166"/>
      <c r="Y2017" s="166"/>
      <c r="Z2017" s="166"/>
      <c r="AA2017" s="166"/>
      <c r="AB2017" s="166"/>
      <c r="AC2017" s="166"/>
      <c r="AD2017" s="166"/>
      <c r="AE2017" s="166"/>
      <c r="AF2017" s="166"/>
      <c r="AG2017" s="166"/>
      <c r="AH2017" s="166"/>
      <c r="AI2017" s="166"/>
    </row>
    <row r="2018" spans="7:35" x14ac:dyDescent="0.25">
      <c r="G2018" s="165"/>
      <c r="H2018" s="166"/>
      <c r="I2018" s="167"/>
      <c r="J2018" s="167"/>
      <c r="K2018" s="166"/>
      <c r="L2018" s="166"/>
      <c r="M2018" s="166"/>
      <c r="N2018" s="166"/>
      <c r="O2018" s="166"/>
      <c r="P2018" s="166"/>
      <c r="Q2018" s="166"/>
      <c r="R2018" s="166"/>
      <c r="S2018" s="166"/>
      <c r="T2018" s="166"/>
      <c r="U2018" s="166"/>
      <c r="V2018" s="166"/>
      <c r="W2018" s="166"/>
      <c r="X2018" s="166"/>
      <c r="Y2018" s="166"/>
      <c r="Z2018" s="166"/>
      <c r="AA2018" s="166"/>
      <c r="AB2018" s="166"/>
      <c r="AC2018" s="166"/>
      <c r="AD2018" s="166"/>
      <c r="AE2018" s="166"/>
      <c r="AF2018" s="166"/>
      <c r="AG2018" s="166"/>
      <c r="AH2018" s="166"/>
      <c r="AI2018" s="166"/>
    </row>
    <row r="2019" spans="7:35" x14ac:dyDescent="0.25">
      <c r="G2019" s="165"/>
      <c r="H2019" s="166"/>
      <c r="I2019" s="167"/>
      <c r="J2019" s="167"/>
      <c r="K2019" s="166"/>
      <c r="L2019" s="166"/>
      <c r="M2019" s="166"/>
      <c r="N2019" s="166"/>
      <c r="O2019" s="166"/>
      <c r="P2019" s="166"/>
      <c r="Q2019" s="166"/>
      <c r="R2019" s="166"/>
      <c r="S2019" s="166"/>
      <c r="T2019" s="166"/>
      <c r="U2019" s="166"/>
      <c r="V2019" s="166"/>
      <c r="W2019" s="166"/>
      <c r="X2019" s="166"/>
      <c r="Y2019" s="166"/>
      <c r="Z2019" s="166"/>
      <c r="AA2019" s="166"/>
      <c r="AB2019" s="166"/>
      <c r="AC2019" s="166"/>
      <c r="AD2019" s="166"/>
      <c r="AE2019" s="166"/>
      <c r="AF2019" s="166"/>
      <c r="AG2019" s="166"/>
      <c r="AH2019" s="166"/>
      <c r="AI2019" s="166"/>
    </row>
    <row r="2020" spans="7:35" x14ac:dyDescent="0.25">
      <c r="G2020" s="165"/>
      <c r="H2020" s="166"/>
      <c r="I2020" s="167"/>
      <c r="J2020" s="167"/>
      <c r="K2020" s="166"/>
      <c r="L2020" s="166"/>
      <c r="M2020" s="166"/>
      <c r="N2020" s="166"/>
      <c r="O2020" s="166"/>
      <c r="P2020" s="166"/>
      <c r="Q2020" s="166"/>
      <c r="R2020" s="166"/>
      <c r="S2020" s="166"/>
      <c r="T2020" s="166"/>
      <c r="U2020" s="166"/>
      <c r="V2020" s="166"/>
      <c r="W2020" s="166"/>
      <c r="X2020" s="166"/>
      <c r="Y2020" s="166"/>
      <c r="Z2020" s="166"/>
      <c r="AA2020" s="166"/>
      <c r="AB2020" s="166"/>
      <c r="AC2020" s="166"/>
      <c r="AD2020" s="166"/>
      <c r="AE2020" s="166"/>
      <c r="AF2020" s="166"/>
      <c r="AG2020" s="166"/>
      <c r="AH2020" s="166"/>
      <c r="AI2020" s="166"/>
    </row>
    <row r="2021" spans="7:35" x14ac:dyDescent="0.25">
      <c r="G2021" s="165"/>
      <c r="H2021" s="166"/>
      <c r="I2021" s="167"/>
      <c r="J2021" s="167"/>
      <c r="K2021" s="166"/>
      <c r="L2021" s="166"/>
      <c r="M2021" s="166"/>
      <c r="N2021" s="166"/>
      <c r="O2021" s="166"/>
      <c r="P2021" s="166"/>
      <c r="Q2021" s="166"/>
      <c r="R2021" s="166"/>
      <c r="S2021" s="166"/>
      <c r="T2021" s="166"/>
      <c r="U2021" s="166"/>
      <c r="V2021" s="166"/>
      <c r="W2021" s="166"/>
      <c r="X2021" s="166"/>
      <c r="Y2021" s="166"/>
      <c r="Z2021" s="166"/>
      <c r="AA2021" s="166"/>
      <c r="AB2021" s="166"/>
      <c r="AC2021" s="166"/>
      <c r="AD2021" s="166"/>
      <c r="AE2021" s="166"/>
      <c r="AF2021" s="166"/>
      <c r="AG2021" s="166"/>
      <c r="AH2021" s="166"/>
      <c r="AI2021" s="166"/>
    </row>
    <row r="2022" spans="7:35" x14ac:dyDescent="0.25">
      <c r="G2022" s="165"/>
      <c r="H2022" s="166"/>
      <c r="I2022" s="167"/>
      <c r="J2022" s="167"/>
      <c r="K2022" s="166"/>
      <c r="L2022" s="166"/>
      <c r="M2022" s="166"/>
      <c r="N2022" s="166"/>
      <c r="O2022" s="166"/>
      <c r="P2022" s="166"/>
      <c r="Q2022" s="166"/>
      <c r="R2022" s="166"/>
      <c r="S2022" s="166"/>
      <c r="T2022" s="166"/>
      <c r="U2022" s="166"/>
      <c r="V2022" s="166"/>
      <c r="W2022" s="166"/>
      <c r="X2022" s="166"/>
      <c r="Y2022" s="166"/>
      <c r="Z2022" s="166"/>
      <c r="AA2022" s="166"/>
      <c r="AB2022" s="166"/>
      <c r="AC2022" s="166"/>
      <c r="AD2022" s="166"/>
      <c r="AE2022" s="166"/>
      <c r="AF2022" s="166"/>
      <c r="AG2022" s="166"/>
      <c r="AH2022" s="166"/>
      <c r="AI2022" s="166"/>
    </row>
    <row r="2023" spans="7:35" x14ac:dyDescent="0.25">
      <c r="G2023" s="165"/>
      <c r="H2023" s="166"/>
      <c r="I2023" s="167"/>
      <c r="J2023" s="167"/>
      <c r="K2023" s="166"/>
      <c r="L2023" s="166"/>
      <c r="M2023" s="166"/>
      <c r="N2023" s="166"/>
      <c r="O2023" s="166"/>
      <c r="P2023" s="166"/>
      <c r="Q2023" s="166"/>
      <c r="R2023" s="166"/>
      <c r="S2023" s="166"/>
      <c r="T2023" s="166"/>
      <c r="U2023" s="166"/>
      <c r="V2023" s="166"/>
      <c r="W2023" s="166"/>
      <c r="X2023" s="166"/>
      <c r="Y2023" s="166"/>
      <c r="Z2023" s="166"/>
      <c r="AA2023" s="166"/>
      <c r="AB2023" s="166"/>
      <c r="AC2023" s="166"/>
      <c r="AD2023" s="166"/>
      <c r="AE2023" s="166"/>
      <c r="AF2023" s="166"/>
      <c r="AG2023" s="166"/>
      <c r="AH2023" s="166"/>
      <c r="AI2023" s="166"/>
    </row>
    <row r="2024" spans="7:35" x14ac:dyDescent="0.25">
      <c r="G2024" s="165"/>
      <c r="H2024" s="166"/>
      <c r="I2024" s="167"/>
      <c r="J2024" s="167"/>
      <c r="K2024" s="166"/>
      <c r="L2024" s="166"/>
      <c r="M2024" s="166"/>
      <c r="N2024" s="166"/>
      <c r="O2024" s="166"/>
      <c r="P2024" s="166"/>
      <c r="Q2024" s="166"/>
      <c r="R2024" s="166"/>
      <c r="S2024" s="166"/>
      <c r="T2024" s="166"/>
      <c r="U2024" s="166"/>
      <c r="V2024" s="166"/>
      <c r="W2024" s="166"/>
      <c r="X2024" s="166"/>
      <c r="Y2024" s="166"/>
      <c r="Z2024" s="166"/>
      <c r="AA2024" s="166"/>
      <c r="AB2024" s="166"/>
      <c r="AC2024" s="166"/>
      <c r="AD2024" s="166"/>
      <c r="AE2024" s="166"/>
      <c r="AF2024" s="166"/>
      <c r="AG2024" s="166"/>
      <c r="AH2024" s="166"/>
      <c r="AI2024" s="166"/>
    </row>
    <row r="2025" spans="7:35" x14ac:dyDescent="0.25">
      <c r="G2025" s="165"/>
      <c r="H2025" s="166"/>
      <c r="I2025" s="167"/>
      <c r="J2025" s="167"/>
      <c r="K2025" s="166"/>
      <c r="L2025" s="166"/>
      <c r="M2025" s="166"/>
      <c r="N2025" s="166"/>
      <c r="O2025" s="166"/>
      <c r="P2025" s="166"/>
      <c r="Q2025" s="166"/>
      <c r="R2025" s="166"/>
      <c r="S2025" s="166"/>
      <c r="T2025" s="166"/>
      <c r="U2025" s="166"/>
      <c r="V2025" s="166"/>
      <c r="W2025" s="166"/>
      <c r="X2025" s="166"/>
      <c r="Y2025" s="166"/>
      <c r="Z2025" s="166"/>
      <c r="AA2025" s="166"/>
      <c r="AB2025" s="166"/>
      <c r="AC2025" s="166"/>
      <c r="AD2025" s="166"/>
      <c r="AE2025" s="166"/>
      <c r="AF2025" s="166"/>
      <c r="AG2025" s="166"/>
      <c r="AH2025" s="166"/>
      <c r="AI2025" s="166"/>
    </row>
    <row r="2026" spans="7:35" x14ac:dyDescent="0.25">
      <c r="G2026" s="165"/>
      <c r="H2026" s="166"/>
      <c r="I2026" s="167"/>
      <c r="J2026" s="167"/>
      <c r="K2026" s="166"/>
      <c r="L2026" s="166"/>
      <c r="M2026" s="166"/>
      <c r="N2026" s="166"/>
      <c r="O2026" s="166"/>
      <c r="P2026" s="166"/>
      <c r="Q2026" s="166"/>
      <c r="R2026" s="166"/>
      <c r="S2026" s="166"/>
      <c r="T2026" s="166"/>
      <c r="U2026" s="166"/>
      <c r="V2026" s="166"/>
      <c r="W2026" s="166"/>
      <c r="X2026" s="166"/>
      <c r="Y2026" s="166"/>
      <c r="Z2026" s="166"/>
      <c r="AA2026" s="166"/>
      <c r="AB2026" s="166"/>
      <c r="AC2026" s="166"/>
      <c r="AD2026" s="166"/>
      <c r="AE2026" s="166"/>
      <c r="AF2026" s="166"/>
      <c r="AG2026" s="166"/>
      <c r="AH2026" s="166"/>
      <c r="AI2026" s="166"/>
    </row>
    <row r="2027" spans="7:35" x14ac:dyDescent="0.25">
      <c r="G2027" s="165"/>
      <c r="H2027" s="166"/>
      <c r="I2027" s="167"/>
      <c r="J2027" s="167"/>
      <c r="K2027" s="166"/>
      <c r="L2027" s="166"/>
      <c r="M2027" s="166"/>
      <c r="N2027" s="166"/>
      <c r="O2027" s="166"/>
      <c r="P2027" s="166"/>
      <c r="Q2027" s="166"/>
      <c r="R2027" s="166"/>
      <c r="S2027" s="166"/>
      <c r="T2027" s="166"/>
      <c r="U2027" s="166"/>
      <c r="V2027" s="166"/>
      <c r="W2027" s="166"/>
      <c r="X2027" s="166"/>
      <c r="Y2027" s="166"/>
      <c r="Z2027" s="166"/>
      <c r="AA2027" s="166"/>
      <c r="AB2027" s="166"/>
      <c r="AC2027" s="166"/>
      <c r="AD2027" s="166"/>
      <c r="AE2027" s="166"/>
      <c r="AF2027" s="166"/>
      <c r="AG2027" s="166"/>
      <c r="AH2027" s="166"/>
      <c r="AI2027" s="166"/>
    </row>
    <row r="2028" spans="7:35" x14ac:dyDescent="0.25">
      <c r="G2028" s="165"/>
      <c r="H2028" s="166"/>
      <c r="I2028" s="167"/>
      <c r="J2028" s="167"/>
      <c r="K2028" s="166"/>
      <c r="L2028" s="166"/>
      <c r="M2028" s="166"/>
      <c r="N2028" s="166"/>
      <c r="O2028" s="166"/>
      <c r="P2028" s="166"/>
      <c r="Q2028" s="166"/>
      <c r="R2028" s="166"/>
      <c r="S2028" s="166"/>
      <c r="T2028" s="166"/>
      <c r="U2028" s="166"/>
      <c r="V2028" s="166"/>
      <c r="W2028" s="166"/>
      <c r="X2028" s="166"/>
      <c r="Y2028" s="166"/>
      <c r="Z2028" s="166"/>
      <c r="AA2028" s="166"/>
      <c r="AB2028" s="166"/>
      <c r="AC2028" s="166"/>
      <c r="AD2028" s="166"/>
      <c r="AE2028" s="166"/>
      <c r="AF2028" s="166"/>
      <c r="AG2028" s="166"/>
      <c r="AH2028" s="166"/>
      <c r="AI2028" s="166"/>
    </row>
    <row r="2029" spans="7:35" x14ac:dyDescent="0.25">
      <c r="G2029" s="165"/>
      <c r="H2029" s="166"/>
      <c r="I2029" s="167"/>
      <c r="J2029" s="167"/>
      <c r="K2029" s="166"/>
      <c r="L2029" s="166"/>
      <c r="M2029" s="166"/>
      <c r="N2029" s="166"/>
      <c r="O2029" s="166"/>
      <c r="P2029" s="166"/>
      <c r="Q2029" s="166"/>
      <c r="R2029" s="166"/>
      <c r="S2029" s="166"/>
      <c r="T2029" s="166"/>
      <c r="U2029" s="166"/>
      <c r="V2029" s="166"/>
      <c r="W2029" s="166"/>
      <c r="X2029" s="166"/>
      <c r="Y2029" s="166"/>
      <c r="Z2029" s="166"/>
      <c r="AA2029" s="166"/>
      <c r="AB2029" s="166"/>
      <c r="AC2029" s="166"/>
      <c r="AD2029" s="166"/>
      <c r="AE2029" s="166"/>
      <c r="AF2029" s="166"/>
      <c r="AG2029" s="166"/>
      <c r="AH2029" s="166"/>
      <c r="AI2029" s="166"/>
    </row>
    <row r="2030" spans="7:35" x14ac:dyDescent="0.25">
      <c r="G2030" s="165"/>
      <c r="H2030" s="166"/>
      <c r="I2030" s="167"/>
      <c r="J2030" s="167"/>
      <c r="K2030" s="166"/>
      <c r="L2030" s="166"/>
      <c r="M2030" s="166"/>
      <c r="N2030" s="166"/>
      <c r="O2030" s="166"/>
      <c r="P2030" s="166"/>
      <c r="Q2030" s="166"/>
      <c r="R2030" s="166"/>
      <c r="S2030" s="166"/>
      <c r="T2030" s="166"/>
      <c r="U2030" s="166"/>
      <c r="V2030" s="166"/>
      <c r="W2030" s="166"/>
      <c r="X2030" s="166"/>
      <c r="Y2030" s="166"/>
      <c r="Z2030" s="166"/>
      <c r="AA2030" s="166"/>
      <c r="AB2030" s="166"/>
      <c r="AC2030" s="166"/>
      <c r="AD2030" s="166"/>
      <c r="AE2030" s="166"/>
      <c r="AF2030" s="166"/>
      <c r="AG2030" s="166"/>
      <c r="AH2030" s="166"/>
      <c r="AI2030" s="166"/>
    </row>
    <row r="2031" spans="7:35" x14ac:dyDescent="0.25">
      <c r="G2031" s="165"/>
      <c r="H2031" s="166"/>
      <c r="I2031" s="167"/>
      <c r="J2031" s="167"/>
      <c r="K2031" s="166"/>
      <c r="L2031" s="166"/>
      <c r="M2031" s="166"/>
      <c r="N2031" s="166"/>
      <c r="O2031" s="166"/>
      <c r="P2031" s="166"/>
      <c r="Q2031" s="166"/>
      <c r="R2031" s="166"/>
      <c r="S2031" s="166"/>
      <c r="T2031" s="166"/>
      <c r="U2031" s="166"/>
      <c r="V2031" s="166"/>
      <c r="W2031" s="166"/>
      <c r="X2031" s="166"/>
      <c r="Y2031" s="166"/>
      <c r="Z2031" s="166"/>
      <c r="AA2031" s="166"/>
      <c r="AB2031" s="166"/>
      <c r="AC2031" s="166"/>
      <c r="AD2031" s="166"/>
      <c r="AE2031" s="166"/>
      <c r="AF2031" s="166"/>
      <c r="AG2031" s="166"/>
      <c r="AH2031" s="166"/>
      <c r="AI2031" s="166"/>
    </row>
    <row r="2032" spans="7:35" x14ac:dyDescent="0.25">
      <c r="G2032" s="165"/>
      <c r="H2032" s="166"/>
      <c r="I2032" s="167"/>
      <c r="J2032" s="167"/>
      <c r="K2032" s="166"/>
      <c r="L2032" s="166"/>
      <c r="M2032" s="166"/>
      <c r="N2032" s="166"/>
      <c r="O2032" s="166"/>
      <c r="P2032" s="166"/>
      <c r="Q2032" s="166"/>
      <c r="R2032" s="166"/>
      <c r="S2032" s="166"/>
      <c r="T2032" s="166"/>
      <c r="U2032" s="166"/>
      <c r="V2032" s="166"/>
      <c r="W2032" s="166"/>
      <c r="X2032" s="166"/>
      <c r="Y2032" s="166"/>
      <c r="Z2032" s="166"/>
      <c r="AA2032" s="166"/>
      <c r="AB2032" s="166"/>
      <c r="AC2032" s="166"/>
      <c r="AD2032" s="166"/>
      <c r="AE2032" s="166"/>
      <c r="AF2032" s="166"/>
      <c r="AG2032" s="166"/>
      <c r="AH2032" s="166"/>
      <c r="AI2032" s="166"/>
    </row>
    <row r="2033" spans="7:35" x14ac:dyDescent="0.25">
      <c r="G2033" s="165"/>
      <c r="H2033" s="166"/>
      <c r="I2033" s="167"/>
      <c r="J2033" s="167"/>
      <c r="K2033" s="166"/>
      <c r="L2033" s="166"/>
      <c r="M2033" s="166"/>
      <c r="N2033" s="166"/>
      <c r="O2033" s="166"/>
      <c r="P2033" s="166"/>
      <c r="Q2033" s="166"/>
      <c r="R2033" s="166"/>
      <c r="S2033" s="166"/>
      <c r="T2033" s="166"/>
      <c r="U2033" s="166"/>
      <c r="V2033" s="166"/>
      <c r="W2033" s="166"/>
      <c r="X2033" s="166"/>
      <c r="Y2033" s="166"/>
      <c r="Z2033" s="166"/>
      <c r="AA2033" s="166"/>
      <c r="AB2033" s="166"/>
      <c r="AC2033" s="166"/>
      <c r="AD2033" s="166"/>
      <c r="AE2033" s="166"/>
      <c r="AF2033" s="166"/>
      <c r="AG2033" s="166"/>
      <c r="AH2033" s="166"/>
      <c r="AI2033" s="166"/>
    </row>
    <row r="2034" spans="7:35" x14ac:dyDescent="0.25">
      <c r="G2034" s="165"/>
      <c r="H2034" s="166"/>
      <c r="I2034" s="167"/>
      <c r="J2034" s="167"/>
      <c r="K2034" s="166"/>
      <c r="L2034" s="166"/>
      <c r="M2034" s="166"/>
      <c r="N2034" s="166"/>
      <c r="O2034" s="166"/>
      <c r="P2034" s="166"/>
      <c r="Q2034" s="166"/>
      <c r="R2034" s="166"/>
      <c r="S2034" s="166"/>
      <c r="T2034" s="166"/>
      <c r="U2034" s="166"/>
      <c r="V2034" s="166"/>
      <c r="W2034" s="166"/>
      <c r="X2034" s="166"/>
      <c r="Y2034" s="166"/>
      <c r="Z2034" s="166"/>
      <c r="AA2034" s="166"/>
      <c r="AB2034" s="166"/>
      <c r="AC2034" s="166"/>
      <c r="AD2034" s="166"/>
      <c r="AE2034" s="166"/>
      <c r="AF2034" s="166"/>
      <c r="AG2034" s="166"/>
      <c r="AH2034" s="166"/>
      <c r="AI2034" s="166"/>
    </row>
    <row r="2035" spans="7:35" x14ac:dyDescent="0.25">
      <c r="G2035" s="165"/>
      <c r="H2035" s="166"/>
      <c r="I2035" s="167"/>
      <c r="J2035" s="167"/>
      <c r="K2035" s="166"/>
      <c r="L2035" s="166"/>
      <c r="M2035" s="166"/>
      <c r="N2035" s="166"/>
      <c r="O2035" s="166"/>
      <c r="P2035" s="166"/>
      <c r="Q2035" s="166"/>
      <c r="R2035" s="166"/>
      <c r="S2035" s="166"/>
      <c r="T2035" s="166"/>
      <c r="U2035" s="166"/>
      <c r="V2035" s="166"/>
      <c r="W2035" s="166"/>
      <c r="X2035" s="166"/>
      <c r="Y2035" s="166"/>
      <c r="Z2035" s="166"/>
      <c r="AA2035" s="166"/>
      <c r="AB2035" s="166"/>
      <c r="AC2035" s="166"/>
      <c r="AD2035" s="166"/>
      <c r="AE2035" s="166"/>
      <c r="AF2035" s="166"/>
      <c r="AG2035" s="166"/>
      <c r="AH2035" s="166"/>
      <c r="AI2035" s="166"/>
    </row>
    <row r="2036" spans="7:35" x14ac:dyDescent="0.25">
      <c r="G2036" s="165"/>
      <c r="H2036" s="166"/>
      <c r="I2036" s="167"/>
      <c r="J2036" s="167"/>
      <c r="K2036" s="166"/>
      <c r="L2036" s="166"/>
      <c r="M2036" s="166"/>
      <c r="N2036" s="166"/>
      <c r="O2036" s="166"/>
      <c r="P2036" s="166"/>
      <c r="Q2036" s="166"/>
      <c r="R2036" s="166"/>
      <c r="S2036" s="166"/>
      <c r="T2036" s="166"/>
      <c r="U2036" s="166"/>
      <c r="V2036" s="166"/>
      <c r="W2036" s="166"/>
      <c r="X2036" s="166"/>
      <c r="Y2036" s="166"/>
      <c r="Z2036" s="166"/>
      <c r="AA2036" s="166"/>
      <c r="AB2036" s="166"/>
      <c r="AC2036" s="166"/>
      <c r="AD2036" s="166"/>
      <c r="AE2036" s="166"/>
      <c r="AF2036" s="166"/>
      <c r="AG2036" s="166"/>
      <c r="AH2036" s="166"/>
      <c r="AI2036" s="166"/>
    </row>
    <row r="2037" spans="7:35" x14ac:dyDescent="0.25">
      <c r="G2037" s="165"/>
      <c r="H2037" s="166"/>
      <c r="I2037" s="167"/>
      <c r="J2037" s="167"/>
      <c r="K2037" s="166"/>
      <c r="L2037" s="166"/>
      <c r="M2037" s="166"/>
      <c r="N2037" s="166"/>
      <c r="O2037" s="166"/>
      <c r="P2037" s="166"/>
      <c r="Q2037" s="166"/>
      <c r="R2037" s="166"/>
      <c r="S2037" s="166"/>
      <c r="T2037" s="166"/>
      <c r="U2037" s="166"/>
      <c r="V2037" s="166"/>
      <c r="W2037" s="166"/>
      <c r="X2037" s="166"/>
      <c r="Y2037" s="166"/>
      <c r="Z2037" s="166"/>
      <c r="AA2037" s="166"/>
      <c r="AB2037" s="166"/>
      <c r="AC2037" s="166"/>
      <c r="AD2037" s="166"/>
      <c r="AE2037" s="166"/>
      <c r="AF2037" s="166"/>
      <c r="AG2037" s="166"/>
      <c r="AH2037" s="166"/>
      <c r="AI2037" s="166"/>
    </row>
    <row r="2038" spans="7:35" x14ac:dyDescent="0.25">
      <c r="G2038" s="165"/>
      <c r="H2038" s="166"/>
      <c r="I2038" s="167"/>
      <c r="J2038" s="167"/>
      <c r="K2038" s="166"/>
      <c r="L2038" s="166"/>
      <c r="M2038" s="166"/>
      <c r="N2038" s="166"/>
      <c r="O2038" s="166"/>
      <c r="P2038" s="166"/>
      <c r="Q2038" s="166"/>
      <c r="R2038" s="166"/>
      <c r="S2038" s="166"/>
      <c r="T2038" s="166"/>
      <c r="U2038" s="166"/>
      <c r="V2038" s="166"/>
      <c r="W2038" s="166"/>
      <c r="X2038" s="166"/>
      <c r="Y2038" s="166"/>
      <c r="Z2038" s="166"/>
      <c r="AA2038" s="166"/>
      <c r="AB2038" s="166"/>
      <c r="AC2038" s="166"/>
      <c r="AD2038" s="166"/>
      <c r="AE2038" s="166"/>
      <c r="AF2038" s="166"/>
      <c r="AG2038" s="166"/>
      <c r="AH2038" s="166"/>
      <c r="AI2038" s="166"/>
    </row>
    <row r="2039" spans="7:35" x14ac:dyDescent="0.25">
      <c r="G2039" s="165"/>
      <c r="H2039" s="166"/>
      <c r="I2039" s="167"/>
      <c r="J2039" s="167"/>
      <c r="K2039" s="166"/>
      <c r="L2039" s="166"/>
      <c r="M2039" s="166"/>
      <c r="N2039" s="166"/>
      <c r="O2039" s="166"/>
      <c r="P2039" s="166"/>
      <c r="Q2039" s="166"/>
      <c r="R2039" s="166"/>
      <c r="S2039" s="166"/>
      <c r="T2039" s="166"/>
      <c r="U2039" s="166"/>
      <c r="V2039" s="166"/>
      <c r="W2039" s="166"/>
      <c r="X2039" s="166"/>
      <c r="Y2039" s="166"/>
      <c r="Z2039" s="166"/>
      <c r="AA2039" s="166"/>
      <c r="AB2039" s="166"/>
      <c r="AC2039" s="166"/>
      <c r="AD2039" s="166"/>
      <c r="AE2039" s="166"/>
      <c r="AF2039" s="166"/>
      <c r="AG2039" s="166"/>
      <c r="AH2039" s="166"/>
      <c r="AI2039" s="166"/>
    </row>
    <row r="2040" spans="7:35" x14ac:dyDescent="0.25">
      <c r="G2040" s="165"/>
      <c r="H2040" s="166"/>
      <c r="I2040" s="167"/>
      <c r="J2040" s="167"/>
      <c r="K2040" s="166"/>
      <c r="L2040" s="166"/>
      <c r="M2040" s="166"/>
      <c r="N2040" s="166"/>
      <c r="O2040" s="166"/>
      <c r="P2040" s="166"/>
      <c r="Q2040" s="166"/>
      <c r="R2040" s="166"/>
      <c r="S2040" s="166"/>
      <c r="T2040" s="166"/>
      <c r="U2040" s="166"/>
      <c r="V2040" s="166"/>
      <c r="W2040" s="166"/>
      <c r="X2040" s="166"/>
      <c r="Y2040" s="166"/>
      <c r="Z2040" s="166"/>
      <c r="AA2040" s="166"/>
      <c r="AB2040" s="166"/>
      <c r="AC2040" s="166"/>
      <c r="AD2040" s="166"/>
      <c r="AE2040" s="166"/>
      <c r="AF2040" s="166"/>
      <c r="AG2040" s="166"/>
      <c r="AH2040" s="166"/>
      <c r="AI2040" s="166"/>
    </row>
    <row r="2041" spans="7:35" x14ac:dyDescent="0.25">
      <c r="G2041" s="165"/>
      <c r="H2041" s="166"/>
      <c r="I2041" s="167"/>
      <c r="J2041" s="167"/>
      <c r="K2041" s="166"/>
      <c r="L2041" s="166"/>
      <c r="M2041" s="166"/>
      <c r="N2041" s="166"/>
      <c r="O2041" s="166"/>
      <c r="P2041" s="166"/>
      <c r="Q2041" s="166"/>
      <c r="R2041" s="166"/>
      <c r="S2041" s="166"/>
      <c r="T2041" s="166"/>
      <c r="U2041" s="166"/>
      <c r="V2041" s="166"/>
      <c r="W2041" s="166"/>
      <c r="X2041" s="166"/>
      <c r="Y2041" s="166"/>
      <c r="Z2041" s="166"/>
      <c r="AA2041" s="166"/>
      <c r="AB2041" s="166"/>
      <c r="AC2041" s="166"/>
      <c r="AD2041" s="166"/>
      <c r="AE2041" s="166"/>
      <c r="AF2041" s="166"/>
      <c r="AG2041" s="166"/>
      <c r="AH2041" s="166"/>
      <c r="AI2041" s="166"/>
    </row>
    <row r="2042" spans="7:35" x14ac:dyDescent="0.25">
      <c r="G2042" s="165"/>
      <c r="H2042" s="166"/>
      <c r="I2042" s="167"/>
      <c r="J2042" s="167"/>
      <c r="K2042" s="166"/>
      <c r="L2042" s="166"/>
      <c r="M2042" s="166"/>
      <c r="N2042" s="166"/>
      <c r="O2042" s="166"/>
      <c r="P2042" s="166"/>
      <c r="Q2042" s="166"/>
      <c r="R2042" s="166"/>
      <c r="S2042" s="166"/>
      <c r="T2042" s="166"/>
      <c r="U2042" s="166"/>
      <c r="V2042" s="166"/>
      <c r="W2042" s="166"/>
      <c r="X2042" s="166"/>
      <c r="Y2042" s="166"/>
      <c r="Z2042" s="166"/>
      <c r="AA2042" s="166"/>
      <c r="AB2042" s="166"/>
      <c r="AC2042" s="166"/>
      <c r="AD2042" s="166"/>
      <c r="AE2042" s="166"/>
      <c r="AF2042" s="166"/>
      <c r="AG2042" s="166"/>
      <c r="AH2042" s="166"/>
      <c r="AI2042" s="166"/>
    </row>
    <row r="2043" spans="7:35" x14ac:dyDescent="0.25">
      <c r="G2043" s="165"/>
      <c r="H2043" s="166"/>
      <c r="I2043" s="167"/>
      <c r="J2043" s="167"/>
      <c r="K2043" s="166"/>
      <c r="L2043" s="166"/>
      <c r="M2043" s="166"/>
      <c r="N2043" s="166"/>
      <c r="O2043" s="166"/>
      <c r="P2043" s="166"/>
      <c r="Q2043" s="166"/>
      <c r="R2043" s="166"/>
      <c r="S2043" s="166"/>
      <c r="T2043" s="166"/>
      <c r="U2043" s="166"/>
      <c r="V2043" s="166"/>
      <c r="W2043" s="166"/>
      <c r="X2043" s="166"/>
      <c r="Y2043" s="166"/>
      <c r="Z2043" s="166"/>
      <c r="AA2043" s="166"/>
      <c r="AB2043" s="166"/>
      <c r="AC2043" s="166"/>
      <c r="AD2043" s="166"/>
      <c r="AE2043" s="166"/>
      <c r="AF2043" s="166"/>
      <c r="AG2043" s="166"/>
      <c r="AH2043" s="166"/>
      <c r="AI2043" s="166"/>
    </row>
    <row r="2044" spans="7:35" x14ac:dyDescent="0.25">
      <c r="G2044" s="165"/>
      <c r="H2044" s="166"/>
      <c r="I2044" s="167"/>
      <c r="J2044" s="167"/>
      <c r="K2044" s="166"/>
      <c r="L2044" s="166"/>
      <c r="M2044" s="166"/>
      <c r="N2044" s="166"/>
      <c r="O2044" s="166"/>
      <c r="P2044" s="166"/>
      <c r="Q2044" s="166"/>
      <c r="R2044" s="166"/>
      <c r="S2044" s="166"/>
      <c r="T2044" s="166"/>
      <c r="U2044" s="166"/>
      <c r="V2044" s="166"/>
      <c r="W2044" s="166"/>
      <c r="X2044" s="166"/>
      <c r="Y2044" s="166"/>
      <c r="Z2044" s="166"/>
      <c r="AA2044" s="166"/>
      <c r="AB2044" s="166"/>
      <c r="AC2044" s="166"/>
      <c r="AD2044" s="166"/>
      <c r="AE2044" s="166"/>
      <c r="AF2044" s="166"/>
      <c r="AG2044" s="166"/>
      <c r="AH2044" s="166"/>
      <c r="AI2044" s="166"/>
    </row>
    <row r="2045" spans="7:35" x14ac:dyDescent="0.25">
      <c r="G2045" s="165"/>
      <c r="H2045" s="166"/>
      <c r="I2045" s="167"/>
      <c r="J2045" s="167"/>
      <c r="K2045" s="166"/>
      <c r="L2045" s="166"/>
      <c r="M2045" s="166"/>
      <c r="N2045" s="166"/>
      <c r="O2045" s="166"/>
      <c r="P2045" s="166"/>
      <c r="Q2045" s="166"/>
      <c r="R2045" s="166"/>
      <c r="S2045" s="166"/>
      <c r="T2045" s="166"/>
      <c r="U2045" s="166"/>
      <c r="V2045" s="166"/>
      <c r="W2045" s="166"/>
      <c r="X2045" s="166"/>
      <c r="Y2045" s="166"/>
      <c r="Z2045" s="166"/>
      <c r="AA2045" s="166"/>
      <c r="AB2045" s="166"/>
      <c r="AC2045" s="166"/>
      <c r="AD2045" s="166"/>
      <c r="AE2045" s="166"/>
      <c r="AF2045" s="166"/>
      <c r="AG2045" s="166"/>
      <c r="AH2045" s="166"/>
      <c r="AI2045" s="166"/>
    </row>
    <row r="2046" spans="7:35" x14ac:dyDescent="0.25">
      <c r="G2046" s="165"/>
      <c r="H2046" s="166"/>
      <c r="I2046" s="167"/>
      <c r="J2046" s="167"/>
      <c r="K2046" s="166"/>
      <c r="L2046" s="166"/>
      <c r="M2046" s="166"/>
      <c r="N2046" s="166"/>
      <c r="O2046" s="166"/>
      <c r="P2046" s="166"/>
      <c r="Q2046" s="166"/>
      <c r="R2046" s="166"/>
      <c r="S2046" s="166"/>
      <c r="T2046" s="166"/>
      <c r="U2046" s="166"/>
      <c r="V2046" s="166"/>
      <c r="W2046" s="166"/>
      <c r="X2046" s="166"/>
      <c r="Y2046" s="166"/>
      <c r="Z2046" s="166"/>
      <c r="AA2046" s="166"/>
      <c r="AB2046" s="166"/>
      <c r="AC2046" s="166"/>
      <c r="AD2046" s="166"/>
      <c r="AE2046" s="166"/>
      <c r="AF2046" s="166"/>
      <c r="AG2046" s="166"/>
      <c r="AH2046" s="166"/>
      <c r="AI2046" s="166"/>
    </row>
    <row r="2047" spans="7:35" x14ac:dyDescent="0.25">
      <c r="G2047" s="165"/>
      <c r="H2047" s="166"/>
      <c r="I2047" s="167"/>
      <c r="J2047" s="167"/>
      <c r="K2047" s="166"/>
      <c r="L2047" s="166"/>
      <c r="M2047" s="166"/>
      <c r="N2047" s="166"/>
      <c r="O2047" s="166"/>
      <c r="P2047" s="166"/>
      <c r="Q2047" s="166"/>
      <c r="R2047" s="166"/>
      <c r="S2047" s="166"/>
      <c r="T2047" s="166"/>
      <c r="U2047" s="166"/>
      <c r="V2047" s="166"/>
      <c r="W2047" s="166"/>
      <c r="X2047" s="166"/>
      <c r="Y2047" s="166"/>
      <c r="Z2047" s="166"/>
      <c r="AA2047" s="166"/>
      <c r="AB2047" s="166"/>
      <c r="AC2047" s="166"/>
      <c r="AD2047" s="166"/>
      <c r="AE2047" s="166"/>
      <c r="AF2047" s="166"/>
      <c r="AG2047" s="166"/>
      <c r="AH2047" s="166"/>
      <c r="AI2047" s="166"/>
    </row>
    <row r="2048" spans="7:35" x14ac:dyDescent="0.25">
      <c r="G2048" s="165"/>
      <c r="H2048" s="166"/>
      <c r="I2048" s="167"/>
      <c r="J2048" s="167"/>
      <c r="K2048" s="166"/>
      <c r="L2048" s="166"/>
      <c r="M2048" s="166"/>
      <c r="N2048" s="166"/>
      <c r="O2048" s="166"/>
      <c r="P2048" s="166"/>
      <c r="Q2048" s="166"/>
      <c r="R2048" s="166"/>
      <c r="S2048" s="166"/>
      <c r="T2048" s="166"/>
      <c r="U2048" s="166"/>
      <c r="V2048" s="166"/>
      <c r="W2048" s="166"/>
      <c r="X2048" s="166"/>
      <c r="Y2048" s="166"/>
      <c r="Z2048" s="166"/>
      <c r="AA2048" s="166"/>
      <c r="AB2048" s="166"/>
      <c r="AC2048" s="166"/>
      <c r="AD2048" s="166"/>
      <c r="AE2048" s="166"/>
      <c r="AF2048" s="166"/>
      <c r="AG2048" s="166"/>
      <c r="AH2048" s="166"/>
      <c r="AI2048" s="166"/>
    </row>
    <row r="2049" spans="7:35" x14ac:dyDescent="0.25">
      <c r="G2049" s="165"/>
      <c r="H2049" s="166"/>
      <c r="I2049" s="167"/>
      <c r="J2049" s="167"/>
      <c r="K2049" s="166"/>
      <c r="L2049" s="166"/>
      <c r="M2049" s="166"/>
      <c r="N2049" s="166"/>
      <c r="O2049" s="166"/>
      <c r="P2049" s="166"/>
      <c r="Q2049" s="166"/>
      <c r="R2049" s="166"/>
      <c r="S2049" s="166"/>
      <c r="T2049" s="166"/>
      <c r="U2049" s="166"/>
      <c r="V2049" s="166"/>
      <c r="W2049" s="166"/>
      <c r="X2049" s="166"/>
      <c r="Y2049" s="166"/>
      <c r="Z2049" s="166"/>
      <c r="AA2049" s="166"/>
      <c r="AB2049" s="166"/>
      <c r="AC2049" s="166"/>
      <c r="AD2049" s="166"/>
      <c r="AE2049" s="166"/>
      <c r="AF2049" s="166"/>
      <c r="AG2049" s="166"/>
      <c r="AH2049" s="166"/>
      <c r="AI2049" s="166"/>
    </row>
    <row r="2050" spans="7:35" x14ac:dyDescent="0.25">
      <c r="G2050" s="165"/>
      <c r="H2050" s="166"/>
      <c r="I2050" s="167"/>
      <c r="J2050" s="167"/>
      <c r="K2050" s="166"/>
      <c r="L2050" s="166"/>
      <c r="M2050" s="166"/>
      <c r="N2050" s="166"/>
      <c r="O2050" s="166"/>
      <c r="P2050" s="166"/>
      <c r="Q2050" s="166"/>
      <c r="R2050" s="166"/>
      <c r="S2050" s="166"/>
      <c r="T2050" s="166"/>
      <c r="U2050" s="166"/>
      <c r="V2050" s="166"/>
      <c r="W2050" s="166"/>
      <c r="X2050" s="166"/>
      <c r="Y2050" s="166"/>
      <c r="Z2050" s="166"/>
      <c r="AA2050" s="166"/>
      <c r="AB2050" s="166"/>
      <c r="AC2050" s="166"/>
      <c r="AD2050" s="166"/>
      <c r="AE2050" s="166"/>
      <c r="AF2050" s="166"/>
      <c r="AG2050" s="166"/>
      <c r="AH2050" s="166"/>
      <c r="AI2050" s="166"/>
    </row>
    <row r="2051" spans="7:35" x14ac:dyDescent="0.25">
      <c r="G2051" s="165"/>
      <c r="H2051" s="166"/>
      <c r="I2051" s="167"/>
      <c r="J2051" s="167"/>
      <c r="K2051" s="166"/>
      <c r="L2051" s="166"/>
      <c r="M2051" s="166"/>
      <c r="N2051" s="166"/>
      <c r="O2051" s="166"/>
      <c r="P2051" s="166"/>
      <c r="Q2051" s="166"/>
      <c r="R2051" s="166"/>
      <c r="S2051" s="166"/>
      <c r="T2051" s="166"/>
      <c r="U2051" s="166"/>
      <c r="V2051" s="166"/>
      <c r="W2051" s="166"/>
      <c r="X2051" s="166"/>
      <c r="Y2051" s="166"/>
      <c r="Z2051" s="166"/>
      <c r="AA2051" s="166"/>
      <c r="AB2051" s="166"/>
      <c r="AC2051" s="166"/>
      <c r="AD2051" s="166"/>
      <c r="AE2051" s="166"/>
      <c r="AF2051" s="166"/>
      <c r="AG2051" s="166"/>
      <c r="AH2051" s="166"/>
      <c r="AI2051" s="166"/>
    </row>
    <row r="2052" spans="7:35" x14ac:dyDescent="0.25">
      <c r="G2052" s="165"/>
      <c r="H2052" s="166"/>
      <c r="I2052" s="167"/>
      <c r="J2052" s="167"/>
      <c r="K2052" s="166"/>
      <c r="L2052" s="166"/>
      <c r="M2052" s="166"/>
      <c r="N2052" s="166"/>
      <c r="O2052" s="166"/>
      <c r="P2052" s="166"/>
      <c r="Q2052" s="166"/>
      <c r="R2052" s="166"/>
      <c r="S2052" s="166"/>
      <c r="T2052" s="166"/>
      <c r="U2052" s="166"/>
      <c r="V2052" s="166"/>
      <c r="W2052" s="166"/>
      <c r="X2052" s="166"/>
      <c r="Y2052" s="166"/>
      <c r="Z2052" s="166"/>
      <c r="AA2052" s="166"/>
      <c r="AB2052" s="166"/>
      <c r="AC2052" s="166"/>
      <c r="AD2052" s="166"/>
      <c r="AE2052" s="166"/>
      <c r="AF2052" s="166"/>
      <c r="AG2052" s="166"/>
      <c r="AH2052" s="166"/>
      <c r="AI2052" s="166"/>
    </row>
    <row r="2053" spans="7:35" x14ac:dyDescent="0.25">
      <c r="G2053" s="165"/>
      <c r="H2053" s="166"/>
      <c r="I2053" s="167"/>
      <c r="J2053" s="167"/>
      <c r="K2053" s="166"/>
      <c r="L2053" s="166"/>
      <c r="M2053" s="166"/>
      <c r="N2053" s="166"/>
      <c r="O2053" s="166"/>
      <c r="P2053" s="166"/>
      <c r="Q2053" s="166"/>
      <c r="R2053" s="166"/>
      <c r="S2053" s="166"/>
      <c r="T2053" s="166"/>
      <c r="U2053" s="166"/>
      <c r="V2053" s="166"/>
      <c r="W2053" s="166"/>
      <c r="X2053" s="166"/>
      <c r="Y2053" s="166"/>
      <c r="Z2053" s="166"/>
      <c r="AA2053" s="166"/>
      <c r="AB2053" s="166"/>
      <c r="AC2053" s="166"/>
      <c r="AD2053" s="166"/>
      <c r="AE2053" s="166"/>
      <c r="AF2053" s="166"/>
      <c r="AG2053" s="166"/>
      <c r="AH2053" s="166"/>
      <c r="AI2053" s="166"/>
    </row>
    <row r="2054" spans="7:35" x14ac:dyDescent="0.25">
      <c r="G2054" s="165"/>
      <c r="H2054" s="166"/>
      <c r="I2054" s="167"/>
      <c r="J2054" s="167"/>
      <c r="K2054" s="166"/>
      <c r="L2054" s="166"/>
      <c r="M2054" s="166"/>
      <c r="N2054" s="166"/>
      <c r="O2054" s="166"/>
      <c r="P2054" s="166"/>
      <c r="Q2054" s="166"/>
      <c r="R2054" s="166"/>
      <c r="S2054" s="166"/>
      <c r="T2054" s="166"/>
      <c r="U2054" s="166"/>
      <c r="V2054" s="166"/>
      <c r="W2054" s="166"/>
      <c r="X2054" s="166"/>
      <c r="Y2054" s="166"/>
      <c r="Z2054" s="166"/>
      <c r="AA2054" s="166"/>
      <c r="AB2054" s="166"/>
      <c r="AC2054" s="166"/>
      <c r="AD2054" s="166"/>
      <c r="AE2054" s="166"/>
      <c r="AF2054" s="166"/>
      <c r="AG2054" s="166"/>
      <c r="AH2054" s="166"/>
      <c r="AI2054" s="166"/>
    </row>
    <row r="2055" spans="7:35" x14ac:dyDescent="0.25">
      <c r="G2055" s="165"/>
      <c r="H2055" s="166"/>
      <c r="I2055" s="167"/>
      <c r="J2055" s="167"/>
      <c r="K2055" s="166"/>
      <c r="L2055" s="166"/>
      <c r="M2055" s="166"/>
      <c r="N2055" s="166"/>
      <c r="O2055" s="166"/>
      <c r="P2055" s="166"/>
      <c r="Q2055" s="166"/>
      <c r="R2055" s="166"/>
      <c r="S2055" s="166"/>
      <c r="T2055" s="166"/>
      <c r="U2055" s="166"/>
      <c r="V2055" s="166"/>
      <c r="W2055" s="166"/>
      <c r="X2055" s="166"/>
      <c r="Y2055" s="166"/>
      <c r="Z2055" s="166"/>
      <c r="AA2055" s="166"/>
      <c r="AB2055" s="166"/>
      <c r="AC2055" s="166"/>
      <c r="AD2055" s="166"/>
      <c r="AE2055" s="166"/>
      <c r="AF2055" s="166"/>
      <c r="AG2055" s="166"/>
      <c r="AH2055" s="166"/>
      <c r="AI2055" s="166"/>
    </row>
    <row r="2056" spans="7:35" x14ac:dyDescent="0.25">
      <c r="G2056" s="165"/>
      <c r="H2056" s="166"/>
      <c r="I2056" s="167"/>
      <c r="J2056" s="167"/>
      <c r="K2056" s="166"/>
      <c r="L2056" s="166"/>
      <c r="M2056" s="166"/>
      <c r="N2056" s="166"/>
      <c r="O2056" s="166"/>
      <c r="P2056" s="166"/>
      <c r="Q2056" s="166"/>
      <c r="R2056" s="166"/>
      <c r="S2056" s="166"/>
      <c r="T2056" s="166"/>
      <c r="U2056" s="166"/>
      <c r="V2056" s="166"/>
      <c r="W2056" s="166"/>
      <c r="X2056" s="166"/>
      <c r="Y2056" s="166"/>
      <c r="Z2056" s="166"/>
      <c r="AA2056" s="166"/>
      <c r="AB2056" s="166"/>
      <c r="AC2056" s="166"/>
      <c r="AD2056" s="166"/>
      <c r="AE2056" s="166"/>
      <c r="AF2056" s="166"/>
      <c r="AG2056" s="166"/>
      <c r="AH2056" s="166"/>
      <c r="AI2056" s="166"/>
    </row>
    <row r="2057" spans="7:35" x14ac:dyDescent="0.25">
      <c r="G2057" s="165"/>
      <c r="H2057" s="166"/>
      <c r="I2057" s="167"/>
      <c r="J2057" s="167"/>
      <c r="K2057" s="166"/>
      <c r="L2057" s="166"/>
      <c r="M2057" s="166"/>
      <c r="N2057" s="166"/>
      <c r="O2057" s="166"/>
      <c r="P2057" s="166"/>
      <c r="Q2057" s="166"/>
      <c r="R2057" s="166"/>
      <c r="S2057" s="166"/>
      <c r="T2057" s="166"/>
      <c r="U2057" s="166"/>
      <c r="V2057" s="166"/>
      <c r="W2057" s="166"/>
      <c r="X2057" s="166"/>
      <c r="Y2057" s="166"/>
      <c r="Z2057" s="166"/>
      <c r="AA2057" s="166"/>
      <c r="AB2057" s="166"/>
      <c r="AC2057" s="166"/>
      <c r="AD2057" s="166"/>
      <c r="AE2057" s="166"/>
      <c r="AF2057" s="166"/>
      <c r="AG2057" s="166"/>
      <c r="AH2057" s="166"/>
      <c r="AI2057" s="166"/>
    </row>
    <row r="2058" spans="7:35" x14ac:dyDescent="0.25">
      <c r="G2058" s="165"/>
      <c r="H2058" s="166"/>
      <c r="I2058" s="167"/>
      <c r="J2058" s="167"/>
      <c r="K2058" s="166"/>
      <c r="L2058" s="166"/>
      <c r="M2058" s="166"/>
      <c r="N2058" s="166"/>
      <c r="O2058" s="166"/>
      <c r="P2058" s="166"/>
      <c r="Q2058" s="166"/>
      <c r="R2058" s="166"/>
      <c r="S2058" s="166"/>
      <c r="T2058" s="166"/>
      <c r="U2058" s="166"/>
      <c r="V2058" s="166"/>
      <c r="W2058" s="166"/>
      <c r="X2058" s="166"/>
      <c r="Y2058" s="166"/>
      <c r="Z2058" s="166"/>
      <c r="AA2058" s="166"/>
      <c r="AB2058" s="166"/>
      <c r="AC2058" s="166"/>
      <c r="AD2058" s="166"/>
      <c r="AE2058" s="166"/>
      <c r="AF2058" s="166"/>
      <c r="AG2058" s="166"/>
      <c r="AH2058" s="166"/>
      <c r="AI2058" s="166"/>
    </row>
    <row r="2059" spans="7:35" x14ac:dyDescent="0.25">
      <c r="G2059" s="165"/>
      <c r="H2059" s="166"/>
      <c r="I2059" s="167"/>
      <c r="J2059" s="167"/>
      <c r="K2059" s="166"/>
      <c r="L2059" s="166"/>
      <c r="M2059" s="166"/>
      <c r="N2059" s="166"/>
      <c r="O2059" s="166"/>
      <c r="P2059" s="166"/>
      <c r="Q2059" s="166"/>
      <c r="R2059" s="166"/>
      <c r="S2059" s="166"/>
      <c r="T2059" s="166"/>
      <c r="U2059" s="166"/>
      <c r="V2059" s="166"/>
      <c r="W2059" s="166"/>
      <c r="X2059" s="166"/>
      <c r="Y2059" s="166"/>
      <c r="Z2059" s="166"/>
      <c r="AA2059" s="166"/>
      <c r="AB2059" s="166"/>
      <c r="AC2059" s="166"/>
      <c r="AD2059" s="166"/>
      <c r="AE2059" s="166"/>
      <c r="AF2059" s="166"/>
      <c r="AG2059" s="166"/>
      <c r="AH2059" s="166"/>
      <c r="AI2059" s="166"/>
    </row>
    <row r="2060" spans="7:35" x14ac:dyDescent="0.25">
      <c r="G2060" s="165"/>
      <c r="H2060" s="166"/>
      <c r="I2060" s="167"/>
      <c r="J2060" s="167"/>
      <c r="K2060" s="166"/>
      <c r="L2060" s="166"/>
      <c r="M2060" s="166"/>
      <c r="N2060" s="166"/>
      <c r="O2060" s="166"/>
      <c r="P2060" s="166"/>
      <c r="Q2060" s="166"/>
      <c r="R2060" s="166"/>
      <c r="S2060" s="166"/>
      <c r="T2060" s="166"/>
      <c r="U2060" s="166"/>
      <c r="V2060" s="166"/>
      <c r="W2060" s="166"/>
      <c r="X2060" s="166"/>
      <c r="Y2060" s="166"/>
      <c r="Z2060" s="166"/>
      <c r="AA2060" s="166"/>
      <c r="AB2060" s="166"/>
      <c r="AC2060" s="166"/>
      <c r="AD2060" s="166"/>
      <c r="AE2060" s="166"/>
      <c r="AF2060" s="166"/>
      <c r="AG2060" s="166"/>
      <c r="AH2060" s="166"/>
      <c r="AI2060" s="166"/>
    </row>
    <row r="2061" spans="7:35" x14ac:dyDescent="0.25">
      <c r="G2061" s="165"/>
      <c r="H2061" s="166"/>
      <c r="I2061" s="167"/>
      <c r="J2061" s="167"/>
      <c r="K2061" s="166"/>
      <c r="L2061" s="166"/>
      <c r="M2061" s="166"/>
      <c r="N2061" s="166"/>
      <c r="O2061" s="166"/>
      <c r="P2061" s="166"/>
      <c r="Q2061" s="166"/>
      <c r="R2061" s="166"/>
      <c r="S2061" s="166"/>
      <c r="T2061" s="166"/>
      <c r="U2061" s="166"/>
      <c r="V2061" s="166"/>
      <c r="W2061" s="166"/>
      <c r="X2061" s="166"/>
      <c r="Y2061" s="166"/>
      <c r="Z2061" s="166"/>
      <c r="AA2061" s="166"/>
      <c r="AB2061" s="166"/>
      <c r="AC2061" s="166"/>
      <c r="AD2061" s="166"/>
      <c r="AE2061" s="166"/>
      <c r="AF2061" s="166"/>
      <c r="AG2061" s="166"/>
      <c r="AH2061" s="166"/>
      <c r="AI2061" s="166"/>
    </row>
    <row r="2062" spans="7:35" x14ac:dyDescent="0.25">
      <c r="G2062" s="165"/>
      <c r="H2062" s="166"/>
      <c r="I2062" s="167"/>
      <c r="J2062" s="167"/>
      <c r="K2062" s="166"/>
      <c r="L2062" s="166"/>
      <c r="M2062" s="166"/>
      <c r="N2062" s="166"/>
      <c r="O2062" s="166"/>
      <c r="P2062" s="166"/>
      <c r="Q2062" s="166"/>
      <c r="R2062" s="166"/>
      <c r="S2062" s="166"/>
      <c r="T2062" s="166"/>
      <c r="U2062" s="166"/>
      <c r="V2062" s="166"/>
      <c r="W2062" s="166"/>
      <c r="X2062" s="166"/>
      <c r="Y2062" s="166"/>
      <c r="Z2062" s="166"/>
      <c r="AA2062" s="166"/>
      <c r="AB2062" s="166"/>
      <c r="AC2062" s="166"/>
      <c r="AD2062" s="166"/>
      <c r="AE2062" s="166"/>
      <c r="AF2062" s="166"/>
      <c r="AG2062" s="166"/>
      <c r="AH2062" s="166"/>
      <c r="AI2062" s="166"/>
    </row>
    <row r="2063" spans="7:35" x14ac:dyDescent="0.25">
      <c r="G2063" s="165"/>
      <c r="H2063" s="166"/>
      <c r="I2063" s="167"/>
      <c r="J2063" s="167"/>
      <c r="K2063" s="166"/>
      <c r="L2063" s="166"/>
      <c r="M2063" s="166"/>
      <c r="N2063" s="166"/>
      <c r="O2063" s="166"/>
      <c r="P2063" s="166"/>
      <c r="Q2063" s="166"/>
      <c r="R2063" s="166"/>
      <c r="S2063" s="166"/>
      <c r="T2063" s="166"/>
      <c r="U2063" s="166"/>
      <c r="V2063" s="166"/>
      <c r="W2063" s="166"/>
      <c r="X2063" s="166"/>
      <c r="Y2063" s="166"/>
      <c r="Z2063" s="166"/>
      <c r="AA2063" s="166"/>
      <c r="AB2063" s="166"/>
      <c r="AC2063" s="166"/>
      <c r="AD2063" s="166"/>
      <c r="AE2063" s="166"/>
      <c r="AF2063" s="166"/>
      <c r="AG2063" s="166"/>
      <c r="AH2063" s="166"/>
      <c r="AI2063" s="166"/>
    </row>
    <row r="2064" spans="7:35" x14ac:dyDescent="0.25">
      <c r="G2064" s="165"/>
      <c r="H2064" s="166"/>
      <c r="I2064" s="167"/>
      <c r="J2064" s="167"/>
      <c r="K2064" s="166"/>
      <c r="L2064" s="166"/>
      <c r="M2064" s="166"/>
      <c r="N2064" s="166"/>
      <c r="O2064" s="166"/>
      <c r="P2064" s="166"/>
      <c r="Q2064" s="166"/>
      <c r="R2064" s="166"/>
      <c r="S2064" s="166"/>
      <c r="T2064" s="166"/>
      <c r="U2064" s="166"/>
      <c r="V2064" s="166"/>
      <c r="W2064" s="166"/>
      <c r="X2064" s="166"/>
      <c r="Y2064" s="166"/>
      <c r="Z2064" s="166"/>
      <c r="AA2064" s="166"/>
      <c r="AB2064" s="166"/>
      <c r="AC2064" s="166"/>
      <c r="AD2064" s="166"/>
      <c r="AE2064" s="166"/>
      <c r="AF2064" s="166"/>
      <c r="AG2064" s="166"/>
      <c r="AH2064" s="166"/>
      <c r="AI2064" s="166"/>
    </row>
    <row r="2065" spans="7:35" x14ac:dyDescent="0.25">
      <c r="G2065" s="165"/>
      <c r="H2065" s="166"/>
      <c r="I2065" s="167"/>
      <c r="J2065" s="167"/>
      <c r="K2065" s="166"/>
      <c r="L2065" s="166"/>
      <c r="M2065" s="166"/>
      <c r="N2065" s="166"/>
      <c r="O2065" s="166"/>
      <c r="P2065" s="166"/>
      <c r="Q2065" s="166"/>
      <c r="R2065" s="166"/>
      <c r="S2065" s="166"/>
      <c r="T2065" s="166"/>
      <c r="U2065" s="166"/>
      <c r="V2065" s="166"/>
      <c r="W2065" s="166"/>
      <c r="X2065" s="166"/>
      <c r="Y2065" s="166"/>
      <c r="Z2065" s="166"/>
      <c r="AA2065" s="166"/>
      <c r="AB2065" s="166"/>
      <c r="AC2065" s="166"/>
      <c r="AD2065" s="166"/>
      <c r="AE2065" s="166"/>
      <c r="AF2065" s="166"/>
      <c r="AG2065" s="166"/>
      <c r="AH2065" s="166"/>
      <c r="AI2065" s="166"/>
    </row>
    <row r="2066" spans="7:35" x14ac:dyDescent="0.25">
      <c r="G2066" s="165"/>
      <c r="H2066" s="166"/>
      <c r="I2066" s="167"/>
      <c r="J2066" s="167"/>
      <c r="K2066" s="166"/>
      <c r="L2066" s="166"/>
      <c r="M2066" s="166"/>
      <c r="N2066" s="166"/>
      <c r="O2066" s="166"/>
      <c r="P2066" s="166"/>
      <c r="Q2066" s="166"/>
      <c r="R2066" s="166"/>
      <c r="S2066" s="166"/>
      <c r="T2066" s="166"/>
      <c r="U2066" s="166"/>
      <c r="V2066" s="166"/>
      <c r="W2066" s="166"/>
      <c r="X2066" s="166"/>
      <c r="Y2066" s="166"/>
      <c r="Z2066" s="166"/>
      <c r="AA2066" s="166"/>
      <c r="AB2066" s="166"/>
      <c r="AC2066" s="166"/>
      <c r="AD2066" s="166"/>
      <c r="AE2066" s="166"/>
      <c r="AF2066" s="166"/>
      <c r="AG2066" s="166"/>
      <c r="AH2066" s="166"/>
      <c r="AI2066" s="166"/>
    </row>
    <row r="2067" spans="7:35" x14ac:dyDescent="0.25">
      <c r="G2067" s="165"/>
      <c r="H2067" s="166"/>
      <c r="I2067" s="167"/>
      <c r="J2067" s="167"/>
      <c r="K2067" s="166"/>
      <c r="L2067" s="166"/>
      <c r="M2067" s="166"/>
      <c r="N2067" s="166"/>
      <c r="O2067" s="166"/>
      <c r="P2067" s="166"/>
      <c r="Q2067" s="166"/>
      <c r="R2067" s="166"/>
      <c r="S2067" s="166"/>
      <c r="T2067" s="166"/>
      <c r="U2067" s="166"/>
      <c r="V2067" s="166"/>
      <c r="W2067" s="166"/>
      <c r="X2067" s="166"/>
      <c r="Y2067" s="166"/>
      <c r="Z2067" s="166"/>
      <c r="AA2067" s="166"/>
      <c r="AB2067" s="166"/>
      <c r="AC2067" s="166"/>
      <c r="AD2067" s="166"/>
      <c r="AE2067" s="166"/>
      <c r="AF2067" s="166"/>
      <c r="AG2067" s="166"/>
      <c r="AH2067" s="166"/>
      <c r="AI2067" s="166"/>
    </row>
    <row r="2068" spans="7:35" x14ac:dyDescent="0.25">
      <c r="G2068" s="165"/>
      <c r="H2068" s="166"/>
      <c r="I2068" s="167"/>
      <c r="J2068" s="167"/>
      <c r="K2068" s="166"/>
      <c r="L2068" s="166"/>
      <c r="M2068" s="166"/>
      <c r="N2068" s="166"/>
      <c r="O2068" s="166"/>
      <c r="P2068" s="166"/>
      <c r="Q2068" s="166"/>
      <c r="R2068" s="166"/>
      <c r="S2068" s="166"/>
      <c r="T2068" s="166"/>
      <c r="U2068" s="166"/>
      <c r="V2068" s="166"/>
      <c r="W2068" s="166"/>
      <c r="X2068" s="166"/>
      <c r="Y2068" s="166"/>
      <c r="Z2068" s="166"/>
      <c r="AA2068" s="166"/>
      <c r="AB2068" s="166"/>
      <c r="AC2068" s="166"/>
      <c r="AD2068" s="166"/>
      <c r="AE2068" s="166"/>
      <c r="AF2068" s="166"/>
      <c r="AG2068" s="166"/>
      <c r="AH2068" s="166"/>
      <c r="AI2068" s="166"/>
    </row>
    <row r="2069" spans="7:35" x14ac:dyDescent="0.25">
      <c r="G2069" s="165"/>
      <c r="H2069" s="166"/>
      <c r="I2069" s="167"/>
      <c r="J2069" s="167"/>
      <c r="K2069" s="166"/>
      <c r="L2069" s="166"/>
      <c r="M2069" s="166"/>
      <c r="N2069" s="166"/>
      <c r="O2069" s="166"/>
      <c r="P2069" s="166"/>
      <c r="Q2069" s="166"/>
      <c r="R2069" s="166"/>
      <c r="S2069" s="166"/>
      <c r="T2069" s="166"/>
      <c r="U2069" s="166"/>
      <c r="V2069" s="166"/>
      <c r="W2069" s="166"/>
      <c r="X2069" s="166"/>
      <c r="Y2069" s="166"/>
      <c r="Z2069" s="166"/>
      <c r="AA2069" s="166"/>
      <c r="AB2069" s="166"/>
      <c r="AC2069" s="166"/>
      <c r="AD2069" s="166"/>
      <c r="AE2069" s="166"/>
      <c r="AF2069" s="166"/>
      <c r="AG2069" s="166"/>
      <c r="AH2069" s="166"/>
      <c r="AI2069" s="166"/>
    </row>
    <row r="2070" spans="7:35" x14ac:dyDescent="0.25">
      <c r="G2070" s="165"/>
      <c r="H2070" s="166"/>
      <c r="I2070" s="167"/>
      <c r="J2070" s="167"/>
      <c r="K2070" s="166"/>
      <c r="L2070" s="166"/>
      <c r="M2070" s="166"/>
      <c r="N2070" s="166"/>
      <c r="O2070" s="166"/>
      <c r="P2070" s="166"/>
      <c r="Q2070" s="166"/>
      <c r="R2070" s="166"/>
      <c r="S2070" s="166"/>
      <c r="T2070" s="166"/>
      <c r="U2070" s="166"/>
      <c r="V2070" s="166"/>
      <c r="W2070" s="166"/>
      <c r="X2070" s="166"/>
      <c r="Y2070" s="166"/>
      <c r="Z2070" s="166"/>
      <c r="AA2070" s="166"/>
      <c r="AB2070" s="166"/>
      <c r="AC2070" s="166"/>
      <c r="AD2070" s="166"/>
      <c r="AE2070" s="166"/>
      <c r="AF2070" s="166"/>
      <c r="AG2070" s="166"/>
      <c r="AH2070" s="166"/>
      <c r="AI2070" s="166"/>
    </row>
    <row r="2071" spans="7:35" x14ac:dyDescent="0.25">
      <c r="G2071" s="165"/>
      <c r="H2071" s="166"/>
      <c r="I2071" s="167"/>
      <c r="J2071" s="167"/>
      <c r="K2071" s="166"/>
      <c r="L2071" s="166"/>
      <c r="M2071" s="166"/>
      <c r="N2071" s="166"/>
      <c r="O2071" s="166"/>
      <c r="P2071" s="166"/>
      <c r="Q2071" s="166"/>
      <c r="R2071" s="166"/>
      <c r="S2071" s="166"/>
      <c r="T2071" s="166"/>
      <c r="U2071" s="166"/>
      <c r="V2071" s="166"/>
      <c r="W2071" s="166"/>
      <c r="X2071" s="166"/>
      <c r="Y2071" s="166"/>
      <c r="Z2071" s="166"/>
      <c r="AA2071" s="166"/>
      <c r="AB2071" s="166"/>
      <c r="AC2071" s="166"/>
      <c r="AD2071" s="166"/>
      <c r="AE2071" s="166"/>
      <c r="AF2071" s="166"/>
      <c r="AG2071" s="166"/>
      <c r="AH2071" s="166"/>
      <c r="AI2071" s="166"/>
    </row>
    <row r="2072" spans="7:35" x14ac:dyDescent="0.25">
      <c r="G2072" s="165"/>
      <c r="H2072" s="166"/>
      <c r="I2072" s="167"/>
      <c r="J2072" s="167"/>
      <c r="K2072" s="166"/>
      <c r="L2072" s="166"/>
      <c r="M2072" s="166"/>
      <c r="N2072" s="166"/>
      <c r="O2072" s="166"/>
      <c r="P2072" s="166"/>
      <c r="Q2072" s="166"/>
      <c r="R2072" s="166"/>
      <c r="S2072" s="166"/>
      <c r="T2072" s="166"/>
      <c r="U2072" s="166"/>
      <c r="V2072" s="166"/>
      <c r="W2072" s="166"/>
      <c r="X2072" s="166"/>
      <c r="Y2072" s="166"/>
      <c r="Z2072" s="166"/>
      <c r="AA2072" s="166"/>
      <c r="AB2072" s="166"/>
      <c r="AC2072" s="166"/>
      <c r="AD2072" s="166"/>
      <c r="AE2072" s="166"/>
      <c r="AF2072" s="166"/>
      <c r="AG2072" s="166"/>
      <c r="AH2072" s="166"/>
      <c r="AI2072" s="166"/>
    </row>
    <row r="2073" spans="7:35" x14ac:dyDescent="0.25">
      <c r="G2073" s="165"/>
      <c r="H2073" s="166"/>
      <c r="I2073" s="167"/>
      <c r="J2073" s="167"/>
      <c r="K2073" s="166"/>
      <c r="L2073" s="166"/>
      <c r="M2073" s="166"/>
      <c r="N2073" s="166"/>
      <c r="O2073" s="166"/>
      <c r="P2073" s="166"/>
      <c r="Q2073" s="166"/>
      <c r="R2073" s="166"/>
      <c r="S2073" s="166"/>
      <c r="T2073" s="166"/>
      <c r="U2073" s="166"/>
      <c r="V2073" s="166"/>
      <c r="W2073" s="166"/>
      <c r="X2073" s="166"/>
      <c r="Y2073" s="166"/>
      <c r="Z2073" s="166"/>
      <c r="AA2073" s="166"/>
      <c r="AB2073" s="166"/>
      <c r="AC2073" s="166"/>
      <c r="AD2073" s="166"/>
      <c r="AE2073" s="166"/>
      <c r="AF2073" s="166"/>
      <c r="AG2073" s="166"/>
      <c r="AH2073" s="166"/>
      <c r="AI2073" s="166"/>
    </row>
    <row r="2074" spans="7:35" x14ac:dyDescent="0.25">
      <c r="G2074" s="165"/>
      <c r="H2074" s="166"/>
      <c r="I2074" s="167"/>
      <c r="J2074" s="167"/>
      <c r="K2074" s="166"/>
      <c r="L2074" s="166"/>
      <c r="M2074" s="166"/>
      <c r="N2074" s="166"/>
      <c r="O2074" s="166"/>
      <c r="P2074" s="166"/>
      <c r="Q2074" s="166"/>
      <c r="R2074" s="166"/>
      <c r="S2074" s="166"/>
      <c r="T2074" s="166"/>
      <c r="U2074" s="166"/>
      <c r="V2074" s="166"/>
      <c r="W2074" s="166"/>
      <c r="X2074" s="166"/>
      <c r="Y2074" s="166"/>
      <c r="Z2074" s="166"/>
      <c r="AA2074" s="166"/>
      <c r="AB2074" s="166"/>
      <c r="AC2074" s="166"/>
      <c r="AD2074" s="166"/>
      <c r="AE2074" s="166"/>
      <c r="AF2074" s="166"/>
      <c r="AG2074" s="166"/>
      <c r="AH2074" s="166"/>
      <c r="AI2074" s="166"/>
    </row>
    <row r="2075" spans="7:35" x14ac:dyDescent="0.25">
      <c r="G2075" s="165"/>
      <c r="H2075" s="166"/>
      <c r="I2075" s="167"/>
      <c r="J2075" s="167"/>
      <c r="K2075" s="166"/>
      <c r="L2075" s="166"/>
      <c r="M2075" s="166"/>
      <c r="N2075" s="166"/>
      <c r="O2075" s="166"/>
      <c r="P2075" s="166"/>
      <c r="Q2075" s="166"/>
      <c r="R2075" s="166"/>
      <c r="S2075" s="166"/>
      <c r="T2075" s="166"/>
      <c r="U2075" s="166"/>
      <c r="V2075" s="166"/>
      <c r="W2075" s="166"/>
      <c r="X2075" s="166"/>
      <c r="Y2075" s="166"/>
      <c r="Z2075" s="166"/>
      <c r="AA2075" s="166"/>
      <c r="AB2075" s="166"/>
      <c r="AC2075" s="166"/>
      <c r="AD2075" s="166"/>
      <c r="AE2075" s="166"/>
      <c r="AF2075" s="166"/>
      <c r="AG2075" s="166"/>
      <c r="AH2075" s="166"/>
      <c r="AI2075" s="166"/>
    </row>
    <row r="2076" spans="7:35" x14ac:dyDescent="0.25">
      <c r="G2076" s="165"/>
      <c r="H2076" s="166"/>
      <c r="I2076" s="167"/>
      <c r="J2076" s="167"/>
      <c r="K2076" s="166"/>
      <c r="L2076" s="166"/>
      <c r="M2076" s="166"/>
      <c r="N2076" s="166"/>
      <c r="O2076" s="166"/>
      <c r="P2076" s="166"/>
      <c r="Q2076" s="166"/>
      <c r="R2076" s="166"/>
      <c r="S2076" s="166"/>
      <c r="T2076" s="166"/>
      <c r="U2076" s="166"/>
      <c r="V2076" s="166"/>
      <c r="W2076" s="166"/>
      <c r="X2076" s="166"/>
      <c r="Y2076" s="166"/>
      <c r="Z2076" s="166"/>
      <c r="AA2076" s="166"/>
      <c r="AB2076" s="166"/>
      <c r="AC2076" s="166"/>
      <c r="AD2076" s="166"/>
      <c r="AE2076" s="166"/>
      <c r="AF2076" s="166"/>
      <c r="AG2076" s="166"/>
      <c r="AH2076" s="166"/>
      <c r="AI2076" s="166"/>
    </row>
    <row r="2077" spans="7:35" x14ac:dyDescent="0.25">
      <c r="G2077" s="165"/>
      <c r="H2077" s="166"/>
      <c r="I2077" s="167"/>
      <c r="J2077" s="167"/>
      <c r="K2077" s="166"/>
      <c r="L2077" s="166"/>
      <c r="M2077" s="166"/>
      <c r="N2077" s="166"/>
      <c r="O2077" s="166"/>
      <c r="P2077" s="166"/>
      <c r="Q2077" s="166"/>
      <c r="R2077" s="166"/>
      <c r="S2077" s="166"/>
      <c r="T2077" s="166"/>
      <c r="U2077" s="166"/>
      <c r="V2077" s="166"/>
      <c r="W2077" s="166"/>
      <c r="X2077" s="166"/>
      <c r="Y2077" s="166"/>
      <c r="Z2077" s="166"/>
      <c r="AA2077" s="166"/>
      <c r="AB2077" s="166"/>
      <c r="AC2077" s="166"/>
      <c r="AD2077" s="166"/>
      <c r="AE2077" s="166"/>
      <c r="AF2077" s="166"/>
      <c r="AG2077" s="166"/>
      <c r="AH2077" s="166"/>
      <c r="AI2077" s="166"/>
    </row>
    <row r="2078" spans="7:35" x14ac:dyDescent="0.25">
      <c r="G2078" s="165"/>
      <c r="H2078" s="166"/>
      <c r="I2078" s="167"/>
      <c r="J2078" s="167"/>
      <c r="K2078" s="166"/>
      <c r="L2078" s="166"/>
      <c r="M2078" s="166"/>
      <c r="N2078" s="166"/>
      <c r="O2078" s="166"/>
      <c r="P2078" s="166"/>
      <c r="Q2078" s="166"/>
      <c r="R2078" s="166"/>
      <c r="S2078" s="166"/>
      <c r="T2078" s="166"/>
      <c r="U2078" s="166"/>
      <c r="V2078" s="166"/>
      <c r="W2078" s="166"/>
      <c r="X2078" s="166"/>
      <c r="Y2078" s="166"/>
      <c r="Z2078" s="166"/>
      <c r="AA2078" s="166"/>
      <c r="AB2078" s="166"/>
      <c r="AC2078" s="166"/>
      <c r="AD2078" s="166"/>
      <c r="AE2078" s="166"/>
      <c r="AF2078" s="166"/>
      <c r="AG2078" s="166"/>
      <c r="AH2078" s="166"/>
      <c r="AI2078" s="166"/>
    </row>
    <row r="2079" spans="7:35" x14ac:dyDescent="0.25">
      <c r="G2079" s="165"/>
      <c r="H2079" s="166"/>
      <c r="I2079" s="167"/>
      <c r="J2079" s="167"/>
      <c r="K2079" s="166"/>
      <c r="L2079" s="166"/>
      <c r="M2079" s="166"/>
      <c r="N2079" s="166"/>
      <c r="O2079" s="166"/>
      <c r="P2079" s="166"/>
      <c r="Q2079" s="166"/>
      <c r="R2079" s="166"/>
      <c r="S2079" s="166"/>
      <c r="T2079" s="166"/>
      <c r="U2079" s="166"/>
      <c r="V2079" s="166"/>
      <c r="W2079" s="166"/>
      <c r="X2079" s="166"/>
      <c r="Y2079" s="166"/>
      <c r="Z2079" s="166"/>
      <c r="AA2079" s="166"/>
      <c r="AB2079" s="166"/>
      <c r="AC2079" s="166"/>
      <c r="AD2079" s="166"/>
      <c r="AE2079" s="166"/>
      <c r="AF2079" s="166"/>
      <c r="AG2079" s="166"/>
      <c r="AH2079" s="166"/>
      <c r="AI2079" s="166"/>
    </row>
    <row r="2080" spans="7:35" x14ac:dyDescent="0.25">
      <c r="G2080" s="165"/>
      <c r="H2080" s="166"/>
      <c r="I2080" s="167"/>
      <c r="J2080" s="167"/>
      <c r="K2080" s="166"/>
      <c r="L2080" s="166"/>
      <c r="M2080" s="166"/>
      <c r="N2080" s="166"/>
      <c r="O2080" s="166"/>
      <c r="P2080" s="166"/>
      <c r="Q2080" s="166"/>
      <c r="R2080" s="166"/>
      <c r="S2080" s="166"/>
      <c r="T2080" s="166"/>
      <c r="U2080" s="166"/>
      <c r="V2080" s="166"/>
      <c r="W2080" s="166"/>
      <c r="X2080" s="166"/>
      <c r="Y2080" s="166"/>
      <c r="Z2080" s="166"/>
      <c r="AA2080" s="166"/>
      <c r="AB2080" s="166"/>
      <c r="AC2080" s="166"/>
      <c r="AD2080" s="166"/>
      <c r="AE2080" s="166"/>
      <c r="AF2080" s="166"/>
      <c r="AG2080" s="166"/>
      <c r="AH2080" s="166"/>
      <c r="AI2080" s="166"/>
    </row>
    <row r="2081" spans="7:35" x14ac:dyDescent="0.25">
      <c r="G2081" s="165"/>
      <c r="H2081" s="166"/>
      <c r="I2081" s="167"/>
      <c r="J2081" s="167"/>
      <c r="K2081" s="166"/>
      <c r="L2081" s="166"/>
      <c r="M2081" s="166"/>
      <c r="N2081" s="166"/>
      <c r="O2081" s="166"/>
      <c r="P2081" s="166"/>
      <c r="Q2081" s="166"/>
      <c r="R2081" s="166"/>
      <c r="S2081" s="166"/>
      <c r="T2081" s="166"/>
      <c r="U2081" s="166"/>
      <c r="V2081" s="166"/>
      <c r="W2081" s="166"/>
      <c r="X2081" s="166"/>
      <c r="Y2081" s="166"/>
      <c r="Z2081" s="166"/>
      <c r="AA2081" s="166"/>
      <c r="AB2081" s="166"/>
      <c r="AC2081" s="166"/>
      <c r="AD2081" s="166"/>
      <c r="AE2081" s="166"/>
      <c r="AF2081" s="166"/>
      <c r="AG2081" s="166"/>
      <c r="AH2081" s="166"/>
      <c r="AI2081" s="166"/>
    </row>
    <row r="2082" spans="7:35" x14ac:dyDescent="0.25">
      <c r="G2082" s="165"/>
      <c r="H2082" s="166"/>
      <c r="I2082" s="167"/>
      <c r="J2082" s="167"/>
      <c r="K2082" s="166"/>
      <c r="L2082" s="166"/>
      <c r="M2082" s="166"/>
      <c r="N2082" s="166"/>
      <c r="O2082" s="166"/>
      <c r="P2082" s="166"/>
      <c r="Q2082" s="166"/>
      <c r="R2082" s="166"/>
      <c r="S2082" s="166"/>
      <c r="T2082" s="166"/>
      <c r="U2082" s="166"/>
      <c r="V2082" s="166"/>
      <c r="W2082" s="166"/>
      <c r="X2082" s="166"/>
      <c r="Y2082" s="166"/>
      <c r="Z2082" s="166"/>
      <c r="AA2082" s="166"/>
      <c r="AB2082" s="166"/>
      <c r="AC2082" s="166"/>
      <c r="AD2082" s="166"/>
      <c r="AE2082" s="166"/>
      <c r="AF2082" s="166"/>
      <c r="AG2082" s="166"/>
      <c r="AH2082" s="166"/>
      <c r="AI2082" s="166"/>
    </row>
    <row r="2083" spans="7:35" x14ac:dyDescent="0.25">
      <c r="G2083" s="165"/>
      <c r="H2083" s="166"/>
      <c r="I2083" s="167"/>
      <c r="J2083" s="167"/>
      <c r="K2083" s="166"/>
      <c r="L2083" s="166"/>
      <c r="M2083" s="166"/>
      <c r="N2083" s="166"/>
      <c r="O2083" s="166"/>
      <c r="P2083" s="166"/>
      <c r="Q2083" s="166"/>
      <c r="R2083" s="166"/>
      <c r="S2083" s="166"/>
      <c r="T2083" s="166"/>
      <c r="U2083" s="166"/>
      <c r="V2083" s="166"/>
      <c r="W2083" s="166"/>
      <c r="X2083" s="166"/>
      <c r="Y2083" s="166"/>
      <c r="Z2083" s="166"/>
      <c r="AA2083" s="166"/>
      <c r="AB2083" s="166"/>
      <c r="AC2083" s="166"/>
      <c r="AD2083" s="166"/>
      <c r="AE2083" s="166"/>
      <c r="AF2083" s="166"/>
      <c r="AG2083" s="166"/>
      <c r="AH2083" s="166"/>
      <c r="AI2083" s="166"/>
    </row>
    <row r="2084" spans="7:35" x14ac:dyDescent="0.25">
      <c r="G2084" s="165"/>
      <c r="H2084" s="166"/>
      <c r="I2084" s="167"/>
      <c r="J2084" s="167"/>
      <c r="K2084" s="166"/>
      <c r="L2084" s="166"/>
      <c r="M2084" s="166"/>
      <c r="N2084" s="166"/>
      <c r="O2084" s="166"/>
      <c r="P2084" s="166"/>
      <c r="Q2084" s="166"/>
      <c r="R2084" s="166"/>
      <c r="S2084" s="166"/>
      <c r="T2084" s="166"/>
      <c r="U2084" s="166"/>
      <c r="V2084" s="166"/>
      <c r="W2084" s="166"/>
      <c r="X2084" s="166"/>
      <c r="Y2084" s="166"/>
      <c r="Z2084" s="166"/>
      <c r="AA2084" s="166"/>
      <c r="AB2084" s="166"/>
      <c r="AC2084" s="166"/>
      <c r="AD2084" s="166"/>
      <c r="AE2084" s="166"/>
      <c r="AF2084" s="166"/>
      <c r="AG2084" s="166"/>
      <c r="AH2084" s="166"/>
      <c r="AI2084" s="166"/>
    </row>
    <row r="2085" spans="7:35" x14ac:dyDescent="0.25">
      <c r="G2085" s="165"/>
      <c r="H2085" s="166"/>
      <c r="I2085" s="167"/>
      <c r="J2085" s="167"/>
      <c r="K2085" s="166"/>
      <c r="L2085" s="166"/>
      <c r="M2085" s="166"/>
      <c r="N2085" s="166"/>
      <c r="O2085" s="166"/>
      <c r="P2085" s="166"/>
      <c r="Q2085" s="166"/>
      <c r="R2085" s="166"/>
      <c r="S2085" s="166"/>
      <c r="T2085" s="166"/>
      <c r="U2085" s="166"/>
      <c r="V2085" s="166"/>
      <c r="W2085" s="166"/>
      <c r="X2085" s="166"/>
      <c r="Y2085" s="166"/>
      <c r="Z2085" s="166"/>
      <c r="AA2085" s="166"/>
      <c r="AB2085" s="166"/>
      <c r="AC2085" s="166"/>
      <c r="AD2085" s="166"/>
      <c r="AE2085" s="166"/>
      <c r="AF2085" s="166"/>
      <c r="AG2085" s="166"/>
      <c r="AH2085" s="166"/>
      <c r="AI2085" s="166"/>
    </row>
    <row r="2086" spans="7:35" x14ac:dyDescent="0.25">
      <c r="G2086" s="165"/>
      <c r="H2086" s="166"/>
      <c r="I2086" s="167"/>
      <c r="J2086" s="167"/>
      <c r="K2086" s="166"/>
      <c r="L2086" s="166"/>
      <c r="M2086" s="166"/>
      <c r="N2086" s="166"/>
      <c r="O2086" s="166"/>
      <c r="P2086" s="166"/>
      <c r="Q2086" s="166"/>
      <c r="R2086" s="166"/>
      <c r="S2086" s="166"/>
      <c r="T2086" s="166"/>
      <c r="U2086" s="166"/>
      <c r="V2086" s="166"/>
      <c r="W2086" s="166"/>
      <c r="X2086" s="166"/>
      <c r="Y2086" s="166"/>
      <c r="Z2086" s="166"/>
      <c r="AA2086" s="166"/>
      <c r="AB2086" s="166"/>
      <c r="AC2086" s="166"/>
      <c r="AD2086" s="166"/>
      <c r="AE2086" s="166"/>
      <c r="AF2086" s="166"/>
      <c r="AG2086" s="166"/>
      <c r="AH2086" s="166"/>
      <c r="AI2086" s="166"/>
    </row>
    <row r="2087" spans="7:35" x14ac:dyDescent="0.25">
      <c r="G2087" s="165"/>
      <c r="H2087" s="166"/>
      <c r="I2087" s="167"/>
      <c r="J2087" s="167"/>
      <c r="K2087" s="166"/>
      <c r="L2087" s="166"/>
      <c r="M2087" s="166"/>
      <c r="N2087" s="166"/>
      <c r="O2087" s="166"/>
      <c r="P2087" s="166"/>
      <c r="Q2087" s="166"/>
      <c r="R2087" s="166"/>
      <c r="S2087" s="166"/>
      <c r="T2087" s="166"/>
      <c r="U2087" s="166"/>
      <c r="V2087" s="166"/>
      <c r="W2087" s="166"/>
      <c r="X2087" s="166"/>
      <c r="Y2087" s="166"/>
      <c r="Z2087" s="166"/>
      <c r="AA2087" s="166"/>
      <c r="AB2087" s="166"/>
      <c r="AC2087" s="166"/>
      <c r="AD2087" s="166"/>
      <c r="AE2087" s="166"/>
      <c r="AF2087" s="166"/>
      <c r="AG2087" s="166"/>
      <c r="AH2087" s="166"/>
      <c r="AI2087" s="166"/>
    </row>
    <row r="2088" spans="7:35" x14ac:dyDescent="0.25">
      <c r="G2088" s="165"/>
      <c r="H2088" s="166"/>
      <c r="I2088" s="167"/>
      <c r="J2088" s="167"/>
      <c r="K2088" s="166"/>
      <c r="L2088" s="166"/>
      <c r="M2088" s="166"/>
      <c r="N2088" s="166"/>
      <c r="O2088" s="166"/>
      <c r="P2088" s="166"/>
      <c r="Q2088" s="166"/>
      <c r="R2088" s="166"/>
      <c r="S2088" s="166"/>
      <c r="T2088" s="166"/>
      <c r="U2088" s="166"/>
      <c r="V2088" s="166"/>
      <c r="W2088" s="166"/>
      <c r="X2088" s="166"/>
      <c r="Y2088" s="166"/>
      <c r="Z2088" s="166"/>
      <c r="AA2088" s="166"/>
      <c r="AB2088" s="166"/>
      <c r="AC2088" s="166"/>
      <c r="AD2088" s="166"/>
      <c r="AE2088" s="166"/>
      <c r="AF2088" s="166"/>
      <c r="AG2088" s="166"/>
      <c r="AH2088" s="166"/>
      <c r="AI2088" s="166"/>
    </row>
    <row r="2089" spans="7:35" x14ac:dyDescent="0.25">
      <c r="G2089" s="165"/>
      <c r="H2089" s="166"/>
      <c r="I2089" s="167"/>
      <c r="J2089" s="167"/>
      <c r="K2089" s="166"/>
      <c r="L2089" s="166"/>
      <c r="M2089" s="166"/>
      <c r="N2089" s="166"/>
      <c r="O2089" s="166"/>
      <c r="P2089" s="166"/>
      <c r="Q2089" s="166"/>
      <c r="R2089" s="166"/>
      <c r="S2089" s="166"/>
      <c r="T2089" s="166"/>
      <c r="U2089" s="166"/>
      <c r="V2089" s="166"/>
      <c r="W2089" s="166"/>
      <c r="X2089" s="166"/>
      <c r="Y2089" s="166"/>
      <c r="Z2089" s="166"/>
      <c r="AA2089" s="166"/>
      <c r="AB2089" s="166"/>
      <c r="AC2089" s="166"/>
      <c r="AD2089" s="166"/>
      <c r="AE2089" s="166"/>
      <c r="AF2089" s="166"/>
      <c r="AG2089" s="166"/>
      <c r="AH2089" s="166"/>
      <c r="AI2089" s="166"/>
    </row>
    <row r="2090" spans="7:35" x14ac:dyDescent="0.25">
      <c r="G2090" s="165"/>
      <c r="H2090" s="166"/>
      <c r="I2090" s="167"/>
      <c r="J2090" s="167"/>
      <c r="K2090" s="166"/>
      <c r="L2090" s="166"/>
      <c r="M2090" s="166"/>
      <c r="N2090" s="166"/>
      <c r="O2090" s="166"/>
      <c r="P2090" s="166"/>
      <c r="Q2090" s="166"/>
      <c r="R2090" s="166"/>
      <c r="S2090" s="166"/>
      <c r="T2090" s="166"/>
      <c r="U2090" s="166"/>
      <c r="V2090" s="166"/>
      <c r="W2090" s="166"/>
      <c r="X2090" s="166"/>
      <c r="Y2090" s="166"/>
      <c r="Z2090" s="166"/>
      <c r="AA2090" s="166"/>
      <c r="AB2090" s="166"/>
      <c r="AC2090" s="166"/>
      <c r="AD2090" s="166"/>
      <c r="AE2090" s="166"/>
      <c r="AF2090" s="166"/>
      <c r="AG2090" s="166"/>
      <c r="AH2090" s="166"/>
      <c r="AI2090" s="166"/>
    </row>
    <row r="2091" spans="7:35" x14ac:dyDescent="0.25">
      <c r="G2091" s="165"/>
      <c r="H2091" s="166"/>
      <c r="I2091" s="167"/>
      <c r="J2091" s="167"/>
      <c r="K2091" s="166"/>
      <c r="L2091" s="166"/>
      <c r="M2091" s="166"/>
      <c r="N2091" s="166"/>
      <c r="O2091" s="166"/>
      <c r="P2091" s="166"/>
      <c r="Q2091" s="166"/>
      <c r="R2091" s="166"/>
      <c r="S2091" s="166"/>
      <c r="T2091" s="166"/>
      <c r="U2091" s="166"/>
      <c r="V2091" s="166"/>
      <c r="W2091" s="166"/>
      <c r="X2091" s="166"/>
      <c r="Y2091" s="166"/>
      <c r="Z2091" s="166"/>
      <c r="AA2091" s="166"/>
      <c r="AB2091" s="166"/>
      <c r="AC2091" s="166"/>
      <c r="AD2091" s="166"/>
      <c r="AE2091" s="166"/>
      <c r="AF2091" s="166"/>
      <c r="AG2091" s="166"/>
      <c r="AH2091" s="166"/>
      <c r="AI2091" s="166"/>
    </row>
    <row r="2092" spans="7:35" x14ac:dyDescent="0.25">
      <c r="G2092" s="165"/>
      <c r="H2092" s="166"/>
      <c r="I2092" s="167"/>
      <c r="J2092" s="167"/>
      <c r="K2092" s="166"/>
      <c r="L2092" s="166"/>
      <c r="M2092" s="166"/>
      <c r="N2092" s="166"/>
      <c r="O2092" s="166"/>
      <c r="P2092" s="166"/>
      <c r="Q2092" s="166"/>
      <c r="R2092" s="166"/>
      <c r="S2092" s="166"/>
      <c r="T2092" s="166"/>
      <c r="U2092" s="166"/>
      <c r="V2092" s="166"/>
      <c r="W2092" s="166"/>
      <c r="X2092" s="166"/>
      <c r="Y2092" s="166"/>
      <c r="Z2092" s="166"/>
      <c r="AA2092" s="166"/>
      <c r="AB2092" s="166"/>
      <c r="AC2092" s="166"/>
      <c r="AD2092" s="166"/>
      <c r="AE2092" s="166"/>
      <c r="AF2092" s="166"/>
      <c r="AG2092" s="166"/>
      <c r="AH2092" s="166"/>
      <c r="AI2092" s="166"/>
    </row>
    <row r="2093" spans="7:35" x14ac:dyDescent="0.25">
      <c r="G2093" s="165"/>
      <c r="H2093" s="166"/>
      <c r="I2093" s="167"/>
      <c r="J2093" s="167"/>
      <c r="K2093" s="166"/>
      <c r="L2093" s="166"/>
      <c r="M2093" s="166"/>
      <c r="N2093" s="166"/>
      <c r="O2093" s="166"/>
      <c r="P2093" s="166"/>
      <c r="Q2093" s="166"/>
      <c r="R2093" s="166"/>
      <c r="S2093" s="166"/>
      <c r="T2093" s="166"/>
      <c r="U2093" s="166"/>
      <c r="V2093" s="166"/>
      <c r="W2093" s="166"/>
      <c r="X2093" s="166"/>
      <c r="Y2093" s="166"/>
      <c r="Z2093" s="166"/>
      <c r="AA2093" s="166"/>
      <c r="AB2093" s="166"/>
      <c r="AC2093" s="166"/>
      <c r="AD2093" s="166"/>
      <c r="AE2093" s="166"/>
      <c r="AF2093" s="166"/>
      <c r="AG2093" s="166"/>
      <c r="AH2093" s="166"/>
      <c r="AI2093" s="166"/>
    </row>
    <row r="2094" spans="7:35" x14ac:dyDescent="0.25">
      <c r="G2094" s="165"/>
      <c r="H2094" s="166"/>
      <c r="I2094" s="167"/>
      <c r="J2094" s="167"/>
      <c r="K2094" s="166"/>
      <c r="L2094" s="166"/>
      <c r="M2094" s="166"/>
      <c r="N2094" s="166"/>
      <c r="O2094" s="166"/>
      <c r="P2094" s="166"/>
      <c r="Q2094" s="166"/>
      <c r="R2094" s="166"/>
      <c r="S2094" s="166"/>
      <c r="T2094" s="166"/>
      <c r="U2094" s="166"/>
      <c r="V2094" s="166"/>
      <c r="W2094" s="166"/>
      <c r="X2094" s="166"/>
      <c r="Y2094" s="166"/>
      <c r="Z2094" s="166"/>
      <c r="AA2094" s="166"/>
      <c r="AB2094" s="166"/>
      <c r="AC2094" s="166"/>
      <c r="AD2094" s="166"/>
      <c r="AE2094" s="166"/>
      <c r="AF2094" s="166"/>
      <c r="AG2094" s="166"/>
      <c r="AH2094" s="166"/>
      <c r="AI2094" s="166"/>
    </row>
    <row r="2095" spans="7:35" x14ac:dyDescent="0.25">
      <c r="G2095" s="165"/>
      <c r="H2095" s="166"/>
      <c r="I2095" s="167"/>
      <c r="J2095" s="167"/>
      <c r="K2095" s="166"/>
      <c r="L2095" s="166"/>
      <c r="M2095" s="166"/>
      <c r="N2095" s="166"/>
      <c r="O2095" s="166"/>
      <c r="P2095" s="166"/>
      <c r="Q2095" s="166"/>
      <c r="R2095" s="166"/>
      <c r="S2095" s="166"/>
      <c r="T2095" s="166"/>
      <c r="U2095" s="166"/>
      <c r="V2095" s="166"/>
      <c r="W2095" s="166"/>
      <c r="X2095" s="166"/>
      <c r="Y2095" s="166"/>
      <c r="Z2095" s="166"/>
      <c r="AA2095" s="166"/>
      <c r="AB2095" s="166"/>
      <c r="AC2095" s="166"/>
      <c r="AD2095" s="166"/>
      <c r="AE2095" s="166"/>
      <c r="AF2095" s="166"/>
      <c r="AG2095" s="166"/>
      <c r="AH2095" s="166"/>
      <c r="AI2095" s="166"/>
    </row>
    <row r="2096" spans="7:35" x14ac:dyDescent="0.25">
      <c r="G2096" s="165"/>
      <c r="H2096" s="166"/>
      <c r="I2096" s="167"/>
      <c r="J2096" s="167"/>
      <c r="K2096" s="166"/>
      <c r="L2096" s="166"/>
      <c r="M2096" s="166"/>
      <c r="N2096" s="166"/>
      <c r="O2096" s="166"/>
      <c r="P2096" s="166"/>
      <c r="Q2096" s="166"/>
      <c r="R2096" s="166"/>
      <c r="S2096" s="166"/>
      <c r="T2096" s="166"/>
      <c r="U2096" s="166"/>
      <c r="V2096" s="166"/>
      <c r="W2096" s="166"/>
      <c r="X2096" s="166"/>
      <c r="Y2096" s="166"/>
      <c r="Z2096" s="166"/>
      <c r="AA2096" s="166"/>
      <c r="AB2096" s="166"/>
      <c r="AC2096" s="166"/>
      <c r="AD2096" s="166"/>
      <c r="AE2096" s="166"/>
      <c r="AF2096" s="166"/>
      <c r="AG2096" s="166"/>
      <c r="AH2096" s="166"/>
      <c r="AI2096" s="166"/>
    </row>
    <row r="2097" spans="7:35" x14ac:dyDescent="0.25">
      <c r="G2097" s="165"/>
      <c r="H2097" s="166"/>
      <c r="I2097" s="167"/>
      <c r="J2097" s="167"/>
      <c r="K2097" s="166"/>
      <c r="L2097" s="166"/>
      <c r="M2097" s="166"/>
      <c r="N2097" s="166"/>
      <c r="O2097" s="166"/>
      <c r="P2097" s="166"/>
      <c r="Q2097" s="166"/>
      <c r="R2097" s="166"/>
      <c r="S2097" s="166"/>
      <c r="T2097" s="166"/>
      <c r="U2097" s="166"/>
      <c r="V2097" s="166"/>
      <c r="W2097" s="166"/>
      <c r="X2097" s="166"/>
      <c r="Y2097" s="166"/>
      <c r="Z2097" s="166"/>
      <c r="AA2097" s="166"/>
      <c r="AB2097" s="166"/>
      <c r="AC2097" s="166"/>
      <c r="AD2097" s="166"/>
      <c r="AE2097" s="166"/>
      <c r="AF2097" s="166"/>
      <c r="AG2097" s="166"/>
      <c r="AH2097" s="166"/>
      <c r="AI2097" s="166"/>
    </row>
    <row r="2098" spans="7:35" x14ac:dyDescent="0.25">
      <c r="G2098" s="165"/>
      <c r="H2098" s="166"/>
      <c r="I2098" s="167"/>
      <c r="J2098" s="167"/>
      <c r="K2098" s="166"/>
      <c r="L2098" s="166"/>
      <c r="M2098" s="166"/>
      <c r="N2098" s="166"/>
      <c r="O2098" s="166"/>
      <c r="P2098" s="166"/>
      <c r="Q2098" s="166"/>
      <c r="R2098" s="166"/>
      <c r="S2098" s="166"/>
      <c r="T2098" s="166"/>
      <c r="U2098" s="166"/>
      <c r="V2098" s="166"/>
      <c r="W2098" s="166"/>
      <c r="X2098" s="166"/>
      <c r="Y2098" s="166"/>
      <c r="Z2098" s="166"/>
      <c r="AA2098" s="166"/>
      <c r="AB2098" s="166"/>
      <c r="AC2098" s="166"/>
      <c r="AD2098" s="166"/>
      <c r="AE2098" s="166"/>
      <c r="AF2098" s="166"/>
      <c r="AG2098" s="166"/>
      <c r="AH2098" s="166"/>
      <c r="AI2098" s="166"/>
    </row>
    <row r="2099" spans="7:35" x14ac:dyDescent="0.25">
      <c r="G2099" s="165"/>
      <c r="H2099" s="166"/>
      <c r="I2099" s="167"/>
      <c r="J2099" s="167"/>
      <c r="K2099" s="166"/>
      <c r="L2099" s="166"/>
      <c r="M2099" s="166"/>
      <c r="N2099" s="166"/>
      <c r="O2099" s="166"/>
      <c r="P2099" s="166"/>
      <c r="Q2099" s="166"/>
      <c r="R2099" s="166"/>
      <c r="S2099" s="166"/>
      <c r="T2099" s="166"/>
      <c r="U2099" s="166"/>
      <c r="V2099" s="166"/>
      <c r="W2099" s="166"/>
      <c r="X2099" s="166"/>
      <c r="Y2099" s="166"/>
      <c r="Z2099" s="166"/>
      <c r="AA2099" s="166"/>
      <c r="AB2099" s="166"/>
      <c r="AC2099" s="166"/>
      <c r="AD2099" s="166"/>
      <c r="AE2099" s="166"/>
      <c r="AF2099" s="166"/>
      <c r="AG2099" s="166"/>
      <c r="AH2099" s="166"/>
      <c r="AI2099" s="166"/>
    </row>
    <row r="2100" spans="7:35" x14ac:dyDescent="0.25">
      <c r="G2100" s="165"/>
      <c r="H2100" s="166"/>
      <c r="I2100" s="167"/>
      <c r="J2100" s="167"/>
      <c r="K2100" s="166"/>
      <c r="L2100" s="166"/>
      <c r="M2100" s="166"/>
      <c r="N2100" s="166"/>
      <c r="O2100" s="166"/>
      <c r="P2100" s="166"/>
      <c r="Q2100" s="166"/>
      <c r="R2100" s="166"/>
      <c r="S2100" s="166"/>
      <c r="T2100" s="166"/>
      <c r="U2100" s="166"/>
      <c r="V2100" s="166"/>
      <c r="W2100" s="166"/>
      <c r="X2100" s="166"/>
      <c r="Y2100" s="166"/>
      <c r="Z2100" s="166"/>
      <c r="AA2100" s="166"/>
      <c r="AB2100" s="166"/>
      <c r="AC2100" s="166"/>
      <c r="AD2100" s="166"/>
      <c r="AE2100" s="166"/>
      <c r="AF2100" s="166"/>
      <c r="AG2100" s="166"/>
      <c r="AH2100" s="166"/>
      <c r="AI2100" s="166"/>
    </row>
    <row r="2101" spans="7:35" x14ac:dyDescent="0.25">
      <c r="G2101" s="165"/>
      <c r="H2101" s="166"/>
      <c r="I2101" s="167"/>
      <c r="J2101" s="167"/>
      <c r="K2101" s="166"/>
      <c r="L2101" s="166"/>
      <c r="M2101" s="166"/>
      <c r="N2101" s="166"/>
      <c r="O2101" s="166"/>
      <c r="P2101" s="166"/>
      <c r="Q2101" s="166"/>
      <c r="R2101" s="166"/>
      <c r="S2101" s="166"/>
      <c r="T2101" s="166"/>
      <c r="U2101" s="166"/>
      <c r="V2101" s="166"/>
      <c r="W2101" s="166"/>
      <c r="X2101" s="166"/>
      <c r="Y2101" s="166"/>
      <c r="Z2101" s="166"/>
      <c r="AA2101" s="166"/>
      <c r="AB2101" s="166"/>
      <c r="AC2101" s="166"/>
      <c r="AD2101" s="166"/>
      <c r="AE2101" s="166"/>
      <c r="AF2101" s="166"/>
      <c r="AG2101" s="166"/>
      <c r="AH2101" s="166"/>
      <c r="AI2101" s="166"/>
    </row>
    <row r="2102" spans="7:35" x14ac:dyDescent="0.25">
      <c r="G2102" s="165"/>
      <c r="H2102" s="166"/>
      <c r="I2102" s="167"/>
      <c r="J2102" s="167"/>
      <c r="K2102" s="166"/>
      <c r="L2102" s="166"/>
      <c r="M2102" s="166"/>
      <c r="N2102" s="166"/>
      <c r="O2102" s="166"/>
      <c r="P2102" s="166"/>
      <c r="Q2102" s="166"/>
      <c r="R2102" s="166"/>
      <c r="S2102" s="166"/>
      <c r="T2102" s="166"/>
      <c r="U2102" s="166"/>
      <c r="V2102" s="166"/>
      <c r="W2102" s="166"/>
      <c r="X2102" s="166"/>
      <c r="Y2102" s="166"/>
      <c r="Z2102" s="166"/>
      <c r="AA2102" s="166"/>
      <c r="AB2102" s="166"/>
      <c r="AC2102" s="166"/>
      <c r="AD2102" s="166"/>
      <c r="AE2102" s="166"/>
      <c r="AF2102" s="166"/>
      <c r="AG2102" s="166"/>
      <c r="AH2102" s="166"/>
      <c r="AI2102" s="166"/>
    </row>
    <row r="2103" spans="7:35" x14ac:dyDescent="0.25">
      <c r="G2103" s="165"/>
      <c r="H2103" s="166"/>
      <c r="I2103" s="167"/>
      <c r="J2103" s="167"/>
      <c r="K2103" s="166"/>
      <c r="L2103" s="166"/>
      <c r="M2103" s="166"/>
      <c r="N2103" s="166"/>
      <c r="O2103" s="166"/>
      <c r="P2103" s="166"/>
      <c r="Q2103" s="166"/>
      <c r="R2103" s="166"/>
      <c r="S2103" s="166"/>
      <c r="T2103" s="166"/>
      <c r="U2103" s="166"/>
      <c r="V2103" s="166"/>
      <c r="W2103" s="166"/>
      <c r="X2103" s="166"/>
      <c r="Y2103" s="166"/>
      <c r="Z2103" s="166"/>
      <c r="AA2103" s="166"/>
      <c r="AB2103" s="166"/>
      <c r="AC2103" s="166"/>
      <c r="AD2103" s="166"/>
      <c r="AE2103" s="166"/>
      <c r="AF2103" s="166"/>
      <c r="AG2103" s="166"/>
      <c r="AH2103" s="166"/>
      <c r="AI2103" s="166"/>
    </row>
    <row r="2104" spans="7:35" x14ac:dyDescent="0.25">
      <c r="G2104" s="165"/>
      <c r="H2104" s="166"/>
      <c r="I2104" s="167"/>
      <c r="J2104" s="167"/>
      <c r="K2104" s="166"/>
      <c r="L2104" s="166"/>
      <c r="M2104" s="166"/>
      <c r="N2104" s="166"/>
      <c r="O2104" s="166"/>
      <c r="P2104" s="166"/>
      <c r="Q2104" s="166"/>
      <c r="R2104" s="166"/>
      <c r="S2104" s="166"/>
      <c r="T2104" s="166"/>
      <c r="U2104" s="166"/>
      <c r="V2104" s="166"/>
      <c r="W2104" s="166"/>
      <c r="X2104" s="166"/>
      <c r="Y2104" s="166"/>
      <c r="Z2104" s="166"/>
      <c r="AA2104" s="166"/>
      <c r="AB2104" s="166"/>
      <c r="AC2104" s="166"/>
      <c r="AD2104" s="166"/>
      <c r="AE2104" s="166"/>
      <c r="AF2104" s="166"/>
      <c r="AG2104" s="166"/>
      <c r="AH2104" s="166"/>
      <c r="AI2104" s="166"/>
    </row>
    <row r="2105" spans="7:35" x14ac:dyDescent="0.25">
      <c r="G2105" s="165"/>
      <c r="H2105" s="166"/>
      <c r="I2105" s="167"/>
      <c r="J2105" s="167"/>
      <c r="K2105" s="166"/>
      <c r="L2105" s="166"/>
      <c r="M2105" s="166"/>
      <c r="N2105" s="166"/>
      <c r="O2105" s="166"/>
      <c r="P2105" s="166"/>
      <c r="Q2105" s="166"/>
      <c r="R2105" s="166"/>
      <c r="S2105" s="166"/>
      <c r="T2105" s="166"/>
      <c r="U2105" s="166"/>
      <c r="V2105" s="166"/>
      <c r="W2105" s="166"/>
      <c r="X2105" s="166"/>
      <c r="Y2105" s="166"/>
      <c r="Z2105" s="166"/>
      <c r="AA2105" s="166"/>
      <c r="AB2105" s="166"/>
      <c r="AC2105" s="166"/>
      <c r="AD2105" s="166"/>
      <c r="AE2105" s="166"/>
      <c r="AF2105" s="166"/>
      <c r="AG2105" s="166"/>
      <c r="AH2105" s="166"/>
      <c r="AI2105" s="166"/>
    </row>
    <row r="2106" spans="7:35" x14ac:dyDescent="0.25">
      <c r="G2106" s="165"/>
      <c r="H2106" s="166"/>
      <c r="I2106" s="167"/>
      <c r="J2106" s="167"/>
      <c r="K2106" s="166"/>
      <c r="L2106" s="166"/>
      <c r="M2106" s="166"/>
      <c r="N2106" s="166"/>
      <c r="O2106" s="166"/>
      <c r="P2106" s="166"/>
      <c r="Q2106" s="166"/>
      <c r="R2106" s="166"/>
      <c r="S2106" s="166"/>
      <c r="T2106" s="166"/>
      <c r="U2106" s="166"/>
      <c r="V2106" s="166"/>
      <c r="W2106" s="166"/>
      <c r="X2106" s="166"/>
      <c r="Y2106" s="166"/>
      <c r="Z2106" s="166"/>
      <c r="AA2106" s="166"/>
      <c r="AB2106" s="166"/>
      <c r="AC2106" s="166"/>
      <c r="AD2106" s="166"/>
      <c r="AE2106" s="166"/>
      <c r="AF2106" s="166"/>
      <c r="AG2106" s="166"/>
      <c r="AH2106" s="166"/>
      <c r="AI2106" s="166"/>
    </row>
    <row r="2107" spans="7:35" x14ac:dyDescent="0.25">
      <c r="G2107" s="165"/>
      <c r="H2107" s="166"/>
      <c r="I2107" s="167"/>
      <c r="J2107" s="167"/>
      <c r="K2107" s="166"/>
      <c r="L2107" s="166"/>
      <c r="M2107" s="166"/>
      <c r="N2107" s="166"/>
      <c r="O2107" s="166"/>
      <c r="P2107" s="166"/>
      <c r="Q2107" s="166"/>
      <c r="R2107" s="166"/>
      <c r="S2107" s="166"/>
      <c r="T2107" s="166"/>
      <c r="U2107" s="166"/>
      <c r="V2107" s="166"/>
      <c r="W2107" s="166"/>
      <c r="X2107" s="166"/>
      <c r="Y2107" s="166"/>
      <c r="Z2107" s="166"/>
      <c r="AA2107" s="166"/>
      <c r="AB2107" s="166"/>
      <c r="AC2107" s="166"/>
      <c r="AD2107" s="166"/>
      <c r="AE2107" s="166"/>
      <c r="AF2107" s="166"/>
      <c r="AG2107" s="166"/>
      <c r="AH2107" s="166"/>
      <c r="AI2107" s="166"/>
    </row>
    <row r="2108" spans="7:35" x14ac:dyDescent="0.25">
      <c r="G2108" s="165"/>
      <c r="H2108" s="166"/>
      <c r="I2108" s="167"/>
      <c r="J2108" s="167"/>
      <c r="K2108" s="166"/>
      <c r="L2108" s="166"/>
      <c r="M2108" s="166"/>
      <c r="N2108" s="166"/>
      <c r="O2108" s="166"/>
      <c r="P2108" s="166"/>
      <c r="Q2108" s="166"/>
      <c r="R2108" s="166"/>
      <c r="S2108" s="166"/>
      <c r="T2108" s="166"/>
      <c r="U2108" s="166"/>
      <c r="V2108" s="166"/>
      <c r="W2108" s="166"/>
      <c r="X2108" s="166"/>
      <c r="Y2108" s="166"/>
      <c r="Z2108" s="166"/>
      <c r="AA2108" s="166"/>
      <c r="AB2108" s="166"/>
      <c r="AC2108" s="166"/>
      <c r="AD2108" s="166"/>
      <c r="AE2108" s="166"/>
      <c r="AF2108" s="166"/>
      <c r="AG2108" s="166"/>
      <c r="AH2108" s="166"/>
      <c r="AI2108" s="166"/>
    </row>
    <row r="2109" spans="7:35" x14ac:dyDescent="0.25">
      <c r="G2109" s="165"/>
      <c r="H2109" s="166"/>
      <c r="I2109" s="167"/>
      <c r="J2109" s="167"/>
      <c r="K2109" s="166"/>
      <c r="L2109" s="166"/>
      <c r="M2109" s="166"/>
      <c r="N2109" s="166"/>
      <c r="O2109" s="166"/>
      <c r="P2109" s="166"/>
      <c r="Q2109" s="166"/>
      <c r="R2109" s="166"/>
      <c r="S2109" s="166"/>
      <c r="T2109" s="166"/>
      <c r="U2109" s="166"/>
      <c r="V2109" s="166"/>
      <c r="W2109" s="166"/>
      <c r="X2109" s="166"/>
      <c r="Y2109" s="166"/>
      <c r="Z2109" s="166"/>
      <c r="AA2109" s="166"/>
      <c r="AB2109" s="166"/>
      <c r="AC2109" s="166"/>
      <c r="AD2109" s="166"/>
      <c r="AE2109" s="166"/>
      <c r="AF2109" s="166"/>
      <c r="AG2109" s="166"/>
      <c r="AH2109" s="166"/>
      <c r="AI2109" s="166"/>
    </row>
    <row r="2110" spans="7:35" x14ac:dyDescent="0.25">
      <c r="G2110" s="165"/>
      <c r="H2110" s="166"/>
      <c r="I2110" s="167"/>
      <c r="J2110" s="167"/>
      <c r="K2110" s="166"/>
      <c r="L2110" s="166"/>
      <c r="M2110" s="166"/>
      <c r="N2110" s="166"/>
      <c r="O2110" s="166"/>
      <c r="P2110" s="166"/>
      <c r="Q2110" s="166"/>
      <c r="R2110" s="166"/>
      <c r="S2110" s="166"/>
      <c r="T2110" s="166"/>
      <c r="U2110" s="166"/>
      <c r="V2110" s="166"/>
      <c r="W2110" s="166"/>
      <c r="X2110" s="166"/>
      <c r="Y2110" s="166"/>
      <c r="Z2110" s="166"/>
      <c r="AA2110" s="166"/>
      <c r="AB2110" s="166"/>
      <c r="AC2110" s="166"/>
      <c r="AD2110" s="166"/>
      <c r="AE2110" s="166"/>
      <c r="AF2110" s="166"/>
      <c r="AG2110" s="166"/>
      <c r="AH2110" s="166"/>
      <c r="AI2110" s="166"/>
    </row>
    <row r="2111" spans="7:35" x14ac:dyDescent="0.25">
      <c r="G2111" s="165"/>
      <c r="H2111" s="166"/>
      <c r="I2111" s="167"/>
      <c r="J2111" s="167"/>
      <c r="K2111" s="166"/>
      <c r="L2111" s="166"/>
      <c r="M2111" s="166"/>
      <c r="N2111" s="166"/>
      <c r="O2111" s="166"/>
      <c r="P2111" s="166"/>
      <c r="Q2111" s="166"/>
      <c r="R2111" s="166"/>
      <c r="S2111" s="166"/>
      <c r="T2111" s="166"/>
      <c r="U2111" s="166"/>
      <c r="V2111" s="166"/>
      <c r="W2111" s="166"/>
      <c r="X2111" s="166"/>
      <c r="Y2111" s="166"/>
      <c r="Z2111" s="166"/>
      <c r="AA2111" s="166"/>
      <c r="AB2111" s="166"/>
      <c r="AC2111" s="166"/>
      <c r="AD2111" s="166"/>
      <c r="AE2111" s="166"/>
      <c r="AF2111" s="166"/>
      <c r="AG2111" s="166"/>
      <c r="AH2111" s="166"/>
      <c r="AI2111" s="166"/>
    </row>
    <row r="2112" spans="7:35" x14ac:dyDescent="0.25">
      <c r="G2112" s="165"/>
      <c r="H2112" s="166"/>
      <c r="I2112" s="167"/>
      <c r="J2112" s="167"/>
      <c r="K2112" s="166"/>
      <c r="L2112" s="166"/>
      <c r="M2112" s="166"/>
      <c r="N2112" s="166"/>
      <c r="O2112" s="166"/>
      <c r="P2112" s="166"/>
      <c r="Q2112" s="166"/>
      <c r="R2112" s="166"/>
      <c r="S2112" s="166"/>
      <c r="T2112" s="166"/>
      <c r="U2112" s="166"/>
      <c r="V2112" s="166"/>
      <c r="W2112" s="166"/>
      <c r="X2112" s="166"/>
      <c r="Y2112" s="166"/>
      <c r="Z2112" s="166"/>
      <c r="AA2112" s="166"/>
      <c r="AB2112" s="166"/>
      <c r="AC2112" s="166"/>
      <c r="AD2112" s="166"/>
      <c r="AE2112" s="166"/>
      <c r="AF2112" s="166"/>
      <c r="AG2112" s="166"/>
      <c r="AH2112" s="166"/>
      <c r="AI2112" s="166"/>
    </row>
    <row r="2113" spans="7:35" x14ac:dyDescent="0.25">
      <c r="G2113" s="165"/>
      <c r="H2113" s="166"/>
      <c r="I2113" s="167"/>
      <c r="J2113" s="167"/>
      <c r="K2113" s="166"/>
      <c r="L2113" s="166"/>
      <c r="M2113" s="166"/>
      <c r="N2113" s="166"/>
      <c r="O2113" s="166"/>
      <c r="P2113" s="166"/>
      <c r="Q2113" s="166"/>
      <c r="R2113" s="166"/>
      <c r="S2113" s="166"/>
      <c r="T2113" s="166"/>
      <c r="U2113" s="166"/>
      <c r="V2113" s="166"/>
      <c r="W2113" s="166"/>
      <c r="X2113" s="166"/>
      <c r="Y2113" s="166"/>
      <c r="Z2113" s="166"/>
      <c r="AA2113" s="166"/>
      <c r="AB2113" s="166"/>
      <c r="AC2113" s="166"/>
      <c r="AD2113" s="166"/>
      <c r="AE2113" s="166"/>
      <c r="AF2113" s="166"/>
      <c r="AG2113" s="166"/>
      <c r="AH2113" s="166"/>
      <c r="AI2113" s="166"/>
    </row>
    <row r="2114" spans="7:35" x14ac:dyDescent="0.25">
      <c r="G2114" s="165"/>
      <c r="H2114" s="166"/>
      <c r="I2114" s="167"/>
      <c r="J2114" s="167"/>
      <c r="K2114" s="166"/>
      <c r="L2114" s="166"/>
      <c r="M2114" s="166"/>
      <c r="N2114" s="166"/>
      <c r="O2114" s="166"/>
      <c r="P2114" s="166"/>
      <c r="Q2114" s="166"/>
      <c r="R2114" s="166"/>
      <c r="S2114" s="166"/>
      <c r="T2114" s="166"/>
      <c r="U2114" s="166"/>
      <c r="V2114" s="166"/>
      <c r="W2114" s="166"/>
      <c r="X2114" s="166"/>
      <c r="Y2114" s="166"/>
      <c r="Z2114" s="166"/>
      <c r="AA2114" s="166"/>
      <c r="AB2114" s="166"/>
      <c r="AC2114" s="166"/>
      <c r="AD2114" s="166"/>
      <c r="AE2114" s="166"/>
      <c r="AF2114" s="166"/>
      <c r="AG2114" s="166"/>
      <c r="AH2114" s="166"/>
      <c r="AI2114" s="166"/>
    </row>
    <row r="2115" spans="7:35" x14ac:dyDescent="0.25">
      <c r="G2115" s="165"/>
      <c r="H2115" s="166"/>
      <c r="I2115" s="167"/>
      <c r="J2115" s="167"/>
      <c r="K2115" s="166"/>
      <c r="L2115" s="166"/>
      <c r="M2115" s="166"/>
      <c r="N2115" s="166"/>
      <c r="O2115" s="166"/>
      <c r="P2115" s="166"/>
      <c r="Q2115" s="166"/>
      <c r="R2115" s="166"/>
      <c r="S2115" s="166"/>
      <c r="T2115" s="166"/>
      <c r="U2115" s="166"/>
      <c r="V2115" s="166"/>
      <c r="W2115" s="166"/>
      <c r="X2115" s="166"/>
      <c r="Y2115" s="166"/>
      <c r="Z2115" s="166"/>
      <c r="AA2115" s="166"/>
      <c r="AB2115" s="166"/>
      <c r="AC2115" s="166"/>
      <c r="AD2115" s="166"/>
      <c r="AE2115" s="166"/>
      <c r="AF2115" s="166"/>
      <c r="AG2115" s="166"/>
      <c r="AH2115" s="166"/>
      <c r="AI2115" s="166"/>
    </row>
    <row r="2116" spans="7:35" x14ac:dyDescent="0.25">
      <c r="G2116" s="165"/>
      <c r="H2116" s="166"/>
      <c r="I2116" s="167"/>
      <c r="J2116" s="167"/>
      <c r="K2116" s="166"/>
      <c r="L2116" s="166"/>
      <c r="M2116" s="166"/>
      <c r="N2116" s="166"/>
      <c r="O2116" s="166"/>
      <c r="P2116" s="166"/>
      <c r="Q2116" s="166"/>
      <c r="R2116" s="166"/>
      <c r="S2116" s="166"/>
      <c r="T2116" s="166"/>
      <c r="U2116" s="166"/>
      <c r="V2116" s="166"/>
      <c r="W2116" s="166"/>
      <c r="X2116" s="166"/>
      <c r="Y2116" s="166"/>
      <c r="Z2116" s="166"/>
      <c r="AA2116" s="166"/>
      <c r="AB2116" s="166"/>
      <c r="AC2116" s="166"/>
      <c r="AD2116" s="166"/>
      <c r="AE2116" s="166"/>
      <c r="AF2116" s="166"/>
      <c r="AG2116" s="166"/>
      <c r="AH2116" s="166"/>
      <c r="AI2116" s="166"/>
    </row>
    <row r="2117" spans="7:35" x14ac:dyDescent="0.25">
      <c r="G2117" s="165"/>
      <c r="H2117" s="166"/>
      <c r="I2117" s="167"/>
      <c r="J2117" s="167"/>
      <c r="K2117" s="166"/>
      <c r="L2117" s="166"/>
      <c r="M2117" s="166"/>
      <c r="N2117" s="166"/>
      <c r="O2117" s="166"/>
      <c r="P2117" s="166"/>
      <c r="Q2117" s="166"/>
      <c r="R2117" s="166"/>
      <c r="S2117" s="166"/>
      <c r="T2117" s="166"/>
      <c r="U2117" s="166"/>
      <c r="V2117" s="166"/>
      <c r="W2117" s="166"/>
      <c r="X2117" s="166"/>
      <c r="Y2117" s="166"/>
      <c r="Z2117" s="166"/>
      <c r="AA2117" s="166"/>
      <c r="AB2117" s="166"/>
      <c r="AC2117" s="166"/>
      <c r="AD2117" s="166"/>
      <c r="AE2117" s="166"/>
      <c r="AF2117" s="166"/>
      <c r="AG2117" s="166"/>
      <c r="AH2117" s="166"/>
      <c r="AI2117" s="166"/>
    </row>
    <row r="2118" spans="7:35" x14ac:dyDescent="0.25">
      <c r="G2118" s="165"/>
      <c r="H2118" s="166"/>
      <c r="I2118" s="167"/>
      <c r="J2118" s="167"/>
      <c r="K2118" s="166"/>
      <c r="L2118" s="166"/>
      <c r="M2118" s="166"/>
      <c r="N2118" s="166"/>
      <c r="O2118" s="166"/>
      <c r="P2118" s="166"/>
      <c r="Q2118" s="166"/>
      <c r="R2118" s="166"/>
      <c r="S2118" s="166"/>
      <c r="T2118" s="166"/>
      <c r="U2118" s="166"/>
      <c r="V2118" s="166"/>
      <c r="W2118" s="166"/>
      <c r="X2118" s="166"/>
      <c r="Y2118" s="166"/>
      <c r="Z2118" s="166"/>
      <c r="AA2118" s="166"/>
      <c r="AB2118" s="166"/>
      <c r="AC2118" s="166"/>
      <c r="AD2118" s="166"/>
      <c r="AE2118" s="166"/>
      <c r="AF2118" s="166"/>
      <c r="AG2118" s="166"/>
      <c r="AH2118" s="166"/>
      <c r="AI2118" s="166"/>
    </row>
    <row r="2119" spans="7:35" x14ac:dyDescent="0.25">
      <c r="G2119" s="165"/>
      <c r="H2119" s="166"/>
      <c r="I2119" s="167"/>
      <c r="J2119" s="167"/>
      <c r="K2119" s="166"/>
      <c r="L2119" s="166"/>
      <c r="M2119" s="166"/>
      <c r="N2119" s="166"/>
      <c r="O2119" s="166"/>
      <c r="P2119" s="166"/>
      <c r="Q2119" s="166"/>
      <c r="R2119" s="166"/>
      <c r="S2119" s="166"/>
      <c r="T2119" s="166"/>
      <c r="U2119" s="166"/>
      <c r="V2119" s="166"/>
      <c r="W2119" s="166"/>
      <c r="X2119" s="166"/>
      <c r="Y2119" s="166"/>
      <c r="Z2119" s="166"/>
      <c r="AA2119" s="166"/>
      <c r="AB2119" s="166"/>
      <c r="AC2119" s="166"/>
      <c r="AD2119" s="166"/>
      <c r="AE2119" s="166"/>
      <c r="AF2119" s="166"/>
      <c r="AG2119" s="166"/>
      <c r="AH2119" s="166"/>
      <c r="AI2119" s="166"/>
    </row>
    <row r="2120" spans="7:35" x14ac:dyDescent="0.25">
      <c r="G2120" s="165"/>
      <c r="H2120" s="166"/>
      <c r="I2120" s="167"/>
      <c r="J2120" s="167"/>
      <c r="K2120" s="166"/>
      <c r="L2120" s="166"/>
      <c r="M2120" s="166"/>
      <c r="N2120" s="166"/>
      <c r="O2120" s="166"/>
      <c r="P2120" s="166"/>
      <c r="Q2120" s="166"/>
      <c r="R2120" s="166"/>
      <c r="S2120" s="166"/>
      <c r="T2120" s="166"/>
      <c r="U2120" s="166"/>
      <c r="V2120" s="166"/>
      <c r="W2120" s="166"/>
      <c r="X2120" s="166"/>
      <c r="Y2120" s="166"/>
      <c r="Z2120" s="166"/>
      <c r="AA2120" s="166"/>
      <c r="AB2120" s="166"/>
      <c r="AC2120" s="166"/>
      <c r="AD2120" s="166"/>
      <c r="AE2120" s="166"/>
      <c r="AF2120" s="166"/>
      <c r="AG2120" s="166"/>
      <c r="AH2120" s="166"/>
      <c r="AI2120" s="166"/>
    </row>
    <row r="2121" spans="7:35" x14ac:dyDescent="0.25">
      <c r="G2121" s="165"/>
      <c r="H2121" s="166"/>
      <c r="I2121" s="167"/>
      <c r="J2121" s="167"/>
      <c r="K2121" s="166"/>
      <c r="L2121" s="166"/>
      <c r="M2121" s="166"/>
      <c r="N2121" s="166"/>
      <c r="O2121" s="166"/>
      <c r="P2121" s="166"/>
      <c r="Q2121" s="166"/>
      <c r="R2121" s="166"/>
      <c r="S2121" s="166"/>
      <c r="T2121" s="166"/>
      <c r="U2121" s="166"/>
      <c r="V2121" s="166"/>
      <c r="W2121" s="166"/>
      <c r="X2121" s="166"/>
      <c r="Y2121" s="166"/>
      <c r="Z2121" s="166"/>
      <c r="AA2121" s="166"/>
      <c r="AB2121" s="166"/>
      <c r="AC2121" s="166"/>
      <c r="AD2121" s="166"/>
      <c r="AE2121" s="166"/>
      <c r="AF2121" s="166"/>
      <c r="AG2121" s="166"/>
      <c r="AH2121" s="166"/>
      <c r="AI2121" s="166"/>
    </row>
    <row r="2122" spans="7:35" x14ac:dyDescent="0.25">
      <c r="G2122" s="165"/>
      <c r="H2122" s="166"/>
      <c r="I2122" s="167"/>
      <c r="J2122" s="167"/>
      <c r="K2122" s="166"/>
      <c r="L2122" s="166"/>
      <c r="M2122" s="166"/>
      <c r="N2122" s="166"/>
      <c r="O2122" s="166"/>
      <c r="P2122" s="166"/>
      <c r="Q2122" s="166"/>
      <c r="R2122" s="166"/>
      <c r="S2122" s="166"/>
      <c r="T2122" s="166"/>
      <c r="U2122" s="166"/>
      <c r="V2122" s="166"/>
      <c r="W2122" s="166"/>
      <c r="X2122" s="166"/>
      <c r="Y2122" s="166"/>
      <c r="Z2122" s="166"/>
      <c r="AA2122" s="166"/>
      <c r="AB2122" s="166"/>
      <c r="AC2122" s="166"/>
      <c r="AD2122" s="166"/>
      <c r="AE2122" s="166"/>
      <c r="AF2122" s="166"/>
      <c r="AG2122" s="166"/>
      <c r="AH2122" s="166"/>
      <c r="AI2122" s="166"/>
    </row>
    <row r="2123" spans="7:35" x14ac:dyDescent="0.25">
      <c r="G2123" s="165"/>
      <c r="H2123" s="166"/>
      <c r="I2123" s="167"/>
      <c r="J2123" s="167"/>
      <c r="K2123" s="166"/>
      <c r="L2123" s="166"/>
      <c r="M2123" s="166"/>
      <c r="N2123" s="166"/>
      <c r="O2123" s="166"/>
      <c r="P2123" s="166"/>
      <c r="Q2123" s="166"/>
      <c r="R2123" s="166"/>
      <c r="S2123" s="166"/>
      <c r="T2123" s="166"/>
      <c r="U2123" s="166"/>
      <c r="V2123" s="166"/>
      <c r="W2123" s="166"/>
      <c r="X2123" s="166"/>
      <c r="Y2123" s="166"/>
      <c r="Z2123" s="166"/>
      <c r="AA2123" s="166"/>
      <c r="AB2123" s="166"/>
      <c r="AC2123" s="166"/>
      <c r="AD2123" s="166"/>
      <c r="AE2123" s="166"/>
      <c r="AF2123" s="166"/>
      <c r="AG2123" s="166"/>
      <c r="AH2123" s="166"/>
      <c r="AI2123" s="166"/>
    </row>
    <row r="2124" spans="7:35" x14ac:dyDescent="0.25">
      <c r="G2124" s="165"/>
      <c r="H2124" s="166"/>
      <c r="I2124" s="167"/>
      <c r="J2124" s="167"/>
      <c r="K2124" s="166"/>
      <c r="L2124" s="166"/>
      <c r="M2124" s="166"/>
      <c r="N2124" s="166"/>
      <c r="O2124" s="166"/>
      <c r="P2124" s="166"/>
      <c r="Q2124" s="166"/>
      <c r="R2124" s="166"/>
      <c r="S2124" s="166"/>
      <c r="T2124" s="166"/>
      <c r="U2124" s="166"/>
      <c r="V2124" s="166"/>
      <c r="W2124" s="166"/>
      <c r="X2124" s="166"/>
      <c r="Y2124" s="166"/>
      <c r="Z2124" s="166"/>
      <c r="AA2124" s="166"/>
      <c r="AB2124" s="166"/>
      <c r="AC2124" s="166"/>
      <c r="AD2124" s="166"/>
      <c r="AE2124" s="166"/>
      <c r="AF2124" s="166"/>
      <c r="AG2124" s="166"/>
      <c r="AH2124" s="166"/>
      <c r="AI2124" s="166"/>
    </row>
    <row r="2125" spans="7:35" x14ac:dyDescent="0.25">
      <c r="G2125" s="165"/>
      <c r="H2125" s="166"/>
      <c r="I2125" s="167"/>
      <c r="J2125" s="167"/>
      <c r="K2125" s="166"/>
      <c r="L2125" s="166"/>
      <c r="M2125" s="166"/>
      <c r="N2125" s="166"/>
      <c r="O2125" s="166"/>
      <c r="P2125" s="166"/>
      <c r="Q2125" s="166"/>
      <c r="R2125" s="166"/>
      <c r="S2125" s="166"/>
      <c r="T2125" s="166"/>
      <c r="U2125" s="166"/>
      <c r="V2125" s="166"/>
      <c r="W2125" s="166"/>
      <c r="X2125" s="166"/>
      <c r="Y2125" s="166"/>
      <c r="Z2125" s="166"/>
      <c r="AA2125" s="166"/>
      <c r="AB2125" s="166"/>
      <c r="AC2125" s="166"/>
      <c r="AD2125" s="166"/>
      <c r="AE2125" s="166"/>
      <c r="AF2125" s="166"/>
      <c r="AG2125" s="166"/>
      <c r="AH2125" s="166"/>
      <c r="AI2125" s="166"/>
    </row>
    <row r="2126" spans="7:35" x14ac:dyDescent="0.25">
      <c r="G2126" s="165"/>
      <c r="H2126" s="166"/>
      <c r="I2126" s="167"/>
      <c r="J2126" s="167"/>
      <c r="K2126" s="166"/>
      <c r="L2126" s="166"/>
      <c r="M2126" s="166"/>
      <c r="N2126" s="166"/>
      <c r="O2126" s="166"/>
      <c r="P2126" s="166"/>
      <c r="Q2126" s="166"/>
      <c r="R2126" s="166"/>
      <c r="S2126" s="166"/>
      <c r="T2126" s="166"/>
      <c r="U2126" s="166"/>
      <c r="V2126" s="166"/>
      <c r="W2126" s="166"/>
      <c r="X2126" s="166"/>
      <c r="Y2126" s="166"/>
      <c r="Z2126" s="166"/>
      <c r="AA2126" s="166"/>
      <c r="AB2126" s="166"/>
      <c r="AC2126" s="166"/>
      <c r="AD2126" s="166"/>
      <c r="AE2126" s="166"/>
      <c r="AF2126" s="166"/>
      <c r="AG2126" s="166"/>
      <c r="AH2126" s="166"/>
      <c r="AI2126" s="166"/>
    </row>
    <row r="2127" spans="7:35" x14ac:dyDescent="0.25">
      <c r="G2127" s="165"/>
      <c r="H2127" s="166"/>
      <c r="I2127" s="167"/>
      <c r="J2127" s="167"/>
      <c r="K2127" s="166"/>
      <c r="L2127" s="166"/>
      <c r="M2127" s="166"/>
      <c r="N2127" s="166"/>
      <c r="O2127" s="166"/>
      <c r="P2127" s="166"/>
      <c r="Q2127" s="166"/>
      <c r="R2127" s="166"/>
      <c r="S2127" s="166"/>
      <c r="T2127" s="166"/>
      <c r="U2127" s="166"/>
      <c r="V2127" s="166"/>
      <c r="W2127" s="166"/>
      <c r="X2127" s="166"/>
      <c r="Y2127" s="166"/>
      <c r="Z2127" s="166"/>
      <c r="AA2127" s="166"/>
      <c r="AB2127" s="166"/>
      <c r="AC2127" s="166"/>
      <c r="AD2127" s="166"/>
      <c r="AE2127" s="166"/>
      <c r="AF2127" s="166"/>
      <c r="AG2127" s="166"/>
      <c r="AH2127" s="166"/>
      <c r="AI2127" s="166"/>
    </row>
    <row r="2128" spans="7:35" x14ac:dyDescent="0.25">
      <c r="G2128" s="165"/>
      <c r="H2128" s="166"/>
      <c r="I2128" s="167"/>
      <c r="J2128" s="167"/>
      <c r="K2128" s="166"/>
      <c r="L2128" s="166"/>
      <c r="M2128" s="166"/>
      <c r="N2128" s="166"/>
      <c r="O2128" s="166"/>
      <c r="P2128" s="166"/>
      <c r="Q2128" s="166"/>
      <c r="R2128" s="166"/>
      <c r="S2128" s="166"/>
      <c r="T2128" s="166"/>
      <c r="U2128" s="166"/>
      <c r="V2128" s="166"/>
      <c r="W2128" s="166"/>
      <c r="X2128" s="166"/>
      <c r="Y2128" s="166"/>
      <c r="Z2128" s="166"/>
      <c r="AA2128" s="166"/>
      <c r="AB2128" s="166"/>
      <c r="AC2128" s="166"/>
      <c r="AD2128" s="166"/>
      <c r="AE2128" s="166"/>
      <c r="AF2128" s="166"/>
      <c r="AG2128" s="166"/>
      <c r="AH2128" s="166"/>
      <c r="AI2128" s="166"/>
    </row>
    <row r="2129" spans="7:35" x14ac:dyDescent="0.25">
      <c r="G2129" s="165"/>
      <c r="H2129" s="166"/>
      <c r="I2129" s="167"/>
      <c r="J2129" s="167"/>
      <c r="K2129" s="166"/>
      <c r="L2129" s="166"/>
      <c r="M2129" s="166"/>
      <c r="N2129" s="166"/>
      <c r="O2129" s="166"/>
      <c r="P2129" s="166"/>
      <c r="Q2129" s="166"/>
      <c r="R2129" s="166"/>
      <c r="S2129" s="166"/>
      <c r="T2129" s="166"/>
      <c r="U2129" s="166"/>
      <c r="V2129" s="166"/>
      <c r="W2129" s="166"/>
      <c r="X2129" s="166"/>
      <c r="Y2129" s="166"/>
      <c r="Z2129" s="166"/>
      <c r="AA2129" s="166"/>
      <c r="AB2129" s="166"/>
      <c r="AC2129" s="166"/>
      <c r="AD2129" s="166"/>
      <c r="AE2129" s="166"/>
      <c r="AF2129" s="166"/>
      <c r="AG2129" s="166"/>
      <c r="AH2129" s="166"/>
      <c r="AI2129" s="166"/>
    </row>
    <row r="2130" spans="7:35" x14ac:dyDescent="0.25">
      <c r="G2130" s="165"/>
      <c r="H2130" s="166"/>
      <c r="I2130" s="167"/>
      <c r="J2130" s="167"/>
      <c r="K2130" s="166"/>
      <c r="L2130" s="166"/>
      <c r="M2130" s="166"/>
      <c r="N2130" s="166"/>
      <c r="O2130" s="166"/>
      <c r="P2130" s="166"/>
      <c r="Q2130" s="166"/>
      <c r="R2130" s="166"/>
      <c r="S2130" s="166"/>
      <c r="T2130" s="166"/>
      <c r="U2130" s="166"/>
      <c r="V2130" s="166"/>
      <c r="W2130" s="166"/>
      <c r="X2130" s="166"/>
      <c r="Y2130" s="166"/>
      <c r="Z2130" s="166"/>
      <c r="AA2130" s="166"/>
      <c r="AB2130" s="166"/>
      <c r="AC2130" s="166"/>
      <c r="AD2130" s="166"/>
      <c r="AE2130" s="166"/>
      <c r="AF2130" s="166"/>
      <c r="AG2130" s="166"/>
      <c r="AH2130" s="166"/>
      <c r="AI2130" s="166"/>
    </row>
    <row r="2131" spans="7:35" x14ac:dyDescent="0.25">
      <c r="G2131" s="165"/>
      <c r="H2131" s="166"/>
      <c r="I2131" s="167"/>
      <c r="J2131" s="167"/>
      <c r="K2131" s="166"/>
      <c r="L2131" s="166"/>
      <c r="M2131" s="166"/>
      <c r="N2131" s="166"/>
      <c r="O2131" s="166"/>
      <c r="P2131" s="166"/>
      <c r="Q2131" s="166"/>
      <c r="R2131" s="166"/>
      <c r="S2131" s="166"/>
      <c r="T2131" s="166"/>
      <c r="U2131" s="166"/>
      <c r="V2131" s="166"/>
      <c r="W2131" s="166"/>
      <c r="X2131" s="166"/>
      <c r="Y2131" s="166"/>
      <c r="Z2131" s="166"/>
      <c r="AA2131" s="166"/>
      <c r="AB2131" s="166"/>
      <c r="AC2131" s="166"/>
      <c r="AD2131" s="166"/>
      <c r="AE2131" s="166"/>
      <c r="AF2131" s="166"/>
      <c r="AG2131" s="166"/>
      <c r="AH2131" s="166"/>
      <c r="AI2131" s="166"/>
    </row>
    <row r="2132" spans="7:35" x14ac:dyDescent="0.25">
      <c r="G2132" s="165"/>
      <c r="H2132" s="166"/>
      <c r="I2132" s="167"/>
      <c r="J2132" s="167"/>
      <c r="K2132" s="166"/>
      <c r="L2132" s="166"/>
      <c r="M2132" s="166"/>
      <c r="N2132" s="166"/>
      <c r="O2132" s="166"/>
      <c r="P2132" s="166"/>
      <c r="Q2132" s="166"/>
      <c r="R2132" s="166"/>
      <c r="S2132" s="166"/>
      <c r="T2132" s="166"/>
      <c r="U2132" s="166"/>
      <c r="V2132" s="166"/>
      <c r="W2132" s="166"/>
      <c r="X2132" s="166"/>
      <c r="Y2132" s="166"/>
      <c r="Z2132" s="166"/>
      <c r="AA2132" s="166"/>
      <c r="AB2132" s="166"/>
      <c r="AC2132" s="166"/>
      <c r="AD2132" s="166"/>
      <c r="AE2132" s="166"/>
      <c r="AF2132" s="166"/>
      <c r="AG2132" s="166"/>
      <c r="AH2132" s="166"/>
      <c r="AI2132" s="166"/>
    </row>
    <row r="2133" spans="7:35" x14ac:dyDescent="0.25">
      <c r="G2133" s="165"/>
      <c r="H2133" s="166"/>
      <c r="I2133" s="167"/>
      <c r="J2133" s="167"/>
      <c r="K2133" s="166"/>
      <c r="L2133" s="166"/>
      <c r="M2133" s="166"/>
      <c r="N2133" s="166"/>
      <c r="O2133" s="166"/>
      <c r="P2133" s="166"/>
      <c r="Q2133" s="166"/>
      <c r="R2133" s="166"/>
      <c r="S2133" s="166"/>
      <c r="T2133" s="166"/>
      <c r="U2133" s="166"/>
      <c r="V2133" s="166"/>
      <c r="W2133" s="166"/>
      <c r="X2133" s="166"/>
      <c r="Y2133" s="166"/>
      <c r="Z2133" s="166"/>
      <c r="AA2133" s="166"/>
      <c r="AB2133" s="166"/>
      <c r="AC2133" s="166"/>
      <c r="AD2133" s="166"/>
      <c r="AE2133" s="166"/>
      <c r="AF2133" s="166"/>
      <c r="AG2133" s="166"/>
      <c r="AH2133" s="166"/>
      <c r="AI2133" s="166"/>
    </row>
    <row r="2134" spans="7:35" x14ac:dyDescent="0.25">
      <c r="G2134" s="165"/>
      <c r="H2134" s="166"/>
      <c r="I2134" s="167"/>
      <c r="J2134" s="167"/>
      <c r="K2134" s="166"/>
      <c r="L2134" s="166"/>
      <c r="M2134" s="166"/>
      <c r="N2134" s="166"/>
      <c r="O2134" s="166"/>
      <c r="P2134" s="166"/>
      <c r="Q2134" s="166"/>
      <c r="R2134" s="166"/>
      <c r="S2134" s="166"/>
      <c r="T2134" s="166"/>
      <c r="U2134" s="166"/>
      <c r="V2134" s="166"/>
      <c r="W2134" s="166"/>
      <c r="X2134" s="166"/>
      <c r="Y2134" s="166"/>
      <c r="Z2134" s="166"/>
      <c r="AA2134" s="166"/>
      <c r="AB2134" s="166"/>
      <c r="AC2134" s="166"/>
      <c r="AD2134" s="166"/>
      <c r="AE2134" s="166"/>
      <c r="AF2134" s="166"/>
      <c r="AG2134" s="166"/>
      <c r="AH2134" s="166"/>
      <c r="AI2134" s="166"/>
    </row>
    <row r="2135" spans="7:35" x14ac:dyDescent="0.25">
      <c r="G2135" s="165"/>
      <c r="H2135" s="166"/>
      <c r="I2135" s="167"/>
      <c r="J2135" s="167"/>
      <c r="K2135" s="166"/>
      <c r="L2135" s="166"/>
      <c r="M2135" s="166"/>
      <c r="N2135" s="166"/>
      <c r="O2135" s="166"/>
      <c r="P2135" s="166"/>
      <c r="Q2135" s="166"/>
      <c r="R2135" s="166"/>
      <c r="S2135" s="166"/>
      <c r="T2135" s="166"/>
      <c r="U2135" s="166"/>
      <c r="V2135" s="166"/>
      <c r="W2135" s="166"/>
      <c r="X2135" s="166"/>
      <c r="Y2135" s="166"/>
      <c r="Z2135" s="166"/>
      <c r="AA2135" s="166"/>
      <c r="AB2135" s="166"/>
      <c r="AC2135" s="166"/>
      <c r="AD2135" s="166"/>
      <c r="AE2135" s="166"/>
      <c r="AF2135" s="166"/>
      <c r="AG2135" s="166"/>
      <c r="AH2135" s="166"/>
      <c r="AI2135" s="166"/>
    </row>
    <row r="2136" spans="7:35" x14ac:dyDescent="0.25">
      <c r="G2136" s="165"/>
      <c r="H2136" s="166"/>
      <c r="I2136" s="167"/>
      <c r="J2136" s="167"/>
      <c r="K2136" s="166"/>
      <c r="L2136" s="166"/>
      <c r="M2136" s="166"/>
      <c r="N2136" s="166"/>
      <c r="O2136" s="166"/>
      <c r="P2136" s="166"/>
      <c r="Q2136" s="166"/>
      <c r="R2136" s="166"/>
      <c r="S2136" s="166"/>
      <c r="T2136" s="166"/>
      <c r="U2136" s="166"/>
      <c r="V2136" s="166"/>
      <c r="W2136" s="166"/>
      <c r="X2136" s="166"/>
      <c r="Y2136" s="166"/>
      <c r="Z2136" s="166"/>
      <c r="AA2136" s="166"/>
      <c r="AB2136" s="166"/>
      <c r="AC2136" s="166"/>
      <c r="AD2136" s="166"/>
      <c r="AE2136" s="166"/>
      <c r="AF2136" s="166"/>
      <c r="AG2136" s="166"/>
      <c r="AH2136" s="166"/>
      <c r="AI2136" s="166"/>
    </row>
    <row r="2137" spans="7:35" x14ac:dyDescent="0.25">
      <c r="G2137" s="165"/>
      <c r="H2137" s="166"/>
      <c r="I2137" s="167"/>
      <c r="J2137" s="167"/>
      <c r="K2137" s="166"/>
      <c r="L2137" s="166"/>
      <c r="M2137" s="166"/>
      <c r="N2137" s="166"/>
      <c r="O2137" s="166"/>
      <c r="P2137" s="166"/>
      <c r="Q2137" s="166"/>
      <c r="R2137" s="166"/>
      <c r="S2137" s="166"/>
      <c r="T2137" s="166"/>
      <c r="U2137" s="166"/>
      <c r="V2137" s="166"/>
      <c r="W2137" s="166"/>
      <c r="X2137" s="166"/>
      <c r="Y2137" s="166"/>
      <c r="Z2137" s="166"/>
      <c r="AA2137" s="166"/>
      <c r="AB2137" s="166"/>
      <c r="AC2137" s="166"/>
      <c r="AD2137" s="166"/>
      <c r="AE2137" s="166"/>
      <c r="AF2137" s="166"/>
      <c r="AG2137" s="166"/>
      <c r="AH2137" s="166"/>
      <c r="AI2137" s="166"/>
    </row>
    <row r="2138" spans="7:35" x14ac:dyDescent="0.25">
      <c r="G2138" s="165"/>
      <c r="H2138" s="166"/>
      <c r="I2138" s="167"/>
      <c r="J2138" s="167"/>
      <c r="K2138" s="166"/>
      <c r="L2138" s="166"/>
      <c r="M2138" s="166"/>
      <c r="N2138" s="166"/>
      <c r="O2138" s="166"/>
      <c r="P2138" s="166"/>
      <c r="Q2138" s="166"/>
      <c r="R2138" s="166"/>
      <c r="S2138" s="166"/>
      <c r="T2138" s="166"/>
      <c r="U2138" s="166"/>
      <c r="V2138" s="166"/>
      <c r="W2138" s="166"/>
      <c r="X2138" s="166"/>
      <c r="Y2138" s="166"/>
      <c r="Z2138" s="166"/>
      <c r="AA2138" s="166"/>
      <c r="AB2138" s="166"/>
      <c r="AC2138" s="166"/>
      <c r="AD2138" s="166"/>
      <c r="AE2138" s="166"/>
      <c r="AF2138" s="166"/>
      <c r="AG2138" s="166"/>
      <c r="AH2138" s="166"/>
      <c r="AI2138" s="166"/>
    </row>
    <row r="2139" spans="7:35" x14ac:dyDescent="0.25">
      <c r="G2139" s="165"/>
      <c r="H2139" s="166"/>
      <c r="I2139" s="167"/>
      <c r="J2139" s="167"/>
      <c r="K2139" s="166"/>
      <c r="L2139" s="166"/>
      <c r="M2139" s="166"/>
      <c r="N2139" s="166"/>
      <c r="O2139" s="166"/>
      <c r="P2139" s="166"/>
      <c r="Q2139" s="166"/>
      <c r="R2139" s="166"/>
      <c r="S2139" s="166"/>
      <c r="T2139" s="166"/>
      <c r="U2139" s="166"/>
      <c r="V2139" s="166"/>
      <c r="W2139" s="166"/>
      <c r="X2139" s="166"/>
      <c r="Y2139" s="166"/>
      <c r="Z2139" s="166"/>
      <c r="AA2139" s="166"/>
      <c r="AB2139" s="166"/>
      <c r="AC2139" s="166"/>
      <c r="AD2139" s="166"/>
      <c r="AE2139" s="166"/>
      <c r="AF2139" s="166"/>
      <c r="AG2139" s="166"/>
      <c r="AH2139" s="166"/>
      <c r="AI2139" s="166"/>
    </row>
    <row r="2140" spans="7:35" x14ac:dyDescent="0.25">
      <c r="G2140" s="165"/>
      <c r="H2140" s="166"/>
      <c r="I2140" s="167"/>
      <c r="J2140" s="167"/>
      <c r="K2140" s="166"/>
      <c r="L2140" s="166"/>
      <c r="M2140" s="166"/>
      <c r="N2140" s="166"/>
      <c r="O2140" s="166"/>
      <c r="P2140" s="166"/>
      <c r="Q2140" s="166"/>
      <c r="R2140" s="166"/>
      <c r="S2140" s="166"/>
      <c r="T2140" s="166"/>
      <c r="U2140" s="166"/>
      <c r="V2140" s="166"/>
      <c r="W2140" s="166"/>
      <c r="X2140" s="166"/>
      <c r="Y2140" s="166"/>
      <c r="Z2140" s="166"/>
      <c r="AA2140" s="166"/>
      <c r="AB2140" s="166"/>
      <c r="AC2140" s="166"/>
      <c r="AD2140" s="166"/>
      <c r="AE2140" s="166"/>
      <c r="AF2140" s="166"/>
      <c r="AG2140" s="166"/>
      <c r="AH2140" s="166"/>
      <c r="AI2140" s="166"/>
    </row>
    <row r="2141" spans="7:35" x14ac:dyDescent="0.25">
      <c r="G2141" s="165"/>
      <c r="H2141" s="166"/>
      <c r="I2141" s="167"/>
      <c r="J2141" s="167"/>
      <c r="K2141" s="166"/>
      <c r="L2141" s="166"/>
      <c r="M2141" s="166"/>
      <c r="N2141" s="166"/>
      <c r="O2141" s="166"/>
      <c r="P2141" s="166"/>
      <c r="Q2141" s="166"/>
      <c r="R2141" s="166"/>
      <c r="S2141" s="166"/>
      <c r="T2141" s="166"/>
      <c r="U2141" s="166"/>
      <c r="V2141" s="166"/>
      <c r="W2141" s="166"/>
      <c r="X2141" s="166"/>
      <c r="Y2141" s="166"/>
      <c r="Z2141" s="166"/>
      <c r="AA2141" s="166"/>
      <c r="AB2141" s="166"/>
      <c r="AC2141" s="166"/>
      <c r="AD2141" s="166"/>
      <c r="AE2141" s="166"/>
      <c r="AF2141" s="166"/>
      <c r="AG2141" s="166"/>
      <c r="AH2141" s="166"/>
      <c r="AI2141" s="166"/>
    </row>
    <row r="2142" spans="7:35" x14ac:dyDescent="0.25">
      <c r="G2142" s="165"/>
      <c r="H2142" s="166"/>
      <c r="I2142" s="167"/>
      <c r="J2142" s="167"/>
      <c r="K2142" s="166"/>
      <c r="L2142" s="166"/>
      <c r="M2142" s="166"/>
      <c r="N2142" s="166"/>
      <c r="O2142" s="166"/>
      <c r="P2142" s="166"/>
      <c r="Q2142" s="166"/>
      <c r="R2142" s="166"/>
      <c r="S2142" s="166"/>
      <c r="T2142" s="166"/>
      <c r="U2142" s="166"/>
      <c r="V2142" s="166"/>
      <c r="W2142" s="166"/>
      <c r="X2142" s="166"/>
      <c r="Y2142" s="166"/>
      <c r="Z2142" s="166"/>
      <c r="AA2142" s="166"/>
      <c r="AB2142" s="166"/>
      <c r="AC2142" s="166"/>
      <c r="AD2142" s="166"/>
      <c r="AE2142" s="166"/>
      <c r="AF2142" s="166"/>
      <c r="AG2142" s="166"/>
      <c r="AH2142" s="166"/>
      <c r="AI2142" s="166"/>
    </row>
    <row r="2143" spans="7:35" x14ac:dyDescent="0.25">
      <c r="G2143" s="165"/>
      <c r="H2143" s="166"/>
      <c r="I2143" s="167"/>
      <c r="J2143" s="167"/>
      <c r="K2143" s="166"/>
      <c r="L2143" s="166"/>
      <c r="M2143" s="166"/>
      <c r="N2143" s="166"/>
      <c r="O2143" s="166"/>
      <c r="P2143" s="166"/>
      <c r="Q2143" s="166"/>
      <c r="R2143" s="166"/>
      <c r="S2143" s="166"/>
      <c r="T2143" s="166"/>
      <c r="U2143" s="166"/>
      <c r="V2143" s="166"/>
      <c r="W2143" s="166"/>
      <c r="X2143" s="166"/>
      <c r="Y2143" s="166"/>
      <c r="Z2143" s="166"/>
      <c r="AA2143" s="166"/>
      <c r="AB2143" s="166"/>
      <c r="AC2143" s="166"/>
      <c r="AD2143" s="166"/>
      <c r="AE2143" s="166"/>
      <c r="AF2143" s="166"/>
      <c r="AG2143" s="166"/>
      <c r="AH2143" s="166"/>
      <c r="AI2143" s="166"/>
    </row>
    <row r="2144" spans="7:35" x14ac:dyDescent="0.25">
      <c r="G2144" s="165"/>
      <c r="H2144" s="166"/>
      <c r="I2144" s="167"/>
      <c r="J2144" s="167"/>
      <c r="K2144" s="166"/>
      <c r="L2144" s="166"/>
      <c r="M2144" s="166"/>
      <c r="N2144" s="166"/>
      <c r="O2144" s="166"/>
      <c r="P2144" s="166"/>
      <c r="Q2144" s="166"/>
      <c r="R2144" s="166"/>
      <c r="S2144" s="166"/>
      <c r="T2144" s="166"/>
      <c r="U2144" s="166"/>
      <c r="V2144" s="166"/>
      <c r="W2144" s="166"/>
      <c r="X2144" s="166"/>
      <c r="Y2144" s="166"/>
      <c r="Z2144" s="166"/>
      <c r="AA2144" s="166"/>
      <c r="AB2144" s="166"/>
      <c r="AC2144" s="166"/>
      <c r="AD2144" s="166"/>
      <c r="AE2144" s="166"/>
      <c r="AF2144" s="166"/>
      <c r="AG2144" s="166"/>
      <c r="AH2144" s="166"/>
      <c r="AI2144" s="166"/>
    </row>
    <row r="2145" spans="7:35" x14ac:dyDescent="0.25">
      <c r="G2145" s="165"/>
      <c r="H2145" s="166"/>
      <c r="I2145" s="167"/>
      <c r="J2145" s="167"/>
      <c r="K2145" s="166"/>
      <c r="L2145" s="166"/>
      <c r="M2145" s="166"/>
      <c r="N2145" s="166"/>
      <c r="O2145" s="166"/>
      <c r="P2145" s="166"/>
      <c r="Q2145" s="166"/>
      <c r="R2145" s="166"/>
      <c r="S2145" s="166"/>
      <c r="T2145" s="166"/>
      <c r="U2145" s="166"/>
      <c r="V2145" s="166"/>
      <c r="W2145" s="166"/>
      <c r="X2145" s="166"/>
      <c r="Y2145" s="166"/>
      <c r="Z2145" s="166"/>
      <c r="AA2145" s="166"/>
      <c r="AB2145" s="166"/>
      <c r="AC2145" s="166"/>
      <c r="AD2145" s="166"/>
      <c r="AE2145" s="166"/>
      <c r="AF2145" s="166"/>
      <c r="AG2145" s="166"/>
      <c r="AH2145" s="166"/>
      <c r="AI2145" s="166"/>
    </row>
    <row r="2146" spans="7:35" x14ac:dyDescent="0.25">
      <c r="G2146" s="165"/>
      <c r="H2146" s="166"/>
      <c r="I2146" s="167"/>
      <c r="J2146" s="167"/>
      <c r="K2146" s="166"/>
      <c r="L2146" s="166"/>
      <c r="M2146" s="166"/>
      <c r="N2146" s="166"/>
      <c r="O2146" s="166"/>
      <c r="P2146" s="166"/>
      <c r="Q2146" s="166"/>
      <c r="R2146" s="166"/>
      <c r="S2146" s="166"/>
      <c r="T2146" s="166"/>
      <c r="U2146" s="166"/>
      <c r="V2146" s="166"/>
      <c r="W2146" s="166"/>
      <c r="X2146" s="166"/>
      <c r="Y2146" s="166"/>
      <c r="Z2146" s="166"/>
      <c r="AA2146" s="166"/>
      <c r="AB2146" s="166"/>
      <c r="AC2146" s="166"/>
      <c r="AD2146" s="166"/>
      <c r="AE2146" s="166"/>
      <c r="AF2146" s="166"/>
      <c r="AG2146" s="166"/>
      <c r="AH2146" s="166"/>
      <c r="AI2146" s="166"/>
    </row>
    <row r="2147" spans="7:35" x14ac:dyDescent="0.25">
      <c r="G2147" s="165"/>
      <c r="H2147" s="166"/>
      <c r="I2147" s="167"/>
      <c r="J2147" s="167"/>
      <c r="K2147" s="166"/>
      <c r="L2147" s="166"/>
      <c r="M2147" s="166"/>
      <c r="N2147" s="166"/>
      <c r="O2147" s="166"/>
      <c r="P2147" s="166"/>
      <c r="Q2147" s="166"/>
      <c r="R2147" s="166"/>
      <c r="S2147" s="166"/>
      <c r="T2147" s="166"/>
      <c r="U2147" s="166"/>
      <c r="V2147" s="166"/>
      <c r="W2147" s="166"/>
      <c r="X2147" s="166"/>
      <c r="Y2147" s="166"/>
      <c r="Z2147" s="166"/>
      <c r="AA2147" s="166"/>
      <c r="AB2147" s="166"/>
      <c r="AC2147" s="166"/>
      <c r="AD2147" s="166"/>
      <c r="AE2147" s="166"/>
      <c r="AF2147" s="166"/>
      <c r="AG2147" s="166"/>
      <c r="AH2147" s="166"/>
      <c r="AI2147" s="166"/>
    </row>
    <row r="2148" spans="7:35" x14ac:dyDescent="0.25">
      <c r="G2148" s="165"/>
      <c r="H2148" s="166"/>
      <c r="I2148" s="167"/>
      <c r="J2148" s="167"/>
      <c r="K2148" s="166"/>
      <c r="L2148" s="166"/>
      <c r="M2148" s="166"/>
      <c r="N2148" s="166"/>
      <c r="O2148" s="166"/>
      <c r="P2148" s="166"/>
      <c r="Q2148" s="166"/>
      <c r="R2148" s="166"/>
      <c r="S2148" s="166"/>
      <c r="T2148" s="166"/>
      <c r="U2148" s="166"/>
      <c r="V2148" s="166"/>
      <c r="W2148" s="166"/>
      <c r="X2148" s="166"/>
      <c r="Y2148" s="166"/>
      <c r="Z2148" s="166"/>
      <c r="AA2148" s="166"/>
      <c r="AB2148" s="166"/>
      <c r="AC2148" s="166"/>
      <c r="AD2148" s="166"/>
      <c r="AE2148" s="166"/>
      <c r="AF2148" s="166"/>
      <c r="AG2148" s="166"/>
      <c r="AH2148" s="166"/>
      <c r="AI2148" s="166"/>
    </row>
    <row r="2149" spans="7:35" x14ac:dyDescent="0.25">
      <c r="G2149" s="165"/>
      <c r="H2149" s="166"/>
      <c r="I2149" s="167"/>
      <c r="J2149" s="167"/>
      <c r="K2149" s="166"/>
      <c r="L2149" s="166"/>
      <c r="M2149" s="166"/>
      <c r="N2149" s="166"/>
      <c r="O2149" s="166"/>
      <c r="P2149" s="166"/>
      <c r="Q2149" s="166"/>
      <c r="R2149" s="166"/>
      <c r="S2149" s="166"/>
      <c r="T2149" s="166"/>
      <c r="U2149" s="166"/>
      <c r="V2149" s="166"/>
      <c r="W2149" s="166"/>
      <c r="X2149" s="166"/>
      <c r="Y2149" s="166"/>
      <c r="Z2149" s="166"/>
      <c r="AA2149" s="166"/>
      <c r="AB2149" s="166"/>
      <c r="AC2149" s="166"/>
      <c r="AD2149" s="166"/>
      <c r="AE2149" s="166"/>
      <c r="AF2149" s="166"/>
      <c r="AG2149" s="166"/>
      <c r="AH2149" s="166"/>
      <c r="AI2149" s="166"/>
    </row>
    <row r="2150" spans="7:35" x14ac:dyDescent="0.25">
      <c r="G2150" s="165"/>
      <c r="H2150" s="166"/>
      <c r="I2150" s="167"/>
      <c r="J2150" s="167"/>
      <c r="K2150" s="166"/>
      <c r="L2150" s="166"/>
      <c r="M2150" s="166"/>
      <c r="N2150" s="166"/>
      <c r="O2150" s="166"/>
      <c r="P2150" s="166"/>
      <c r="Q2150" s="166"/>
      <c r="R2150" s="166"/>
      <c r="S2150" s="166"/>
      <c r="T2150" s="166"/>
      <c r="U2150" s="166"/>
      <c r="V2150" s="166"/>
      <c r="W2150" s="166"/>
      <c r="X2150" s="166"/>
      <c r="Y2150" s="166"/>
      <c r="Z2150" s="166"/>
      <c r="AA2150" s="166"/>
      <c r="AB2150" s="166"/>
      <c r="AC2150" s="166"/>
      <c r="AD2150" s="166"/>
      <c r="AE2150" s="166"/>
      <c r="AF2150" s="166"/>
      <c r="AG2150" s="166"/>
      <c r="AH2150" s="166"/>
      <c r="AI2150" s="166"/>
    </row>
    <row r="2151" spans="7:35" x14ac:dyDescent="0.25">
      <c r="G2151" s="165"/>
      <c r="H2151" s="166"/>
      <c r="I2151" s="167"/>
      <c r="J2151" s="167"/>
      <c r="K2151" s="166"/>
      <c r="L2151" s="166"/>
      <c r="M2151" s="166"/>
      <c r="N2151" s="166"/>
      <c r="O2151" s="166"/>
      <c r="P2151" s="166"/>
      <c r="Q2151" s="166"/>
      <c r="R2151" s="166"/>
      <c r="S2151" s="166"/>
      <c r="T2151" s="166"/>
      <c r="U2151" s="166"/>
      <c r="V2151" s="166"/>
      <c r="W2151" s="166"/>
      <c r="X2151" s="166"/>
      <c r="Y2151" s="166"/>
      <c r="Z2151" s="166"/>
      <c r="AA2151" s="166"/>
      <c r="AB2151" s="166"/>
      <c r="AC2151" s="166"/>
      <c r="AD2151" s="166"/>
      <c r="AE2151" s="166"/>
      <c r="AF2151" s="166"/>
      <c r="AG2151" s="166"/>
      <c r="AH2151" s="166"/>
      <c r="AI2151" s="166"/>
    </row>
    <row r="2152" spans="7:35" x14ac:dyDescent="0.25">
      <c r="G2152" s="165"/>
      <c r="H2152" s="166"/>
      <c r="I2152" s="167"/>
      <c r="J2152" s="167"/>
      <c r="K2152" s="166"/>
      <c r="L2152" s="166"/>
      <c r="M2152" s="166"/>
      <c r="N2152" s="166"/>
      <c r="O2152" s="166"/>
      <c r="P2152" s="166"/>
      <c r="Q2152" s="166"/>
      <c r="R2152" s="166"/>
      <c r="S2152" s="166"/>
      <c r="T2152" s="166"/>
      <c r="U2152" s="166"/>
      <c r="V2152" s="166"/>
      <c r="W2152" s="166"/>
      <c r="X2152" s="166"/>
      <c r="Y2152" s="166"/>
      <c r="Z2152" s="166"/>
      <c r="AA2152" s="166"/>
      <c r="AB2152" s="166"/>
      <c r="AC2152" s="166"/>
      <c r="AD2152" s="166"/>
      <c r="AE2152" s="166"/>
      <c r="AF2152" s="166"/>
      <c r="AG2152" s="166"/>
      <c r="AH2152" s="166"/>
      <c r="AI2152" s="166"/>
    </row>
    <row r="2153" spans="7:35" x14ac:dyDescent="0.25">
      <c r="G2153" s="165"/>
      <c r="H2153" s="166"/>
      <c r="I2153" s="167"/>
      <c r="J2153" s="167"/>
      <c r="K2153" s="166"/>
      <c r="L2153" s="166"/>
      <c r="M2153" s="166"/>
      <c r="N2153" s="166"/>
      <c r="O2153" s="166"/>
      <c r="P2153" s="166"/>
      <c r="Q2153" s="166"/>
      <c r="R2153" s="166"/>
      <c r="S2153" s="166"/>
      <c r="T2153" s="166"/>
      <c r="U2153" s="166"/>
      <c r="V2153" s="166"/>
      <c r="W2153" s="166"/>
      <c r="X2153" s="166"/>
      <c r="Y2153" s="166"/>
      <c r="Z2153" s="166"/>
      <c r="AA2153" s="166"/>
      <c r="AB2153" s="166"/>
      <c r="AC2153" s="166"/>
      <c r="AD2153" s="166"/>
      <c r="AE2153" s="166"/>
      <c r="AF2153" s="166"/>
      <c r="AG2153" s="166"/>
      <c r="AH2153" s="166"/>
      <c r="AI2153" s="166"/>
    </row>
    <row r="2154" spans="7:35" x14ac:dyDescent="0.25">
      <c r="G2154" s="165"/>
      <c r="H2154" s="166"/>
      <c r="I2154" s="167"/>
      <c r="J2154" s="167"/>
      <c r="K2154" s="166"/>
      <c r="L2154" s="166"/>
      <c r="M2154" s="166"/>
      <c r="N2154" s="166"/>
      <c r="O2154" s="166"/>
      <c r="P2154" s="166"/>
      <c r="Q2154" s="166"/>
      <c r="R2154" s="166"/>
      <c r="S2154" s="166"/>
      <c r="T2154" s="166"/>
      <c r="U2154" s="166"/>
      <c r="V2154" s="166"/>
      <c r="W2154" s="166"/>
      <c r="X2154" s="166"/>
      <c r="Y2154" s="166"/>
      <c r="Z2154" s="166"/>
      <c r="AA2154" s="166"/>
      <c r="AB2154" s="166"/>
      <c r="AC2154" s="166"/>
      <c r="AD2154" s="166"/>
      <c r="AE2154" s="166"/>
      <c r="AF2154" s="166"/>
      <c r="AG2154" s="166"/>
      <c r="AH2154" s="166"/>
      <c r="AI2154" s="166"/>
    </row>
    <row r="2155" spans="7:35" x14ac:dyDescent="0.25">
      <c r="G2155" s="165"/>
      <c r="H2155" s="166"/>
      <c r="I2155" s="167"/>
      <c r="J2155" s="167"/>
      <c r="K2155" s="166"/>
      <c r="L2155" s="166"/>
      <c r="M2155" s="166"/>
      <c r="N2155" s="166"/>
      <c r="O2155" s="166"/>
      <c r="P2155" s="166"/>
      <c r="Q2155" s="166"/>
      <c r="R2155" s="166"/>
      <c r="S2155" s="166"/>
      <c r="T2155" s="166"/>
      <c r="U2155" s="166"/>
      <c r="V2155" s="166"/>
      <c r="W2155" s="166"/>
      <c r="X2155" s="166"/>
      <c r="Y2155" s="166"/>
      <c r="Z2155" s="166"/>
      <c r="AA2155" s="166"/>
      <c r="AB2155" s="166"/>
      <c r="AC2155" s="166"/>
      <c r="AD2155" s="166"/>
      <c r="AE2155" s="166"/>
      <c r="AF2155" s="166"/>
      <c r="AG2155" s="166"/>
      <c r="AH2155" s="166"/>
      <c r="AI2155" s="166"/>
    </row>
    <row r="2156" spans="7:35" x14ac:dyDescent="0.25">
      <c r="G2156" s="165"/>
      <c r="H2156" s="166"/>
      <c r="I2156" s="167"/>
      <c r="J2156" s="167"/>
      <c r="K2156" s="166"/>
      <c r="L2156" s="166"/>
      <c r="M2156" s="166"/>
      <c r="N2156" s="166"/>
      <c r="O2156" s="166"/>
      <c r="P2156" s="166"/>
      <c r="Q2156" s="166"/>
      <c r="R2156" s="166"/>
      <c r="S2156" s="166"/>
      <c r="T2156" s="166"/>
      <c r="U2156" s="166"/>
      <c r="V2156" s="166"/>
      <c r="W2156" s="166"/>
      <c r="X2156" s="166"/>
      <c r="Y2156" s="166"/>
      <c r="Z2156" s="166"/>
      <c r="AA2156" s="166"/>
      <c r="AB2156" s="166"/>
      <c r="AC2156" s="166"/>
      <c r="AD2156" s="166"/>
      <c r="AE2156" s="166"/>
      <c r="AF2156" s="166"/>
      <c r="AG2156" s="166"/>
      <c r="AH2156" s="166"/>
      <c r="AI2156" s="166"/>
    </row>
    <row r="2157" spans="7:35" x14ac:dyDescent="0.25">
      <c r="G2157" s="165"/>
      <c r="H2157" s="166"/>
      <c r="I2157" s="167"/>
      <c r="J2157" s="167"/>
      <c r="K2157" s="166"/>
      <c r="L2157" s="166"/>
      <c r="M2157" s="166"/>
      <c r="N2157" s="166"/>
      <c r="O2157" s="166"/>
      <c r="P2157" s="166"/>
      <c r="Q2157" s="166"/>
      <c r="R2157" s="166"/>
      <c r="S2157" s="166"/>
      <c r="T2157" s="166"/>
      <c r="U2157" s="166"/>
      <c r="V2157" s="166"/>
      <c r="W2157" s="166"/>
      <c r="X2157" s="166"/>
      <c r="Y2157" s="166"/>
      <c r="Z2157" s="166"/>
      <c r="AA2157" s="166"/>
      <c r="AB2157" s="166"/>
      <c r="AC2157" s="166"/>
      <c r="AD2157" s="166"/>
      <c r="AE2157" s="166"/>
      <c r="AF2157" s="166"/>
      <c r="AG2157" s="166"/>
      <c r="AH2157" s="166"/>
      <c r="AI2157" s="166"/>
    </row>
    <row r="2158" spans="7:35" x14ac:dyDescent="0.25">
      <c r="G2158" s="165"/>
      <c r="H2158" s="166"/>
      <c r="I2158" s="167"/>
      <c r="J2158" s="167"/>
      <c r="K2158" s="166"/>
      <c r="L2158" s="166"/>
      <c r="M2158" s="166"/>
      <c r="N2158" s="166"/>
      <c r="O2158" s="166"/>
      <c r="P2158" s="166"/>
      <c r="Q2158" s="166"/>
      <c r="R2158" s="166"/>
      <c r="S2158" s="166"/>
      <c r="T2158" s="166"/>
      <c r="U2158" s="166"/>
      <c r="V2158" s="166"/>
      <c r="W2158" s="166"/>
      <c r="X2158" s="166"/>
      <c r="Y2158" s="166"/>
      <c r="Z2158" s="166"/>
      <c r="AA2158" s="166"/>
      <c r="AB2158" s="166"/>
      <c r="AC2158" s="166"/>
      <c r="AD2158" s="166"/>
      <c r="AE2158" s="166"/>
      <c r="AF2158" s="166"/>
      <c r="AG2158" s="166"/>
      <c r="AH2158" s="166"/>
      <c r="AI2158" s="166"/>
    </row>
    <row r="2159" spans="7:35" x14ac:dyDescent="0.25">
      <c r="G2159" s="165"/>
      <c r="H2159" s="166"/>
      <c r="I2159" s="167"/>
      <c r="J2159" s="167"/>
      <c r="K2159" s="166"/>
      <c r="L2159" s="166"/>
      <c r="M2159" s="166"/>
      <c r="N2159" s="166"/>
      <c r="O2159" s="166"/>
      <c r="P2159" s="166"/>
      <c r="Q2159" s="166"/>
      <c r="R2159" s="166"/>
      <c r="S2159" s="166"/>
      <c r="T2159" s="166"/>
      <c r="U2159" s="166"/>
      <c r="V2159" s="166"/>
      <c r="W2159" s="166"/>
      <c r="X2159" s="166"/>
      <c r="Y2159" s="166"/>
      <c r="Z2159" s="166"/>
      <c r="AA2159" s="166"/>
      <c r="AB2159" s="166"/>
      <c r="AC2159" s="166"/>
      <c r="AD2159" s="166"/>
      <c r="AE2159" s="166"/>
      <c r="AF2159" s="166"/>
      <c r="AG2159" s="166"/>
      <c r="AH2159" s="166"/>
      <c r="AI2159" s="166"/>
    </row>
    <row r="2160" spans="7:35" x14ac:dyDescent="0.25">
      <c r="G2160" s="165"/>
      <c r="H2160" s="166"/>
      <c r="I2160" s="167"/>
      <c r="J2160" s="167"/>
      <c r="K2160" s="166"/>
      <c r="L2160" s="166"/>
      <c r="M2160" s="166"/>
      <c r="N2160" s="166"/>
      <c r="O2160" s="166"/>
      <c r="P2160" s="166"/>
      <c r="Q2160" s="166"/>
      <c r="R2160" s="166"/>
      <c r="S2160" s="166"/>
      <c r="T2160" s="166"/>
      <c r="U2160" s="166"/>
      <c r="V2160" s="166"/>
      <c r="W2160" s="166"/>
      <c r="X2160" s="166"/>
      <c r="Y2160" s="166"/>
      <c r="Z2160" s="166"/>
      <c r="AA2160" s="166"/>
      <c r="AB2160" s="166"/>
      <c r="AC2160" s="166"/>
      <c r="AD2160" s="166"/>
      <c r="AE2160" s="166"/>
      <c r="AF2160" s="166"/>
      <c r="AG2160" s="166"/>
      <c r="AH2160" s="166"/>
      <c r="AI2160" s="166"/>
    </row>
    <row r="2161" spans="7:35" x14ac:dyDescent="0.25">
      <c r="G2161" s="165"/>
      <c r="H2161" s="166"/>
      <c r="I2161" s="167"/>
      <c r="J2161" s="167"/>
      <c r="K2161" s="166"/>
      <c r="L2161" s="166"/>
      <c r="M2161" s="166"/>
      <c r="N2161" s="166"/>
      <c r="O2161" s="166"/>
      <c r="P2161" s="166"/>
      <c r="Q2161" s="166"/>
      <c r="R2161" s="166"/>
      <c r="S2161" s="166"/>
      <c r="T2161" s="166"/>
      <c r="U2161" s="166"/>
      <c r="V2161" s="166"/>
      <c r="W2161" s="166"/>
      <c r="X2161" s="166"/>
      <c r="Y2161" s="166"/>
      <c r="Z2161" s="166"/>
      <c r="AA2161" s="166"/>
      <c r="AB2161" s="166"/>
      <c r="AC2161" s="166"/>
      <c r="AD2161" s="166"/>
      <c r="AE2161" s="166"/>
      <c r="AF2161" s="166"/>
      <c r="AG2161" s="166"/>
      <c r="AH2161" s="166"/>
      <c r="AI2161" s="166"/>
    </row>
    <row r="2162" spans="7:35" x14ac:dyDescent="0.25">
      <c r="G2162" s="165"/>
      <c r="H2162" s="166"/>
      <c r="I2162" s="167"/>
      <c r="J2162" s="167"/>
      <c r="K2162" s="166"/>
      <c r="L2162" s="166"/>
      <c r="M2162" s="166"/>
      <c r="N2162" s="166"/>
      <c r="O2162" s="166"/>
      <c r="P2162" s="166"/>
      <c r="Q2162" s="166"/>
      <c r="R2162" s="166"/>
      <c r="S2162" s="166"/>
      <c r="T2162" s="166"/>
      <c r="U2162" s="166"/>
      <c r="V2162" s="166"/>
      <c r="W2162" s="166"/>
      <c r="X2162" s="166"/>
      <c r="Y2162" s="166"/>
      <c r="Z2162" s="166"/>
      <c r="AA2162" s="166"/>
      <c r="AB2162" s="166"/>
      <c r="AC2162" s="166"/>
      <c r="AD2162" s="166"/>
      <c r="AE2162" s="166"/>
      <c r="AF2162" s="166"/>
      <c r="AG2162" s="166"/>
      <c r="AH2162" s="166"/>
      <c r="AI2162" s="166"/>
    </row>
    <row r="2163" spans="7:35" x14ac:dyDescent="0.25">
      <c r="G2163" s="165"/>
      <c r="H2163" s="166"/>
      <c r="I2163" s="167"/>
      <c r="J2163" s="167"/>
      <c r="K2163" s="166"/>
      <c r="L2163" s="166"/>
      <c r="M2163" s="166"/>
      <c r="N2163" s="166"/>
      <c r="O2163" s="166"/>
      <c r="P2163" s="166"/>
      <c r="Q2163" s="166"/>
      <c r="R2163" s="166"/>
      <c r="S2163" s="166"/>
      <c r="T2163" s="166"/>
      <c r="U2163" s="166"/>
      <c r="V2163" s="166"/>
      <c r="W2163" s="166"/>
      <c r="X2163" s="166"/>
      <c r="Y2163" s="166"/>
      <c r="Z2163" s="166"/>
      <c r="AA2163" s="166"/>
      <c r="AB2163" s="166"/>
      <c r="AC2163" s="166"/>
      <c r="AD2163" s="166"/>
      <c r="AE2163" s="166"/>
      <c r="AF2163" s="166"/>
      <c r="AG2163" s="166"/>
      <c r="AH2163" s="166"/>
      <c r="AI2163" s="166"/>
    </row>
    <row r="2164" spans="7:35" x14ac:dyDescent="0.25">
      <c r="G2164" s="165"/>
      <c r="H2164" s="166"/>
      <c r="I2164" s="167"/>
      <c r="J2164" s="167"/>
      <c r="K2164" s="166"/>
      <c r="L2164" s="166"/>
      <c r="M2164" s="166"/>
      <c r="N2164" s="166"/>
      <c r="O2164" s="166"/>
      <c r="P2164" s="166"/>
      <c r="Q2164" s="166"/>
      <c r="R2164" s="166"/>
      <c r="S2164" s="166"/>
      <c r="T2164" s="166"/>
      <c r="U2164" s="166"/>
      <c r="V2164" s="166"/>
      <c r="W2164" s="166"/>
      <c r="X2164" s="166"/>
      <c r="Y2164" s="166"/>
      <c r="Z2164" s="166"/>
      <c r="AA2164" s="166"/>
      <c r="AB2164" s="166"/>
      <c r="AC2164" s="166"/>
      <c r="AD2164" s="166"/>
      <c r="AE2164" s="166"/>
      <c r="AF2164" s="166"/>
      <c r="AG2164" s="166"/>
      <c r="AH2164" s="166"/>
      <c r="AI2164" s="166"/>
    </row>
    <row r="2165" spans="7:35" x14ac:dyDescent="0.25">
      <c r="G2165" s="165"/>
      <c r="H2165" s="166"/>
      <c r="I2165" s="167"/>
      <c r="J2165" s="167"/>
      <c r="K2165" s="166"/>
      <c r="L2165" s="166"/>
      <c r="M2165" s="166"/>
      <c r="N2165" s="166"/>
      <c r="O2165" s="166"/>
      <c r="P2165" s="166"/>
      <c r="Q2165" s="166"/>
      <c r="R2165" s="166"/>
      <c r="S2165" s="166"/>
      <c r="T2165" s="166"/>
      <c r="U2165" s="166"/>
      <c r="V2165" s="166"/>
      <c r="W2165" s="166"/>
      <c r="X2165" s="166"/>
      <c r="Y2165" s="166"/>
      <c r="Z2165" s="166"/>
      <c r="AA2165" s="166"/>
      <c r="AB2165" s="166"/>
      <c r="AC2165" s="166"/>
      <c r="AD2165" s="166"/>
      <c r="AE2165" s="166"/>
      <c r="AF2165" s="166"/>
      <c r="AG2165" s="166"/>
      <c r="AH2165" s="166"/>
      <c r="AI2165" s="166"/>
    </row>
    <row r="2166" spans="7:35" x14ac:dyDescent="0.25">
      <c r="G2166" s="165"/>
      <c r="H2166" s="166"/>
      <c r="I2166" s="167"/>
      <c r="J2166" s="167"/>
      <c r="K2166" s="166"/>
      <c r="L2166" s="166"/>
      <c r="M2166" s="166"/>
      <c r="N2166" s="166"/>
      <c r="O2166" s="166"/>
      <c r="P2166" s="166"/>
      <c r="Q2166" s="166"/>
      <c r="R2166" s="166"/>
      <c r="S2166" s="166"/>
      <c r="T2166" s="166"/>
      <c r="U2166" s="166"/>
      <c r="V2166" s="166"/>
      <c r="W2166" s="166"/>
      <c r="X2166" s="166"/>
      <c r="Y2166" s="166"/>
      <c r="Z2166" s="166"/>
      <c r="AA2166" s="166"/>
      <c r="AB2166" s="166"/>
      <c r="AC2166" s="166"/>
      <c r="AD2166" s="166"/>
      <c r="AE2166" s="166"/>
      <c r="AF2166" s="166"/>
      <c r="AG2166" s="166"/>
      <c r="AH2166" s="166"/>
      <c r="AI2166" s="166"/>
    </row>
    <row r="2167" spans="7:35" x14ac:dyDescent="0.25">
      <c r="G2167" s="165"/>
      <c r="H2167" s="166"/>
      <c r="I2167" s="167"/>
      <c r="J2167" s="167"/>
      <c r="K2167" s="166"/>
      <c r="L2167" s="166"/>
      <c r="M2167" s="166"/>
      <c r="N2167" s="166"/>
      <c r="O2167" s="166"/>
      <c r="P2167" s="166"/>
      <c r="Q2167" s="166"/>
      <c r="R2167" s="166"/>
      <c r="S2167" s="166"/>
      <c r="T2167" s="166"/>
      <c r="U2167" s="166"/>
      <c r="V2167" s="166"/>
      <c r="W2167" s="166"/>
      <c r="X2167" s="166"/>
      <c r="Y2167" s="166"/>
      <c r="Z2167" s="166"/>
      <c r="AA2167" s="166"/>
      <c r="AB2167" s="166"/>
      <c r="AC2167" s="166"/>
      <c r="AD2167" s="166"/>
      <c r="AE2167" s="166"/>
      <c r="AF2167" s="166"/>
      <c r="AG2167" s="166"/>
      <c r="AH2167" s="166"/>
      <c r="AI2167" s="166"/>
    </row>
    <row r="2168" spans="7:35" x14ac:dyDescent="0.25">
      <c r="G2168" s="165"/>
      <c r="H2168" s="166"/>
      <c r="I2168" s="167"/>
      <c r="J2168" s="167"/>
      <c r="K2168" s="166"/>
      <c r="L2168" s="166"/>
      <c r="M2168" s="166"/>
      <c r="N2168" s="166"/>
      <c r="O2168" s="166"/>
      <c r="P2168" s="166"/>
      <c r="Q2168" s="166"/>
      <c r="R2168" s="166"/>
      <c r="S2168" s="166"/>
      <c r="T2168" s="166"/>
      <c r="U2168" s="166"/>
      <c r="V2168" s="166"/>
      <c r="W2168" s="166"/>
      <c r="X2168" s="166"/>
      <c r="Y2168" s="166"/>
      <c r="Z2168" s="166"/>
      <c r="AA2168" s="166"/>
      <c r="AB2168" s="166"/>
      <c r="AC2168" s="166"/>
      <c r="AD2168" s="166"/>
      <c r="AE2168" s="166"/>
      <c r="AF2168" s="166"/>
      <c r="AG2168" s="166"/>
      <c r="AH2168" s="166"/>
      <c r="AI2168" s="166"/>
    </row>
    <row r="2169" spans="7:35" x14ac:dyDescent="0.25">
      <c r="G2169" s="165"/>
      <c r="H2169" s="166"/>
      <c r="I2169" s="167"/>
      <c r="J2169" s="167"/>
      <c r="K2169" s="166"/>
      <c r="L2169" s="166"/>
      <c r="M2169" s="166"/>
      <c r="N2169" s="166"/>
      <c r="O2169" s="166"/>
      <c r="P2169" s="166"/>
      <c r="Q2169" s="166"/>
      <c r="R2169" s="166"/>
      <c r="S2169" s="166"/>
      <c r="T2169" s="166"/>
      <c r="U2169" s="166"/>
      <c r="V2169" s="166"/>
      <c r="W2169" s="166"/>
      <c r="X2169" s="166"/>
      <c r="Y2169" s="166"/>
      <c r="Z2169" s="166"/>
      <c r="AA2169" s="166"/>
      <c r="AB2169" s="166"/>
      <c r="AC2169" s="166"/>
      <c r="AD2169" s="166"/>
      <c r="AE2169" s="166"/>
      <c r="AF2169" s="166"/>
      <c r="AG2169" s="166"/>
      <c r="AH2169" s="166"/>
      <c r="AI2169" s="166"/>
    </row>
    <row r="2170" spans="7:35" x14ac:dyDescent="0.25">
      <c r="G2170" s="165"/>
      <c r="H2170" s="166"/>
      <c r="I2170" s="167"/>
      <c r="J2170" s="167"/>
      <c r="K2170" s="166"/>
      <c r="L2170" s="166"/>
      <c r="M2170" s="166"/>
      <c r="N2170" s="166"/>
      <c r="O2170" s="166"/>
      <c r="P2170" s="166"/>
      <c r="Q2170" s="166"/>
      <c r="R2170" s="166"/>
      <c r="S2170" s="166"/>
      <c r="T2170" s="166"/>
      <c r="U2170" s="166"/>
      <c r="V2170" s="166"/>
      <c r="W2170" s="166"/>
      <c r="X2170" s="166"/>
      <c r="Y2170" s="166"/>
      <c r="Z2170" s="166"/>
      <c r="AA2170" s="166"/>
      <c r="AB2170" s="166"/>
      <c r="AC2170" s="166"/>
      <c r="AD2170" s="166"/>
      <c r="AE2170" s="166"/>
      <c r="AF2170" s="166"/>
      <c r="AG2170" s="166"/>
      <c r="AH2170" s="166"/>
      <c r="AI2170" s="166"/>
    </row>
    <row r="2171" spans="7:35" x14ac:dyDescent="0.25">
      <c r="G2171" s="165"/>
      <c r="H2171" s="166"/>
      <c r="I2171" s="167"/>
      <c r="J2171" s="167"/>
      <c r="K2171" s="166"/>
      <c r="L2171" s="166"/>
      <c r="M2171" s="166"/>
      <c r="N2171" s="166"/>
      <c r="O2171" s="166"/>
      <c r="P2171" s="166"/>
      <c r="Q2171" s="166"/>
      <c r="R2171" s="166"/>
      <c r="S2171" s="166"/>
      <c r="T2171" s="166"/>
      <c r="U2171" s="166"/>
      <c r="V2171" s="166"/>
      <c r="W2171" s="166"/>
      <c r="X2171" s="166"/>
      <c r="Y2171" s="166"/>
      <c r="Z2171" s="166"/>
      <c r="AA2171" s="166"/>
      <c r="AB2171" s="166"/>
      <c r="AC2171" s="166"/>
      <c r="AD2171" s="166"/>
      <c r="AE2171" s="166"/>
      <c r="AF2171" s="166"/>
      <c r="AG2171" s="166"/>
      <c r="AH2171" s="166"/>
      <c r="AI2171" s="166"/>
    </row>
    <row r="2172" spans="7:35" x14ac:dyDescent="0.25">
      <c r="G2172" s="165"/>
      <c r="H2172" s="166"/>
      <c r="I2172" s="167"/>
      <c r="J2172" s="167"/>
      <c r="K2172" s="166"/>
      <c r="L2172" s="166"/>
      <c r="M2172" s="166"/>
      <c r="N2172" s="166"/>
      <c r="O2172" s="166"/>
      <c r="P2172" s="166"/>
      <c r="Q2172" s="166"/>
      <c r="R2172" s="166"/>
      <c r="S2172" s="166"/>
      <c r="T2172" s="166"/>
      <c r="U2172" s="166"/>
      <c r="V2172" s="166"/>
      <c r="W2172" s="166"/>
      <c r="X2172" s="166"/>
      <c r="Y2172" s="166"/>
      <c r="Z2172" s="166"/>
      <c r="AA2172" s="166"/>
      <c r="AB2172" s="166"/>
      <c r="AC2172" s="166"/>
      <c r="AD2172" s="166"/>
      <c r="AE2172" s="166"/>
      <c r="AF2172" s="166"/>
      <c r="AG2172" s="166"/>
      <c r="AH2172" s="166"/>
      <c r="AI2172" s="166"/>
    </row>
    <row r="2173" spans="7:35" x14ac:dyDescent="0.25">
      <c r="G2173" s="165"/>
      <c r="H2173" s="166"/>
      <c r="I2173" s="167"/>
      <c r="J2173" s="167"/>
      <c r="K2173" s="166"/>
      <c r="L2173" s="166"/>
      <c r="M2173" s="166"/>
      <c r="N2173" s="166"/>
      <c r="O2173" s="166"/>
      <c r="P2173" s="166"/>
      <c r="Q2173" s="166"/>
      <c r="R2173" s="166"/>
      <c r="S2173" s="166"/>
      <c r="T2173" s="166"/>
      <c r="U2173" s="166"/>
      <c r="V2173" s="166"/>
      <c r="W2173" s="166"/>
      <c r="X2173" s="166"/>
      <c r="Y2173" s="166"/>
      <c r="Z2173" s="166"/>
      <c r="AA2173" s="166"/>
      <c r="AB2173" s="166"/>
      <c r="AC2173" s="166"/>
      <c r="AD2173" s="166"/>
      <c r="AE2173" s="166"/>
      <c r="AF2173" s="166"/>
      <c r="AG2173" s="166"/>
      <c r="AH2173" s="166"/>
      <c r="AI2173" s="166"/>
    </row>
    <row r="2174" spans="7:35" x14ac:dyDescent="0.25">
      <c r="G2174" s="165"/>
      <c r="H2174" s="166"/>
      <c r="I2174" s="167"/>
      <c r="J2174" s="167"/>
      <c r="K2174" s="166"/>
      <c r="L2174" s="166"/>
      <c r="M2174" s="166"/>
      <c r="N2174" s="166"/>
      <c r="O2174" s="166"/>
      <c r="P2174" s="166"/>
      <c r="Q2174" s="166"/>
      <c r="R2174" s="166"/>
      <c r="S2174" s="166"/>
      <c r="T2174" s="166"/>
      <c r="U2174" s="166"/>
      <c r="V2174" s="166"/>
      <c r="W2174" s="166"/>
      <c r="X2174" s="166"/>
      <c r="Y2174" s="166"/>
      <c r="Z2174" s="166"/>
      <c r="AA2174" s="166"/>
      <c r="AB2174" s="166"/>
      <c r="AC2174" s="166"/>
      <c r="AD2174" s="166"/>
      <c r="AE2174" s="166"/>
      <c r="AF2174" s="166"/>
      <c r="AG2174" s="166"/>
      <c r="AH2174" s="166"/>
      <c r="AI2174" s="166"/>
    </row>
    <row r="2175" spans="7:35" x14ac:dyDescent="0.25">
      <c r="G2175" s="165"/>
      <c r="H2175" s="166"/>
      <c r="I2175" s="167"/>
      <c r="J2175" s="167"/>
      <c r="K2175" s="166"/>
      <c r="L2175" s="166"/>
      <c r="M2175" s="166"/>
      <c r="N2175" s="166"/>
      <c r="O2175" s="166"/>
      <c r="P2175" s="166"/>
      <c r="Q2175" s="166"/>
      <c r="R2175" s="166"/>
      <c r="S2175" s="166"/>
      <c r="T2175" s="166"/>
      <c r="U2175" s="166"/>
      <c r="V2175" s="166"/>
      <c r="W2175" s="166"/>
      <c r="X2175" s="166"/>
      <c r="Y2175" s="166"/>
      <c r="Z2175" s="166"/>
      <c r="AA2175" s="166"/>
      <c r="AB2175" s="166"/>
      <c r="AC2175" s="166"/>
      <c r="AD2175" s="166"/>
      <c r="AE2175" s="166"/>
      <c r="AF2175" s="166"/>
      <c r="AG2175" s="166"/>
      <c r="AH2175" s="166"/>
      <c r="AI2175" s="166"/>
    </row>
    <row r="2176" spans="7:35" x14ac:dyDescent="0.25">
      <c r="G2176" s="165"/>
      <c r="H2176" s="166"/>
      <c r="I2176" s="167"/>
      <c r="J2176" s="167"/>
      <c r="K2176" s="166"/>
      <c r="L2176" s="166"/>
      <c r="M2176" s="166"/>
      <c r="N2176" s="166"/>
      <c r="O2176" s="166"/>
      <c r="P2176" s="166"/>
      <c r="Q2176" s="166"/>
      <c r="R2176" s="166"/>
      <c r="S2176" s="166"/>
      <c r="T2176" s="166"/>
      <c r="U2176" s="166"/>
      <c r="V2176" s="166"/>
      <c r="W2176" s="166"/>
      <c r="X2176" s="166"/>
      <c r="Y2176" s="166"/>
      <c r="Z2176" s="166"/>
      <c r="AA2176" s="166"/>
      <c r="AB2176" s="166"/>
      <c r="AC2176" s="166"/>
      <c r="AD2176" s="166"/>
      <c r="AE2176" s="166"/>
      <c r="AF2176" s="166"/>
      <c r="AG2176" s="166"/>
      <c r="AH2176" s="166"/>
      <c r="AI2176" s="166"/>
    </row>
    <row r="2177" spans="7:35" x14ac:dyDescent="0.25">
      <c r="G2177" s="165"/>
      <c r="H2177" s="166"/>
      <c r="I2177" s="167"/>
      <c r="J2177" s="167"/>
      <c r="K2177" s="166"/>
      <c r="L2177" s="166"/>
      <c r="M2177" s="166"/>
      <c r="N2177" s="166"/>
      <c r="O2177" s="166"/>
      <c r="P2177" s="166"/>
      <c r="Q2177" s="166"/>
      <c r="R2177" s="166"/>
      <c r="S2177" s="166"/>
      <c r="T2177" s="166"/>
      <c r="U2177" s="166"/>
      <c r="V2177" s="166"/>
      <c r="W2177" s="166"/>
      <c r="X2177" s="166"/>
      <c r="Y2177" s="166"/>
      <c r="Z2177" s="166"/>
      <c r="AA2177" s="166"/>
      <c r="AB2177" s="166"/>
      <c r="AC2177" s="166"/>
      <c r="AD2177" s="166"/>
      <c r="AE2177" s="166"/>
      <c r="AF2177" s="166"/>
      <c r="AG2177" s="166"/>
      <c r="AH2177" s="166"/>
      <c r="AI2177" s="166"/>
    </row>
    <row r="2178" spans="7:35" x14ac:dyDescent="0.25">
      <c r="G2178" s="165"/>
      <c r="H2178" s="166"/>
      <c r="I2178" s="167"/>
      <c r="J2178" s="167"/>
      <c r="K2178" s="166"/>
      <c r="L2178" s="166"/>
      <c r="M2178" s="166"/>
      <c r="N2178" s="166"/>
      <c r="O2178" s="166"/>
      <c r="P2178" s="166"/>
      <c r="Q2178" s="166"/>
      <c r="R2178" s="166"/>
      <c r="S2178" s="166"/>
      <c r="T2178" s="166"/>
      <c r="U2178" s="166"/>
      <c r="V2178" s="166"/>
      <c r="W2178" s="166"/>
      <c r="X2178" s="166"/>
      <c r="Y2178" s="166"/>
      <c r="Z2178" s="166"/>
      <c r="AA2178" s="166"/>
      <c r="AB2178" s="166"/>
      <c r="AC2178" s="166"/>
      <c r="AD2178" s="166"/>
      <c r="AE2178" s="166"/>
      <c r="AF2178" s="166"/>
      <c r="AG2178" s="166"/>
      <c r="AH2178" s="166"/>
      <c r="AI2178" s="166"/>
    </row>
    <row r="2179" spans="7:35" x14ac:dyDescent="0.25">
      <c r="G2179" s="165"/>
      <c r="H2179" s="166"/>
      <c r="I2179" s="167"/>
      <c r="J2179" s="167"/>
      <c r="K2179" s="166"/>
      <c r="L2179" s="166"/>
      <c r="M2179" s="166"/>
      <c r="N2179" s="166"/>
      <c r="O2179" s="166"/>
      <c r="P2179" s="166"/>
      <c r="Q2179" s="166"/>
      <c r="R2179" s="166"/>
      <c r="S2179" s="166"/>
      <c r="T2179" s="166"/>
      <c r="U2179" s="166"/>
      <c r="V2179" s="166"/>
      <c r="W2179" s="166"/>
      <c r="X2179" s="166"/>
      <c r="Y2179" s="166"/>
      <c r="Z2179" s="166"/>
      <c r="AA2179" s="166"/>
      <c r="AB2179" s="166"/>
      <c r="AC2179" s="166"/>
      <c r="AD2179" s="166"/>
      <c r="AE2179" s="166"/>
      <c r="AF2179" s="166"/>
      <c r="AG2179" s="166"/>
      <c r="AH2179" s="166"/>
      <c r="AI2179" s="166"/>
    </row>
    <row r="2180" spans="7:35" x14ac:dyDescent="0.25">
      <c r="G2180" s="165"/>
      <c r="H2180" s="166"/>
      <c r="I2180" s="167"/>
      <c r="J2180" s="167"/>
      <c r="K2180" s="166"/>
      <c r="L2180" s="166"/>
      <c r="M2180" s="166"/>
      <c r="N2180" s="166"/>
      <c r="O2180" s="166"/>
      <c r="P2180" s="166"/>
      <c r="Q2180" s="166"/>
      <c r="R2180" s="166"/>
      <c r="S2180" s="166"/>
      <c r="T2180" s="166"/>
      <c r="U2180" s="166"/>
      <c r="V2180" s="166"/>
      <c r="W2180" s="166"/>
      <c r="X2180" s="166"/>
      <c r="Y2180" s="166"/>
      <c r="Z2180" s="166"/>
      <c r="AA2180" s="166"/>
      <c r="AB2180" s="166"/>
      <c r="AC2180" s="166"/>
      <c r="AD2180" s="166"/>
      <c r="AE2180" s="166"/>
      <c r="AF2180" s="166"/>
      <c r="AG2180" s="166"/>
      <c r="AH2180" s="166"/>
      <c r="AI2180" s="166"/>
    </row>
    <row r="2181" spans="7:35" x14ac:dyDescent="0.25">
      <c r="G2181" s="165"/>
      <c r="H2181" s="166"/>
      <c r="I2181" s="167"/>
      <c r="J2181" s="167"/>
      <c r="K2181" s="166"/>
      <c r="L2181" s="166"/>
      <c r="M2181" s="166"/>
      <c r="N2181" s="166"/>
      <c r="O2181" s="166"/>
      <c r="P2181" s="166"/>
      <c r="Q2181" s="166"/>
      <c r="R2181" s="166"/>
      <c r="S2181" s="166"/>
      <c r="T2181" s="166"/>
      <c r="U2181" s="166"/>
      <c r="V2181" s="166"/>
      <c r="W2181" s="166"/>
      <c r="X2181" s="166"/>
      <c r="Y2181" s="166"/>
      <c r="Z2181" s="166"/>
      <c r="AA2181" s="166"/>
      <c r="AB2181" s="166"/>
      <c r="AC2181" s="166"/>
      <c r="AD2181" s="166"/>
      <c r="AE2181" s="166"/>
      <c r="AF2181" s="166"/>
      <c r="AG2181" s="166"/>
      <c r="AH2181" s="166"/>
      <c r="AI2181" s="166"/>
    </row>
    <row r="2182" spans="7:35" x14ac:dyDescent="0.25">
      <c r="G2182" s="165"/>
      <c r="H2182" s="166"/>
      <c r="I2182" s="167"/>
      <c r="J2182" s="167"/>
      <c r="K2182" s="166"/>
      <c r="L2182" s="166"/>
      <c r="M2182" s="166"/>
      <c r="N2182" s="166"/>
      <c r="O2182" s="166"/>
      <c r="P2182" s="166"/>
      <c r="Q2182" s="166"/>
      <c r="R2182" s="166"/>
      <c r="S2182" s="166"/>
      <c r="T2182" s="166"/>
      <c r="U2182" s="166"/>
      <c r="V2182" s="166"/>
      <c r="W2182" s="166"/>
      <c r="X2182" s="166"/>
      <c r="Y2182" s="166"/>
      <c r="Z2182" s="166"/>
      <c r="AA2182" s="166"/>
      <c r="AB2182" s="166"/>
      <c r="AC2182" s="166"/>
      <c r="AD2182" s="166"/>
      <c r="AE2182" s="166"/>
      <c r="AF2182" s="166"/>
      <c r="AG2182" s="166"/>
      <c r="AH2182" s="166"/>
      <c r="AI2182" s="166"/>
    </row>
    <row r="2183" spans="7:35" x14ac:dyDescent="0.25">
      <c r="G2183" s="165"/>
      <c r="H2183" s="166"/>
      <c r="I2183" s="167"/>
      <c r="J2183" s="167"/>
      <c r="K2183" s="166"/>
      <c r="L2183" s="166"/>
      <c r="M2183" s="166"/>
      <c r="N2183" s="166"/>
      <c r="O2183" s="166"/>
      <c r="P2183" s="166"/>
      <c r="Q2183" s="166"/>
      <c r="R2183" s="166"/>
      <c r="S2183" s="166"/>
      <c r="T2183" s="166"/>
      <c r="U2183" s="166"/>
      <c r="V2183" s="166"/>
      <c r="W2183" s="166"/>
      <c r="X2183" s="166"/>
      <c r="Y2183" s="166"/>
      <c r="Z2183" s="166"/>
      <c r="AA2183" s="166"/>
      <c r="AB2183" s="166"/>
      <c r="AC2183" s="166"/>
      <c r="AD2183" s="166"/>
      <c r="AE2183" s="166"/>
      <c r="AF2183" s="166"/>
      <c r="AG2183" s="166"/>
      <c r="AH2183" s="166"/>
      <c r="AI2183" s="166"/>
    </row>
    <row r="2184" spans="7:35" x14ac:dyDescent="0.25">
      <c r="G2184" s="165"/>
      <c r="H2184" s="166"/>
      <c r="I2184" s="167"/>
      <c r="J2184" s="167"/>
      <c r="K2184" s="166"/>
      <c r="L2184" s="166"/>
      <c r="M2184" s="166"/>
      <c r="N2184" s="166"/>
      <c r="O2184" s="166"/>
      <c r="P2184" s="166"/>
      <c r="Q2184" s="166"/>
      <c r="R2184" s="166"/>
      <c r="S2184" s="166"/>
      <c r="T2184" s="166"/>
      <c r="U2184" s="166"/>
      <c r="V2184" s="166"/>
      <c r="W2184" s="166"/>
      <c r="X2184" s="166"/>
      <c r="Y2184" s="166"/>
      <c r="Z2184" s="166"/>
      <c r="AA2184" s="166"/>
      <c r="AB2184" s="166"/>
      <c r="AC2184" s="166"/>
      <c r="AD2184" s="166"/>
      <c r="AE2184" s="166"/>
      <c r="AF2184" s="166"/>
      <c r="AG2184" s="166"/>
      <c r="AH2184" s="166"/>
      <c r="AI2184" s="166"/>
    </row>
    <row r="2185" spans="7:35" x14ac:dyDescent="0.25">
      <c r="G2185" s="165"/>
      <c r="H2185" s="166"/>
      <c r="I2185" s="167"/>
      <c r="J2185" s="167"/>
      <c r="K2185" s="166"/>
      <c r="L2185" s="166"/>
      <c r="M2185" s="166"/>
      <c r="N2185" s="166"/>
      <c r="O2185" s="166"/>
      <c r="P2185" s="166"/>
      <c r="Q2185" s="166"/>
      <c r="R2185" s="166"/>
      <c r="S2185" s="166"/>
      <c r="T2185" s="166"/>
      <c r="U2185" s="166"/>
      <c r="V2185" s="166"/>
      <c r="W2185" s="166"/>
      <c r="X2185" s="166"/>
      <c r="Y2185" s="166"/>
      <c r="Z2185" s="166"/>
      <c r="AA2185" s="166"/>
      <c r="AB2185" s="166"/>
      <c r="AC2185" s="166"/>
      <c r="AD2185" s="166"/>
      <c r="AE2185" s="166"/>
      <c r="AF2185" s="166"/>
      <c r="AG2185" s="166"/>
      <c r="AH2185" s="166"/>
      <c r="AI2185" s="166"/>
    </row>
    <row r="2186" spans="7:35" x14ac:dyDescent="0.25">
      <c r="G2186" s="165"/>
      <c r="H2186" s="166"/>
      <c r="I2186" s="167"/>
      <c r="J2186" s="167"/>
      <c r="K2186" s="166"/>
      <c r="L2186" s="166"/>
      <c r="M2186" s="166"/>
      <c r="N2186" s="166"/>
      <c r="O2186" s="166"/>
      <c r="P2186" s="166"/>
      <c r="Q2186" s="166"/>
      <c r="R2186" s="166"/>
      <c r="S2186" s="166"/>
      <c r="T2186" s="166"/>
      <c r="U2186" s="166"/>
      <c r="V2186" s="166"/>
      <c r="W2186" s="166"/>
      <c r="X2186" s="166"/>
      <c r="Y2186" s="166"/>
      <c r="Z2186" s="166"/>
      <c r="AA2186" s="166"/>
      <c r="AB2186" s="166"/>
      <c r="AC2186" s="166"/>
      <c r="AD2186" s="166"/>
      <c r="AE2186" s="166"/>
      <c r="AF2186" s="166"/>
      <c r="AG2186" s="166"/>
      <c r="AH2186" s="166"/>
      <c r="AI2186" s="166"/>
    </row>
    <row r="2187" spans="7:35" x14ac:dyDescent="0.25">
      <c r="G2187" s="165"/>
      <c r="H2187" s="166"/>
      <c r="I2187" s="167"/>
      <c r="J2187" s="167"/>
      <c r="K2187" s="166"/>
      <c r="L2187" s="166"/>
      <c r="M2187" s="166"/>
      <c r="N2187" s="166"/>
      <c r="O2187" s="166"/>
      <c r="P2187" s="166"/>
      <c r="Q2187" s="166"/>
      <c r="R2187" s="166"/>
      <c r="S2187" s="166"/>
      <c r="T2187" s="166"/>
      <c r="U2187" s="166"/>
      <c r="V2187" s="166"/>
      <c r="W2187" s="166"/>
      <c r="X2187" s="166"/>
      <c r="Y2187" s="166"/>
      <c r="Z2187" s="166"/>
      <c r="AA2187" s="166"/>
      <c r="AB2187" s="166"/>
      <c r="AC2187" s="166"/>
      <c r="AD2187" s="166"/>
      <c r="AE2187" s="166"/>
      <c r="AF2187" s="166"/>
      <c r="AG2187" s="166"/>
      <c r="AH2187" s="166"/>
      <c r="AI2187" s="166"/>
    </row>
    <row r="2188" spans="7:35" x14ac:dyDescent="0.25">
      <c r="G2188" s="165"/>
      <c r="H2188" s="166"/>
      <c r="I2188" s="167"/>
      <c r="J2188" s="167"/>
      <c r="K2188" s="166"/>
      <c r="L2188" s="166"/>
      <c r="M2188" s="166"/>
      <c r="N2188" s="166"/>
      <c r="O2188" s="166"/>
      <c r="P2188" s="166"/>
      <c r="Q2188" s="166"/>
      <c r="R2188" s="166"/>
      <c r="S2188" s="166"/>
      <c r="T2188" s="166"/>
      <c r="U2188" s="166"/>
      <c r="V2188" s="166"/>
      <c r="W2188" s="166"/>
      <c r="X2188" s="166"/>
      <c r="Y2188" s="166"/>
      <c r="Z2188" s="166"/>
      <c r="AA2188" s="166"/>
      <c r="AB2188" s="166"/>
      <c r="AC2188" s="166"/>
      <c r="AD2188" s="166"/>
      <c r="AE2188" s="166"/>
      <c r="AF2188" s="166"/>
      <c r="AG2188" s="166"/>
      <c r="AH2188" s="166"/>
      <c r="AI2188" s="166"/>
    </row>
    <row r="2189" spans="7:35" x14ac:dyDescent="0.25">
      <c r="G2189" s="165"/>
      <c r="H2189" s="166"/>
      <c r="I2189" s="167"/>
      <c r="J2189" s="167"/>
      <c r="K2189" s="166"/>
      <c r="L2189" s="166"/>
      <c r="M2189" s="166"/>
      <c r="N2189" s="166"/>
      <c r="O2189" s="166"/>
      <c r="P2189" s="166"/>
      <c r="Q2189" s="166"/>
      <c r="R2189" s="166"/>
      <c r="S2189" s="166"/>
      <c r="T2189" s="166"/>
      <c r="U2189" s="166"/>
      <c r="V2189" s="166"/>
      <c r="W2189" s="166"/>
      <c r="X2189" s="166"/>
      <c r="Y2189" s="166"/>
      <c r="Z2189" s="166"/>
      <c r="AA2189" s="166"/>
      <c r="AB2189" s="166"/>
      <c r="AC2189" s="166"/>
      <c r="AD2189" s="166"/>
      <c r="AE2189" s="166"/>
      <c r="AF2189" s="166"/>
      <c r="AG2189" s="166"/>
      <c r="AH2189" s="166"/>
      <c r="AI2189" s="166"/>
    </row>
    <row r="2190" spans="7:35" x14ac:dyDescent="0.25">
      <c r="G2190" s="165"/>
      <c r="H2190" s="166"/>
      <c r="I2190" s="167"/>
      <c r="J2190" s="167"/>
      <c r="K2190" s="166"/>
      <c r="L2190" s="166"/>
      <c r="M2190" s="166"/>
      <c r="N2190" s="166"/>
      <c r="O2190" s="166"/>
      <c r="P2190" s="166"/>
      <c r="Q2190" s="166"/>
      <c r="R2190" s="166"/>
      <c r="S2190" s="166"/>
      <c r="T2190" s="166"/>
      <c r="U2190" s="166"/>
      <c r="V2190" s="166"/>
      <c r="W2190" s="166"/>
      <c r="X2190" s="166"/>
      <c r="Y2190" s="166"/>
      <c r="Z2190" s="166"/>
      <c r="AA2190" s="166"/>
      <c r="AB2190" s="166"/>
      <c r="AC2190" s="166"/>
      <c r="AD2190" s="166"/>
      <c r="AE2190" s="166"/>
      <c r="AF2190" s="166"/>
      <c r="AG2190" s="166"/>
      <c r="AH2190" s="166"/>
      <c r="AI2190" s="166"/>
    </row>
    <row r="2191" spans="7:35" x14ac:dyDescent="0.25">
      <c r="G2191" s="165"/>
      <c r="H2191" s="166"/>
      <c r="I2191" s="167"/>
      <c r="J2191" s="167"/>
      <c r="K2191" s="166"/>
      <c r="L2191" s="166"/>
      <c r="M2191" s="166"/>
      <c r="N2191" s="166"/>
      <c r="O2191" s="166"/>
      <c r="P2191" s="166"/>
      <c r="Q2191" s="166"/>
      <c r="R2191" s="166"/>
      <c r="S2191" s="166"/>
      <c r="T2191" s="166"/>
      <c r="U2191" s="166"/>
      <c r="V2191" s="166"/>
      <c r="W2191" s="166"/>
      <c r="X2191" s="166"/>
      <c r="Y2191" s="166"/>
      <c r="Z2191" s="166"/>
      <c r="AA2191" s="166"/>
      <c r="AB2191" s="166"/>
      <c r="AC2191" s="166"/>
      <c r="AD2191" s="166"/>
      <c r="AE2191" s="166"/>
      <c r="AF2191" s="166"/>
      <c r="AG2191" s="166"/>
      <c r="AH2191" s="166"/>
      <c r="AI2191" s="166"/>
    </row>
    <row r="2192" spans="7:35" x14ac:dyDescent="0.25">
      <c r="G2192" s="165"/>
      <c r="H2192" s="166"/>
      <c r="I2192" s="167"/>
      <c r="J2192" s="167"/>
      <c r="K2192" s="166"/>
      <c r="L2192" s="166"/>
      <c r="M2192" s="166"/>
      <c r="N2192" s="166"/>
      <c r="O2192" s="166"/>
      <c r="P2192" s="166"/>
      <c r="Q2192" s="166"/>
      <c r="R2192" s="166"/>
      <c r="S2192" s="166"/>
      <c r="T2192" s="166"/>
      <c r="U2192" s="166"/>
      <c r="V2192" s="166"/>
      <c r="W2192" s="166"/>
      <c r="X2192" s="166"/>
      <c r="Y2192" s="166"/>
      <c r="Z2192" s="166"/>
      <c r="AA2192" s="166"/>
      <c r="AB2192" s="166"/>
      <c r="AC2192" s="166"/>
      <c r="AD2192" s="166"/>
      <c r="AE2192" s="166"/>
      <c r="AF2192" s="166"/>
      <c r="AG2192" s="166"/>
      <c r="AH2192" s="166"/>
      <c r="AI2192" s="166"/>
    </row>
    <row r="2193" spans="7:35" x14ac:dyDescent="0.25">
      <c r="G2193" s="165"/>
      <c r="H2193" s="166"/>
      <c r="I2193" s="167"/>
      <c r="J2193" s="167"/>
      <c r="K2193" s="166"/>
      <c r="L2193" s="166"/>
      <c r="M2193" s="166"/>
      <c r="N2193" s="166"/>
      <c r="O2193" s="166"/>
      <c r="P2193" s="166"/>
      <c r="Q2193" s="166"/>
      <c r="R2193" s="166"/>
      <c r="S2193" s="166"/>
      <c r="T2193" s="166"/>
      <c r="U2193" s="166"/>
      <c r="V2193" s="166"/>
      <c r="W2193" s="166"/>
      <c r="X2193" s="166"/>
      <c r="Y2193" s="166"/>
      <c r="Z2193" s="166"/>
      <c r="AA2193" s="166"/>
      <c r="AB2193" s="166"/>
      <c r="AC2193" s="166"/>
      <c r="AD2193" s="166"/>
      <c r="AE2193" s="166"/>
      <c r="AF2193" s="166"/>
      <c r="AG2193" s="166"/>
      <c r="AH2193" s="166"/>
      <c r="AI2193" s="166"/>
    </row>
    <row r="2194" spans="7:35" x14ac:dyDescent="0.25">
      <c r="G2194" s="165"/>
      <c r="H2194" s="166"/>
      <c r="I2194" s="167"/>
      <c r="J2194" s="167"/>
      <c r="K2194" s="166"/>
      <c r="L2194" s="166"/>
      <c r="M2194" s="166"/>
      <c r="N2194" s="166"/>
      <c r="O2194" s="166"/>
      <c r="P2194" s="166"/>
      <c r="Q2194" s="166"/>
      <c r="R2194" s="166"/>
      <c r="S2194" s="166"/>
      <c r="T2194" s="166"/>
      <c r="U2194" s="166"/>
      <c r="V2194" s="166"/>
      <c r="W2194" s="166"/>
      <c r="X2194" s="166"/>
      <c r="Y2194" s="166"/>
      <c r="Z2194" s="166"/>
      <c r="AA2194" s="166"/>
      <c r="AB2194" s="166"/>
      <c r="AC2194" s="166"/>
      <c r="AD2194" s="166"/>
      <c r="AE2194" s="166"/>
      <c r="AF2194" s="166"/>
      <c r="AG2194" s="166"/>
      <c r="AH2194" s="166"/>
      <c r="AI2194" s="166"/>
    </row>
    <row r="2195" spans="7:35" x14ac:dyDescent="0.25">
      <c r="G2195" s="165"/>
      <c r="H2195" s="166"/>
      <c r="I2195" s="167"/>
      <c r="J2195" s="167"/>
      <c r="K2195" s="166"/>
      <c r="L2195" s="166"/>
      <c r="M2195" s="166"/>
      <c r="N2195" s="166"/>
      <c r="O2195" s="166"/>
      <c r="P2195" s="166"/>
      <c r="Q2195" s="166"/>
      <c r="R2195" s="166"/>
      <c r="S2195" s="166"/>
      <c r="T2195" s="166"/>
      <c r="U2195" s="166"/>
      <c r="V2195" s="166"/>
      <c r="W2195" s="166"/>
      <c r="X2195" s="166"/>
      <c r="Y2195" s="166"/>
      <c r="Z2195" s="166"/>
      <c r="AA2195" s="166"/>
      <c r="AB2195" s="166"/>
      <c r="AC2195" s="166"/>
      <c r="AD2195" s="166"/>
      <c r="AE2195" s="166"/>
      <c r="AF2195" s="166"/>
      <c r="AG2195" s="166"/>
      <c r="AH2195" s="166"/>
      <c r="AI2195" s="166"/>
    </row>
    <row r="2196" spans="7:35" x14ac:dyDescent="0.25">
      <c r="G2196" s="165"/>
      <c r="H2196" s="166"/>
      <c r="I2196" s="167"/>
      <c r="J2196" s="167"/>
      <c r="K2196" s="166"/>
      <c r="L2196" s="166"/>
      <c r="M2196" s="166"/>
      <c r="N2196" s="166"/>
      <c r="O2196" s="166"/>
      <c r="P2196" s="166"/>
      <c r="Q2196" s="166"/>
      <c r="R2196" s="166"/>
      <c r="S2196" s="166"/>
      <c r="T2196" s="166"/>
      <c r="U2196" s="166"/>
      <c r="V2196" s="166"/>
      <c r="W2196" s="166"/>
      <c r="X2196" s="166"/>
      <c r="Y2196" s="166"/>
      <c r="Z2196" s="166"/>
      <c r="AA2196" s="166"/>
      <c r="AB2196" s="166"/>
      <c r="AC2196" s="166"/>
      <c r="AD2196" s="166"/>
      <c r="AE2196" s="166"/>
      <c r="AF2196" s="166"/>
      <c r="AG2196" s="166"/>
      <c r="AH2196" s="166"/>
      <c r="AI2196" s="166"/>
    </row>
    <row r="2197" spans="7:35" x14ac:dyDescent="0.25">
      <c r="G2197" s="165"/>
      <c r="H2197" s="166"/>
      <c r="I2197" s="167"/>
      <c r="J2197" s="167"/>
      <c r="K2197" s="166"/>
      <c r="L2197" s="166"/>
      <c r="M2197" s="166"/>
      <c r="N2197" s="166"/>
      <c r="O2197" s="166"/>
      <c r="P2197" s="166"/>
      <c r="Q2197" s="166"/>
      <c r="R2197" s="166"/>
      <c r="S2197" s="166"/>
      <c r="T2197" s="166"/>
      <c r="U2197" s="166"/>
      <c r="V2197" s="166"/>
      <c r="W2197" s="166"/>
      <c r="X2197" s="166"/>
      <c r="Y2197" s="166"/>
      <c r="Z2197" s="166"/>
      <c r="AA2197" s="166"/>
      <c r="AB2197" s="166"/>
      <c r="AC2197" s="166"/>
      <c r="AD2197" s="166"/>
      <c r="AE2197" s="166"/>
      <c r="AF2197" s="166"/>
      <c r="AG2197" s="166"/>
      <c r="AH2197" s="166"/>
      <c r="AI2197" s="166"/>
    </row>
    <row r="2198" spans="7:35" x14ac:dyDescent="0.25">
      <c r="G2198" s="165"/>
      <c r="H2198" s="166"/>
      <c r="I2198" s="167"/>
      <c r="J2198" s="167"/>
      <c r="K2198" s="166"/>
      <c r="L2198" s="166"/>
      <c r="M2198" s="166"/>
      <c r="N2198" s="166"/>
      <c r="O2198" s="166"/>
      <c r="P2198" s="166"/>
      <c r="Q2198" s="166"/>
      <c r="R2198" s="166"/>
      <c r="S2198" s="166"/>
      <c r="T2198" s="166"/>
      <c r="U2198" s="166"/>
      <c r="V2198" s="166"/>
      <c r="W2198" s="166"/>
      <c r="X2198" s="166"/>
      <c r="Y2198" s="166"/>
      <c r="Z2198" s="166"/>
      <c r="AA2198" s="166"/>
      <c r="AB2198" s="166"/>
      <c r="AC2198" s="166"/>
      <c r="AD2198" s="166"/>
      <c r="AE2198" s="166"/>
      <c r="AF2198" s="166"/>
      <c r="AG2198" s="166"/>
      <c r="AH2198" s="166"/>
      <c r="AI2198" s="166"/>
    </row>
    <row r="2199" spans="7:35" x14ac:dyDescent="0.25">
      <c r="G2199" s="165"/>
      <c r="H2199" s="166"/>
      <c r="I2199" s="167"/>
      <c r="J2199" s="167"/>
      <c r="K2199" s="166"/>
      <c r="L2199" s="166"/>
      <c r="M2199" s="166"/>
      <c r="N2199" s="166"/>
      <c r="O2199" s="166"/>
      <c r="P2199" s="166"/>
      <c r="Q2199" s="166"/>
      <c r="R2199" s="166"/>
      <c r="S2199" s="166"/>
      <c r="T2199" s="166"/>
      <c r="U2199" s="166"/>
      <c r="V2199" s="166"/>
      <c r="W2199" s="166"/>
      <c r="X2199" s="166"/>
      <c r="Y2199" s="166"/>
      <c r="Z2199" s="166"/>
      <c r="AA2199" s="166"/>
      <c r="AB2199" s="166"/>
      <c r="AC2199" s="166"/>
      <c r="AD2199" s="166"/>
      <c r="AE2199" s="166"/>
      <c r="AF2199" s="166"/>
      <c r="AG2199" s="166"/>
      <c r="AH2199" s="166"/>
      <c r="AI2199" s="166"/>
    </row>
    <row r="2200" spans="7:35" x14ac:dyDescent="0.25">
      <c r="G2200" s="165"/>
      <c r="H2200" s="166"/>
      <c r="I2200" s="167"/>
      <c r="J2200" s="167"/>
      <c r="K2200" s="166"/>
      <c r="L2200" s="166"/>
      <c r="M2200" s="166"/>
      <c r="N2200" s="166"/>
      <c r="O2200" s="166"/>
      <c r="P2200" s="166"/>
      <c r="Q2200" s="166"/>
      <c r="R2200" s="166"/>
      <c r="S2200" s="166"/>
      <c r="T2200" s="166"/>
      <c r="U2200" s="166"/>
      <c r="V2200" s="166"/>
      <c r="W2200" s="166"/>
      <c r="X2200" s="166"/>
      <c r="Y2200" s="166"/>
      <c r="Z2200" s="166"/>
      <c r="AA2200" s="166"/>
      <c r="AB2200" s="166"/>
      <c r="AC2200" s="166"/>
      <c r="AD2200" s="166"/>
      <c r="AE2200" s="166"/>
      <c r="AF2200" s="166"/>
      <c r="AG2200" s="166"/>
      <c r="AH2200" s="166"/>
      <c r="AI2200" s="166"/>
    </row>
    <row r="2201" spans="7:35" x14ac:dyDescent="0.25">
      <c r="G2201" s="165"/>
      <c r="H2201" s="166"/>
      <c r="I2201" s="167"/>
      <c r="J2201" s="167"/>
      <c r="K2201" s="166"/>
      <c r="L2201" s="166"/>
      <c r="M2201" s="166"/>
      <c r="N2201" s="166"/>
      <c r="O2201" s="166"/>
      <c r="P2201" s="166"/>
      <c r="Q2201" s="166"/>
      <c r="R2201" s="166"/>
      <c r="S2201" s="166"/>
      <c r="T2201" s="166"/>
      <c r="U2201" s="166"/>
      <c r="V2201" s="166"/>
      <c r="W2201" s="166"/>
      <c r="X2201" s="166"/>
      <c r="Y2201" s="166"/>
      <c r="Z2201" s="166"/>
      <c r="AA2201" s="166"/>
      <c r="AB2201" s="166"/>
      <c r="AC2201" s="166"/>
      <c r="AD2201" s="166"/>
      <c r="AE2201" s="166"/>
      <c r="AF2201" s="166"/>
      <c r="AG2201" s="166"/>
      <c r="AH2201" s="166"/>
      <c r="AI2201" s="166"/>
    </row>
    <row r="2202" spans="7:35" x14ac:dyDescent="0.25">
      <c r="G2202" s="165"/>
      <c r="H2202" s="166"/>
      <c r="I2202" s="167"/>
      <c r="J2202" s="167"/>
      <c r="K2202" s="166"/>
      <c r="L2202" s="166"/>
      <c r="M2202" s="166"/>
      <c r="N2202" s="166"/>
      <c r="O2202" s="166"/>
      <c r="P2202" s="166"/>
      <c r="Q2202" s="166"/>
      <c r="R2202" s="166"/>
      <c r="S2202" s="166"/>
      <c r="T2202" s="166"/>
      <c r="U2202" s="166"/>
      <c r="V2202" s="166"/>
      <c r="W2202" s="166"/>
      <c r="X2202" s="166"/>
      <c r="Y2202" s="166"/>
      <c r="Z2202" s="166"/>
      <c r="AA2202" s="166"/>
      <c r="AB2202" s="166"/>
      <c r="AC2202" s="166"/>
      <c r="AD2202" s="166"/>
      <c r="AE2202" s="166"/>
      <c r="AF2202" s="166"/>
      <c r="AG2202" s="166"/>
      <c r="AH2202" s="166"/>
      <c r="AI2202" s="166"/>
    </row>
    <row r="2203" spans="7:35" x14ac:dyDescent="0.25">
      <c r="G2203" s="165"/>
      <c r="H2203" s="166"/>
      <c r="I2203" s="167"/>
      <c r="J2203" s="167"/>
      <c r="K2203" s="166"/>
      <c r="L2203" s="166"/>
      <c r="M2203" s="166"/>
      <c r="N2203" s="166"/>
      <c r="O2203" s="166"/>
      <c r="P2203" s="166"/>
      <c r="Q2203" s="166"/>
      <c r="R2203" s="166"/>
      <c r="S2203" s="166"/>
      <c r="T2203" s="166"/>
      <c r="U2203" s="166"/>
      <c r="V2203" s="166"/>
      <c r="W2203" s="166"/>
      <c r="X2203" s="166"/>
      <c r="Y2203" s="166"/>
      <c r="Z2203" s="166"/>
      <c r="AA2203" s="166"/>
      <c r="AB2203" s="166"/>
      <c r="AC2203" s="166"/>
      <c r="AD2203" s="166"/>
      <c r="AE2203" s="166"/>
      <c r="AF2203" s="166"/>
      <c r="AG2203" s="166"/>
      <c r="AH2203" s="166"/>
      <c r="AI2203" s="166"/>
    </row>
    <row r="2204" spans="7:35" x14ac:dyDescent="0.25">
      <c r="G2204" s="165"/>
      <c r="H2204" s="166"/>
      <c r="I2204" s="167"/>
      <c r="J2204" s="167"/>
      <c r="K2204" s="166"/>
      <c r="L2204" s="166"/>
      <c r="M2204" s="166"/>
      <c r="N2204" s="166"/>
      <c r="O2204" s="166"/>
      <c r="P2204" s="166"/>
      <c r="Q2204" s="166"/>
      <c r="R2204" s="166"/>
      <c r="S2204" s="166"/>
      <c r="T2204" s="166"/>
      <c r="U2204" s="166"/>
      <c r="V2204" s="166"/>
      <c r="W2204" s="166"/>
      <c r="X2204" s="166"/>
      <c r="Y2204" s="166"/>
      <c r="Z2204" s="166"/>
      <c r="AA2204" s="166"/>
      <c r="AB2204" s="166"/>
      <c r="AC2204" s="166"/>
      <c r="AD2204" s="166"/>
      <c r="AE2204" s="166"/>
      <c r="AF2204" s="166"/>
      <c r="AG2204" s="166"/>
      <c r="AH2204" s="166"/>
      <c r="AI2204" s="166"/>
    </row>
    <row r="2205" spans="7:35" x14ac:dyDescent="0.25">
      <c r="G2205" s="165"/>
      <c r="H2205" s="166"/>
      <c r="I2205" s="167"/>
      <c r="J2205" s="167"/>
      <c r="K2205" s="166"/>
      <c r="L2205" s="166"/>
      <c r="M2205" s="166"/>
      <c r="N2205" s="166"/>
      <c r="O2205" s="166"/>
      <c r="P2205" s="166"/>
      <c r="Q2205" s="166"/>
      <c r="R2205" s="166"/>
      <c r="S2205" s="166"/>
      <c r="T2205" s="166"/>
      <c r="U2205" s="166"/>
      <c r="V2205" s="166"/>
      <c r="W2205" s="166"/>
      <c r="X2205" s="166"/>
      <c r="Y2205" s="166"/>
      <c r="Z2205" s="166"/>
      <c r="AA2205" s="166"/>
      <c r="AB2205" s="166"/>
      <c r="AC2205" s="166"/>
      <c r="AD2205" s="166"/>
      <c r="AE2205" s="166"/>
      <c r="AF2205" s="166"/>
      <c r="AG2205" s="166"/>
      <c r="AH2205" s="166"/>
      <c r="AI2205" s="166"/>
    </row>
    <row r="2206" spans="7:35" x14ac:dyDescent="0.25">
      <c r="G2206" s="165"/>
      <c r="H2206" s="166"/>
      <c r="I2206" s="167"/>
      <c r="J2206" s="167"/>
      <c r="K2206" s="166"/>
      <c r="L2206" s="166"/>
      <c r="M2206" s="166"/>
      <c r="N2206" s="166"/>
      <c r="O2206" s="166"/>
      <c r="P2206" s="166"/>
      <c r="Q2206" s="166"/>
      <c r="R2206" s="166"/>
      <c r="S2206" s="166"/>
      <c r="T2206" s="166"/>
      <c r="U2206" s="166"/>
      <c r="V2206" s="166"/>
      <c r="W2206" s="166"/>
      <c r="X2206" s="166"/>
      <c r="Y2206" s="166"/>
      <c r="Z2206" s="166"/>
      <c r="AA2206" s="166"/>
      <c r="AB2206" s="166"/>
      <c r="AC2206" s="166"/>
      <c r="AD2206" s="166"/>
      <c r="AE2206" s="166"/>
      <c r="AF2206" s="166"/>
      <c r="AG2206" s="166"/>
      <c r="AH2206" s="166"/>
      <c r="AI2206" s="166"/>
    </row>
    <row r="2207" spans="7:35" x14ac:dyDescent="0.25">
      <c r="G2207" s="165"/>
      <c r="H2207" s="166"/>
      <c r="I2207" s="167"/>
      <c r="J2207" s="167"/>
      <c r="K2207" s="166"/>
      <c r="L2207" s="166"/>
      <c r="M2207" s="166"/>
      <c r="N2207" s="166"/>
      <c r="O2207" s="166"/>
      <c r="P2207" s="166"/>
      <c r="Q2207" s="166"/>
      <c r="R2207" s="166"/>
      <c r="S2207" s="166"/>
      <c r="T2207" s="166"/>
      <c r="U2207" s="166"/>
      <c r="V2207" s="166"/>
      <c r="W2207" s="166"/>
      <c r="X2207" s="166"/>
      <c r="Y2207" s="166"/>
      <c r="Z2207" s="166"/>
      <c r="AA2207" s="166"/>
      <c r="AB2207" s="166"/>
      <c r="AC2207" s="166"/>
      <c r="AD2207" s="166"/>
      <c r="AE2207" s="166"/>
      <c r="AF2207" s="166"/>
      <c r="AG2207" s="166"/>
      <c r="AH2207" s="166"/>
      <c r="AI2207" s="166"/>
    </row>
    <row r="2208" spans="7:35" x14ac:dyDescent="0.25">
      <c r="G2208" s="165"/>
      <c r="H2208" s="166"/>
      <c r="I2208" s="167"/>
      <c r="J2208" s="167"/>
      <c r="K2208" s="166"/>
      <c r="L2208" s="166"/>
      <c r="M2208" s="166"/>
      <c r="N2208" s="166"/>
      <c r="O2208" s="166"/>
      <c r="P2208" s="166"/>
      <c r="Q2208" s="166"/>
      <c r="R2208" s="166"/>
      <c r="S2208" s="166"/>
      <c r="T2208" s="166"/>
      <c r="U2208" s="166"/>
      <c r="V2208" s="166"/>
      <c r="W2208" s="166"/>
      <c r="X2208" s="166"/>
      <c r="Y2208" s="166"/>
      <c r="Z2208" s="166"/>
      <c r="AA2208" s="166"/>
      <c r="AB2208" s="166"/>
      <c r="AC2208" s="166"/>
      <c r="AD2208" s="166"/>
      <c r="AE2208" s="166"/>
      <c r="AF2208" s="166"/>
      <c r="AG2208" s="166"/>
      <c r="AH2208" s="166"/>
      <c r="AI2208" s="166"/>
    </row>
    <row r="2209" spans="7:35" x14ac:dyDescent="0.25">
      <c r="G2209" s="165"/>
      <c r="H2209" s="166"/>
      <c r="I2209" s="167"/>
      <c r="J2209" s="167"/>
      <c r="K2209" s="166"/>
      <c r="L2209" s="166"/>
      <c r="M2209" s="166"/>
      <c r="N2209" s="166"/>
      <c r="O2209" s="166"/>
      <c r="P2209" s="166"/>
      <c r="Q2209" s="166"/>
      <c r="R2209" s="166"/>
      <c r="S2209" s="166"/>
      <c r="T2209" s="166"/>
      <c r="U2209" s="166"/>
      <c r="V2209" s="166"/>
      <c r="W2209" s="166"/>
      <c r="X2209" s="166"/>
      <c r="Y2209" s="166"/>
      <c r="Z2209" s="166"/>
      <c r="AA2209" s="166"/>
      <c r="AB2209" s="166"/>
      <c r="AC2209" s="166"/>
      <c r="AD2209" s="166"/>
      <c r="AE2209" s="166"/>
      <c r="AF2209" s="166"/>
      <c r="AG2209" s="166"/>
      <c r="AH2209" s="166"/>
      <c r="AI2209" s="166"/>
    </row>
    <row r="2210" spans="7:35" x14ac:dyDescent="0.25">
      <c r="G2210" s="165"/>
      <c r="H2210" s="166"/>
      <c r="I2210" s="167"/>
      <c r="J2210" s="167"/>
      <c r="K2210" s="166"/>
      <c r="L2210" s="166"/>
      <c r="M2210" s="166"/>
      <c r="N2210" s="166"/>
      <c r="O2210" s="166"/>
      <c r="P2210" s="166"/>
      <c r="Q2210" s="166"/>
      <c r="R2210" s="166"/>
      <c r="S2210" s="166"/>
      <c r="T2210" s="166"/>
      <c r="U2210" s="166"/>
      <c r="V2210" s="166"/>
      <c r="W2210" s="166"/>
      <c r="X2210" s="166"/>
      <c r="Y2210" s="166"/>
      <c r="Z2210" s="166"/>
      <c r="AA2210" s="166"/>
      <c r="AB2210" s="166"/>
      <c r="AC2210" s="166"/>
      <c r="AD2210" s="166"/>
      <c r="AE2210" s="166"/>
      <c r="AF2210" s="166"/>
      <c r="AG2210" s="166"/>
      <c r="AH2210" s="166"/>
      <c r="AI2210" s="166"/>
    </row>
    <row r="2211" spans="7:35" x14ac:dyDescent="0.25">
      <c r="G2211" s="165"/>
      <c r="H2211" s="166"/>
      <c r="I2211" s="167"/>
      <c r="J2211" s="167"/>
      <c r="K2211" s="166"/>
      <c r="L2211" s="166"/>
      <c r="M2211" s="166"/>
      <c r="N2211" s="166"/>
      <c r="O2211" s="166"/>
      <c r="P2211" s="166"/>
      <c r="Q2211" s="166"/>
      <c r="R2211" s="166"/>
      <c r="S2211" s="166"/>
      <c r="T2211" s="166"/>
      <c r="U2211" s="166"/>
      <c r="V2211" s="166"/>
      <c r="W2211" s="166"/>
      <c r="X2211" s="166"/>
      <c r="Y2211" s="166"/>
      <c r="Z2211" s="166"/>
      <c r="AA2211" s="166"/>
      <c r="AB2211" s="166"/>
      <c r="AC2211" s="166"/>
      <c r="AD2211" s="166"/>
      <c r="AE2211" s="166"/>
      <c r="AF2211" s="166"/>
      <c r="AG2211" s="166"/>
      <c r="AH2211" s="166"/>
      <c r="AI2211" s="166"/>
    </row>
    <row r="2212" spans="7:35" x14ac:dyDescent="0.25">
      <c r="G2212" s="165"/>
      <c r="H2212" s="166"/>
      <c r="I2212" s="167"/>
      <c r="J2212" s="167"/>
      <c r="K2212" s="166"/>
      <c r="L2212" s="166"/>
      <c r="M2212" s="166"/>
      <c r="N2212" s="166"/>
      <c r="O2212" s="166"/>
      <c r="P2212" s="166"/>
      <c r="Q2212" s="166"/>
      <c r="R2212" s="166"/>
      <c r="S2212" s="166"/>
      <c r="T2212" s="166"/>
      <c r="U2212" s="166"/>
      <c r="V2212" s="166"/>
      <c r="W2212" s="166"/>
      <c r="X2212" s="166"/>
      <c r="Y2212" s="166"/>
      <c r="Z2212" s="166"/>
      <c r="AA2212" s="166"/>
      <c r="AB2212" s="166"/>
      <c r="AC2212" s="166"/>
      <c r="AD2212" s="166"/>
      <c r="AE2212" s="166"/>
      <c r="AF2212" s="166"/>
      <c r="AG2212" s="166"/>
      <c r="AH2212" s="166"/>
      <c r="AI2212" s="166"/>
    </row>
    <row r="2213" spans="7:35" x14ac:dyDescent="0.25">
      <c r="G2213" s="165"/>
      <c r="H2213" s="166"/>
      <c r="I2213" s="167"/>
      <c r="J2213" s="167"/>
      <c r="K2213" s="166"/>
      <c r="L2213" s="166"/>
      <c r="M2213" s="166"/>
      <c r="N2213" s="166"/>
      <c r="O2213" s="166"/>
      <c r="P2213" s="166"/>
      <c r="Q2213" s="166"/>
      <c r="R2213" s="166"/>
      <c r="S2213" s="166"/>
      <c r="T2213" s="166"/>
      <c r="U2213" s="166"/>
      <c r="V2213" s="166"/>
      <c r="W2213" s="166"/>
      <c r="X2213" s="166"/>
      <c r="Y2213" s="166"/>
      <c r="Z2213" s="166"/>
      <c r="AA2213" s="166"/>
      <c r="AB2213" s="166"/>
      <c r="AC2213" s="166"/>
      <c r="AD2213" s="166"/>
      <c r="AE2213" s="166"/>
      <c r="AF2213" s="166"/>
      <c r="AG2213" s="166"/>
      <c r="AH2213" s="166"/>
      <c r="AI2213" s="166"/>
    </row>
    <row r="2214" spans="7:35" x14ac:dyDescent="0.25">
      <c r="G2214" s="165"/>
      <c r="H2214" s="166"/>
      <c r="I2214" s="167"/>
      <c r="J2214" s="167"/>
      <c r="K2214" s="166"/>
      <c r="L2214" s="166"/>
      <c r="M2214" s="166"/>
      <c r="N2214" s="166"/>
      <c r="O2214" s="166"/>
      <c r="P2214" s="166"/>
      <c r="Q2214" s="166"/>
      <c r="R2214" s="166"/>
      <c r="S2214" s="166"/>
      <c r="T2214" s="166"/>
      <c r="U2214" s="166"/>
      <c r="V2214" s="166"/>
      <c r="W2214" s="166"/>
      <c r="X2214" s="166"/>
      <c r="Y2214" s="166"/>
      <c r="Z2214" s="166"/>
      <c r="AA2214" s="166"/>
      <c r="AB2214" s="166"/>
      <c r="AC2214" s="166"/>
      <c r="AD2214" s="166"/>
      <c r="AE2214" s="166"/>
      <c r="AF2214" s="166"/>
      <c r="AG2214" s="166"/>
      <c r="AH2214" s="166"/>
      <c r="AI2214" s="166"/>
    </row>
    <row r="2215" spans="7:35" x14ac:dyDescent="0.25">
      <c r="G2215" s="165"/>
      <c r="H2215" s="166"/>
      <c r="I2215" s="167"/>
      <c r="J2215" s="167"/>
      <c r="K2215" s="166"/>
      <c r="L2215" s="166"/>
      <c r="M2215" s="166"/>
      <c r="N2215" s="166"/>
      <c r="O2215" s="166"/>
      <c r="P2215" s="166"/>
      <c r="Q2215" s="166"/>
      <c r="R2215" s="166"/>
      <c r="S2215" s="166"/>
      <c r="T2215" s="166"/>
      <c r="U2215" s="166"/>
      <c r="V2215" s="166"/>
      <c r="W2215" s="166"/>
      <c r="X2215" s="166"/>
      <c r="Y2215" s="166"/>
      <c r="Z2215" s="166"/>
      <c r="AA2215" s="166"/>
      <c r="AB2215" s="166"/>
      <c r="AC2215" s="166"/>
      <c r="AD2215" s="166"/>
      <c r="AE2215" s="166"/>
      <c r="AF2215" s="166"/>
      <c r="AG2215" s="166"/>
      <c r="AH2215" s="166"/>
      <c r="AI2215" s="166"/>
    </row>
    <row r="2216" spans="7:35" x14ac:dyDescent="0.25">
      <c r="G2216" s="165"/>
      <c r="H2216" s="166"/>
      <c r="I2216" s="167"/>
      <c r="J2216" s="167"/>
      <c r="K2216" s="166"/>
      <c r="L2216" s="166"/>
      <c r="M2216" s="166"/>
      <c r="N2216" s="166"/>
      <c r="O2216" s="166"/>
      <c r="P2216" s="166"/>
      <c r="Q2216" s="166"/>
      <c r="R2216" s="166"/>
      <c r="S2216" s="166"/>
      <c r="T2216" s="166"/>
      <c r="U2216" s="166"/>
      <c r="V2216" s="166"/>
      <c r="W2216" s="166"/>
      <c r="X2216" s="166"/>
      <c r="Y2216" s="166"/>
      <c r="Z2216" s="166"/>
      <c r="AA2216" s="166"/>
      <c r="AB2216" s="166"/>
      <c r="AC2216" s="166"/>
      <c r="AD2216" s="166"/>
      <c r="AE2216" s="166"/>
      <c r="AF2216" s="166"/>
      <c r="AG2216" s="166"/>
      <c r="AH2216" s="166"/>
      <c r="AI2216" s="166"/>
    </row>
    <row r="2217" spans="7:35" x14ac:dyDescent="0.25">
      <c r="G2217" s="165"/>
      <c r="H2217" s="166"/>
      <c r="I2217" s="167"/>
      <c r="J2217" s="167"/>
      <c r="K2217" s="166"/>
      <c r="L2217" s="166"/>
      <c r="M2217" s="166"/>
      <c r="N2217" s="166"/>
      <c r="O2217" s="166"/>
      <c r="P2217" s="166"/>
      <c r="Q2217" s="166"/>
      <c r="R2217" s="166"/>
      <c r="S2217" s="166"/>
      <c r="T2217" s="166"/>
      <c r="U2217" s="166"/>
      <c r="V2217" s="166"/>
      <c r="W2217" s="166"/>
      <c r="X2217" s="166"/>
      <c r="Y2217" s="166"/>
      <c r="Z2217" s="166"/>
      <c r="AA2217" s="166"/>
      <c r="AB2217" s="166"/>
      <c r="AC2217" s="166"/>
      <c r="AD2217" s="166"/>
      <c r="AE2217" s="166"/>
      <c r="AF2217" s="166"/>
      <c r="AG2217" s="166"/>
      <c r="AH2217" s="166"/>
      <c r="AI2217" s="166"/>
    </row>
    <row r="2218" spans="7:35" x14ac:dyDescent="0.25">
      <c r="G2218" s="165"/>
      <c r="H2218" s="166"/>
      <c r="I2218" s="167"/>
      <c r="J2218" s="167"/>
      <c r="K2218" s="166"/>
      <c r="L2218" s="166"/>
      <c r="M2218" s="166"/>
      <c r="N2218" s="166"/>
      <c r="O2218" s="166"/>
      <c r="P2218" s="166"/>
      <c r="Q2218" s="166"/>
      <c r="R2218" s="166"/>
      <c r="S2218" s="166"/>
      <c r="T2218" s="166"/>
      <c r="U2218" s="166"/>
      <c r="V2218" s="166"/>
      <c r="W2218" s="166"/>
      <c r="X2218" s="166"/>
      <c r="Y2218" s="166"/>
      <c r="Z2218" s="166"/>
      <c r="AA2218" s="166"/>
      <c r="AB2218" s="166"/>
      <c r="AC2218" s="166"/>
      <c r="AD2218" s="166"/>
      <c r="AE2218" s="166"/>
      <c r="AF2218" s="166"/>
      <c r="AG2218" s="166"/>
      <c r="AH2218" s="166"/>
      <c r="AI2218" s="166"/>
    </row>
    <row r="2219" spans="7:35" x14ac:dyDescent="0.25">
      <c r="G2219" s="165"/>
      <c r="H2219" s="166"/>
      <c r="I2219" s="167"/>
      <c r="J2219" s="167"/>
      <c r="K2219" s="166"/>
      <c r="L2219" s="166"/>
      <c r="M2219" s="166"/>
      <c r="N2219" s="166"/>
      <c r="O2219" s="166"/>
      <c r="P2219" s="166"/>
      <c r="Q2219" s="166"/>
      <c r="R2219" s="166"/>
      <c r="S2219" s="166"/>
      <c r="T2219" s="166"/>
      <c r="U2219" s="166"/>
      <c r="V2219" s="166"/>
      <c r="W2219" s="166"/>
      <c r="X2219" s="166"/>
      <c r="Y2219" s="166"/>
      <c r="Z2219" s="166"/>
      <c r="AA2219" s="166"/>
      <c r="AB2219" s="166"/>
      <c r="AC2219" s="166"/>
      <c r="AD2219" s="166"/>
      <c r="AE2219" s="166"/>
      <c r="AF2219" s="166"/>
      <c r="AG2219" s="166"/>
      <c r="AH2219" s="166"/>
      <c r="AI2219" s="166"/>
    </row>
    <row r="2220" spans="7:35" x14ac:dyDescent="0.25">
      <c r="G2220" s="165"/>
      <c r="H2220" s="166"/>
      <c r="I2220" s="167"/>
      <c r="J2220" s="167"/>
      <c r="K2220" s="166"/>
      <c r="L2220" s="166"/>
      <c r="M2220" s="166"/>
      <c r="N2220" s="166"/>
      <c r="O2220" s="166"/>
      <c r="P2220" s="166"/>
      <c r="Q2220" s="166"/>
      <c r="R2220" s="166"/>
      <c r="S2220" s="166"/>
      <c r="T2220" s="166"/>
      <c r="U2220" s="166"/>
      <c r="V2220" s="166"/>
      <c r="W2220" s="166"/>
      <c r="X2220" s="166"/>
      <c r="Y2220" s="166"/>
      <c r="Z2220" s="166"/>
      <c r="AA2220" s="166"/>
      <c r="AB2220" s="166"/>
      <c r="AC2220" s="166"/>
      <c r="AD2220" s="166"/>
      <c r="AE2220" s="166"/>
      <c r="AF2220" s="166"/>
      <c r="AG2220" s="166"/>
      <c r="AH2220" s="166"/>
      <c r="AI2220" s="166"/>
    </row>
    <row r="2221" spans="7:35" x14ac:dyDescent="0.25">
      <c r="G2221" s="165"/>
      <c r="H2221" s="166"/>
      <c r="I2221" s="167"/>
      <c r="J2221" s="167"/>
      <c r="K2221" s="166"/>
      <c r="L2221" s="166"/>
      <c r="M2221" s="166"/>
      <c r="N2221" s="166"/>
      <c r="O2221" s="166"/>
      <c r="P2221" s="166"/>
      <c r="Q2221" s="166"/>
      <c r="R2221" s="166"/>
      <c r="S2221" s="166"/>
      <c r="T2221" s="166"/>
      <c r="U2221" s="166"/>
      <c r="V2221" s="166"/>
      <c r="W2221" s="166"/>
      <c r="X2221" s="166"/>
      <c r="Y2221" s="166"/>
      <c r="Z2221" s="166"/>
      <c r="AA2221" s="166"/>
      <c r="AB2221" s="166"/>
      <c r="AC2221" s="166"/>
      <c r="AD2221" s="166"/>
      <c r="AE2221" s="166"/>
      <c r="AF2221" s="166"/>
      <c r="AG2221" s="166"/>
      <c r="AH2221" s="166"/>
      <c r="AI2221" s="166"/>
    </row>
    <row r="2222" spans="7:35" x14ac:dyDescent="0.25">
      <c r="G2222" s="165"/>
      <c r="H2222" s="166"/>
      <c r="I2222" s="167"/>
      <c r="J2222" s="167"/>
      <c r="K2222" s="166"/>
      <c r="L2222" s="166"/>
      <c r="M2222" s="166"/>
      <c r="N2222" s="166"/>
      <c r="O2222" s="166"/>
      <c r="P2222" s="166"/>
      <c r="Q2222" s="166"/>
      <c r="R2222" s="166"/>
      <c r="S2222" s="166"/>
      <c r="T2222" s="166"/>
      <c r="U2222" s="166"/>
      <c r="V2222" s="166"/>
      <c r="W2222" s="166"/>
      <c r="X2222" s="166"/>
      <c r="Y2222" s="166"/>
      <c r="Z2222" s="166"/>
      <c r="AA2222" s="166"/>
      <c r="AB2222" s="166"/>
      <c r="AC2222" s="166"/>
      <c r="AD2222" s="166"/>
      <c r="AE2222" s="166"/>
      <c r="AF2222" s="166"/>
      <c r="AG2222" s="166"/>
      <c r="AH2222" s="166"/>
      <c r="AI2222" s="166"/>
    </row>
    <row r="2223" spans="7:35" x14ac:dyDescent="0.25">
      <c r="G2223" s="165"/>
      <c r="H2223" s="166"/>
      <c r="I2223" s="167"/>
      <c r="J2223" s="167"/>
      <c r="K2223" s="166"/>
      <c r="L2223" s="166"/>
      <c r="M2223" s="166"/>
      <c r="N2223" s="166"/>
      <c r="O2223" s="166"/>
      <c r="P2223" s="166"/>
      <c r="Q2223" s="166"/>
      <c r="R2223" s="166"/>
      <c r="S2223" s="166"/>
      <c r="T2223" s="166"/>
      <c r="U2223" s="166"/>
      <c r="V2223" s="166"/>
      <c r="W2223" s="166"/>
      <c r="X2223" s="166"/>
      <c r="Y2223" s="166"/>
      <c r="Z2223" s="166"/>
      <c r="AA2223" s="166"/>
      <c r="AB2223" s="166"/>
      <c r="AC2223" s="166"/>
      <c r="AD2223" s="166"/>
      <c r="AE2223" s="166"/>
      <c r="AF2223" s="166"/>
      <c r="AG2223" s="166"/>
      <c r="AH2223" s="166"/>
      <c r="AI2223" s="166"/>
    </row>
    <row r="2224" spans="7:35" x14ac:dyDescent="0.25">
      <c r="G2224" s="165"/>
      <c r="H2224" s="166"/>
      <c r="I2224" s="167"/>
      <c r="J2224" s="167"/>
      <c r="K2224" s="166"/>
      <c r="L2224" s="166"/>
      <c r="M2224" s="166"/>
      <c r="N2224" s="166"/>
      <c r="O2224" s="166"/>
      <c r="P2224" s="166"/>
      <c r="Q2224" s="166"/>
      <c r="R2224" s="166"/>
      <c r="S2224" s="166"/>
      <c r="T2224" s="166"/>
      <c r="U2224" s="166"/>
      <c r="V2224" s="166"/>
      <c r="W2224" s="166"/>
      <c r="X2224" s="166"/>
      <c r="Y2224" s="166"/>
      <c r="Z2224" s="166"/>
      <c r="AA2224" s="166"/>
      <c r="AB2224" s="166"/>
      <c r="AC2224" s="166"/>
      <c r="AD2224" s="166"/>
      <c r="AE2224" s="166"/>
      <c r="AF2224" s="166"/>
      <c r="AG2224" s="166"/>
      <c r="AH2224" s="166"/>
      <c r="AI2224" s="166"/>
    </row>
    <row r="2225" spans="7:35" x14ac:dyDescent="0.25">
      <c r="G2225" s="165"/>
      <c r="H2225" s="166"/>
      <c r="I2225" s="167"/>
      <c r="J2225" s="167"/>
      <c r="K2225" s="166"/>
      <c r="L2225" s="166"/>
      <c r="M2225" s="166"/>
      <c r="N2225" s="166"/>
      <c r="O2225" s="166"/>
      <c r="P2225" s="166"/>
      <c r="Q2225" s="166"/>
      <c r="R2225" s="166"/>
      <c r="S2225" s="166"/>
      <c r="T2225" s="166"/>
      <c r="U2225" s="166"/>
      <c r="V2225" s="166"/>
      <c r="W2225" s="166"/>
      <c r="X2225" s="166"/>
      <c r="Y2225" s="166"/>
      <c r="Z2225" s="166"/>
      <c r="AA2225" s="166"/>
      <c r="AB2225" s="166"/>
      <c r="AC2225" s="166"/>
      <c r="AD2225" s="166"/>
      <c r="AE2225" s="166"/>
      <c r="AF2225" s="166"/>
      <c r="AG2225" s="166"/>
      <c r="AH2225" s="166"/>
      <c r="AI2225" s="166"/>
    </row>
    <row r="2226" spans="7:35" x14ac:dyDescent="0.25">
      <c r="G2226" s="165"/>
      <c r="H2226" s="166"/>
      <c r="I2226" s="167"/>
      <c r="J2226" s="167"/>
      <c r="K2226" s="166"/>
      <c r="L2226" s="166"/>
      <c r="M2226" s="166"/>
      <c r="N2226" s="166"/>
      <c r="O2226" s="166"/>
      <c r="P2226" s="166"/>
      <c r="Q2226" s="166"/>
      <c r="R2226" s="166"/>
      <c r="S2226" s="166"/>
      <c r="T2226" s="166"/>
      <c r="U2226" s="166"/>
      <c r="V2226" s="166"/>
      <c r="W2226" s="166"/>
      <c r="X2226" s="166"/>
      <c r="Y2226" s="166"/>
      <c r="Z2226" s="166"/>
      <c r="AA2226" s="166"/>
      <c r="AB2226" s="166"/>
      <c r="AC2226" s="166"/>
      <c r="AD2226" s="166"/>
      <c r="AE2226" s="166"/>
      <c r="AF2226" s="166"/>
      <c r="AG2226" s="166"/>
      <c r="AH2226" s="166"/>
      <c r="AI2226" s="166"/>
    </row>
    <row r="2227" spans="7:35" x14ac:dyDescent="0.25">
      <c r="G2227" s="165"/>
      <c r="H2227" s="166"/>
      <c r="I2227" s="167"/>
      <c r="J2227" s="167"/>
      <c r="K2227" s="166"/>
      <c r="L2227" s="166"/>
      <c r="M2227" s="166"/>
      <c r="N2227" s="166"/>
      <c r="O2227" s="166"/>
      <c r="P2227" s="166"/>
      <c r="Q2227" s="166"/>
      <c r="R2227" s="166"/>
      <c r="S2227" s="166"/>
      <c r="T2227" s="166"/>
      <c r="U2227" s="166"/>
      <c r="V2227" s="166"/>
      <c r="W2227" s="166"/>
      <c r="X2227" s="166"/>
      <c r="Y2227" s="166"/>
      <c r="Z2227" s="166"/>
      <c r="AA2227" s="166"/>
      <c r="AB2227" s="166"/>
      <c r="AC2227" s="166"/>
      <c r="AD2227" s="166"/>
      <c r="AE2227" s="166"/>
      <c r="AF2227" s="166"/>
      <c r="AG2227" s="166"/>
      <c r="AH2227" s="166"/>
      <c r="AI2227" s="166"/>
    </row>
    <row r="2228" spans="7:35" x14ac:dyDescent="0.25">
      <c r="G2228" s="165"/>
      <c r="H2228" s="166"/>
      <c r="I2228" s="167"/>
      <c r="J2228" s="167"/>
      <c r="K2228" s="166"/>
      <c r="L2228" s="166"/>
      <c r="M2228" s="166"/>
      <c r="N2228" s="166"/>
      <c r="O2228" s="166"/>
      <c r="P2228" s="166"/>
      <c r="Q2228" s="166"/>
      <c r="R2228" s="166"/>
      <c r="S2228" s="166"/>
      <c r="T2228" s="166"/>
      <c r="U2228" s="166"/>
      <c r="V2228" s="166"/>
      <c r="W2228" s="166"/>
      <c r="X2228" s="166"/>
      <c r="Y2228" s="166"/>
      <c r="Z2228" s="166"/>
      <c r="AA2228" s="166"/>
      <c r="AB2228" s="166"/>
      <c r="AC2228" s="166"/>
      <c r="AD2228" s="166"/>
      <c r="AE2228" s="166"/>
      <c r="AF2228" s="166"/>
      <c r="AG2228" s="166"/>
      <c r="AH2228" s="166"/>
      <c r="AI2228" s="166"/>
    </row>
    <row r="2229" spans="7:35" x14ac:dyDescent="0.25">
      <c r="G2229" s="165"/>
      <c r="H2229" s="166"/>
      <c r="I2229" s="167"/>
      <c r="J2229" s="167"/>
      <c r="K2229" s="166"/>
      <c r="L2229" s="166"/>
      <c r="M2229" s="166"/>
      <c r="N2229" s="166"/>
      <c r="O2229" s="166"/>
      <c r="P2229" s="166"/>
      <c r="Q2229" s="166"/>
      <c r="R2229" s="166"/>
      <c r="S2229" s="166"/>
      <c r="T2229" s="166"/>
      <c r="U2229" s="166"/>
      <c r="V2229" s="166"/>
      <c r="W2229" s="166"/>
      <c r="X2229" s="166"/>
      <c r="Y2229" s="166"/>
      <c r="Z2229" s="166"/>
      <c r="AA2229" s="166"/>
      <c r="AB2229" s="166"/>
      <c r="AC2229" s="166"/>
      <c r="AD2229" s="166"/>
      <c r="AE2229" s="166"/>
      <c r="AF2229" s="166"/>
      <c r="AG2229" s="166"/>
      <c r="AH2229" s="166"/>
      <c r="AI2229" s="166"/>
    </row>
    <row r="2230" spans="7:35" x14ac:dyDescent="0.25">
      <c r="G2230" s="165"/>
      <c r="H2230" s="166"/>
      <c r="I2230" s="167"/>
      <c r="J2230" s="167"/>
      <c r="K2230" s="166"/>
      <c r="L2230" s="166"/>
      <c r="M2230" s="166"/>
      <c r="N2230" s="166"/>
      <c r="O2230" s="166"/>
      <c r="P2230" s="166"/>
      <c r="Q2230" s="166"/>
      <c r="R2230" s="166"/>
      <c r="S2230" s="166"/>
      <c r="T2230" s="166"/>
      <c r="U2230" s="166"/>
      <c r="V2230" s="166"/>
      <c r="W2230" s="166"/>
      <c r="X2230" s="166"/>
      <c r="Y2230" s="166"/>
      <c r="Z2230" s="166"/>
      <c r="AA2230" s="166"/>
      <c r="AB2230" s="166"/>
      <c r="AC2230" s="166"/>
      <c r="AD2230" s="166"/>
      <c r="AE2230" s="166"/>
      <c r="AF2230" s="166"/>
      <c r="AG2230" s="166"/>
      <c r="AH2230" s="166"/>
      <c r="AI2230" s="166"/>
    </row>
    <row r="2231" spans="7:35" x14ac:dyDescent="0.25">
      <c r="G2231" s="165"/>
      <c r="H2231" s="166"/>
      <c r="I2231" s="167"/>
      <c r="J2231" s="167"/>
      <c r="K2231" s="166"/>
      <c r="L2231" s="166"/>
      <c r="M2231" s="166"/>
      <c r="N2231" s="166"/>
      <c r="O2231" s="166"/>
      <c r="P2231" s="166"/>
      <c r="Q2231" s="166"/>
      <c r="R2231" s="166"/>
      <c r="S2231" s="166"/>
      <c r="T2231" s="166"/>
      <c r="U2231" s="166"/>
      <c r="V2231" s="166"/>
      <c r="W2231" s="166"/>
      <c r="X2231" s="166"/>
      <c r="Y2231" s="166"/>
      <c r="Z2231" s="166"/>
      <c r="AA2231" s="166"/>
      <c r="AB2231" s="166"/>
      <c r="AC2231" s="166"/>
      <c r="AD2231" s="166"/>
      <c r="AE2231" s="166"/>
      <c r="AF2231" s="166"/>
      <c r="AG2231" s="166"/>
      <c r="AH2231" s="166"/>
      <c r="AI2231" s="166"/>
    </row>
    <row r="2232" spans="7:35" x14ac:dyDescent="0.25">
      <c r="G2232" s="165"/>
      <c r="H2232" s="166"/>
      <c r="I2232" s="167"/>
      <c r="J2232" s="167"/>
      <c r="K2232" s="166"/>
      <c r="L2232" s="166"/>
      <c r="M2232" s="166"/>
      <c r="N2232" s="166"/>
      <c r="O2232" s="166"/>
      <c r="P2232" s="166"/>
      <c r="Q2232" s="166"/>
      <c r="R2232" s="166"/>
      <c r="S2232" s="166"/>
      <c r="T2232" s="166"/>
      <c r="U2232" s="166"/>
      <c r="V2232" s="166"/>
      <c r="W2232" s="166"/>
      <c r="X2232" s="166"/>
      <c r="Y2232" s="166"/>
      <c r="Z2232" s="166"/>
      <c r="AA2232" s="166"/>
      <c r="AB2232" s="166"/>
      <c r="AC2232" s="166"/>
      <c r="AD2232" s="166"/>
      <c r="AE2232" s="166"/>
      <c r="AF2232" s="166"/>
      <c r="AG2232" s="166"/>
      <c r="AH2232" s="166"/>
      <c r="AI2232" s="166"/>
    </row>
    <row r="2233" spans="7:35" x14ac:dyDescent="0.25">
      <c r="G2233" s="165"/>
      <c r="H2233" s="166"/>
      <c r="I2233" s="167"/>
      <c r="J2233" s="167"/>
      <c r="K2233" s="166"/>
      <c r="L2233" s="166"/>
      <c r="M2233" s="166"/>
      <c r="N2233" s="166"/>
      <c r="O2233" s="166"/>
      <c r="P2233" s="166"/>
      <c r="Q2233" s="166"/>
      <c r="R2233" s="166"/>
      <c r="S2233" s="166"/>
      <c r="T2233" s="166"/>
      <c r="U2233" s="166"/>
      <c r="V2233" s="166"/>
      <c r="W2233" s="166"/>
      <c r="X2233" s="166"/>
      <c r="Y2233" s="166"/>
      <c r="Z2233" s="166"/>
      <c r="AA2233" s="166"/>
      <c r="AB2233" s="166"/>
      <c r="AC2233" s="166"/>
      <c r="AD2233" s="166"/>
      <c r="AE2233" s="166"/>
      <c r="AF2233" s="166"/>
      <c r="AG2233" s="166"/>
      <c r="AH2233" s="166"/>
      <c r="AI2233" s="166"/>
    </row>
    <row r="2234" spans="7:35" x14ac:dyDescent="0.25">
      <c r="G2234" s="165"/>
      <c r="H2234" s="166"/>
      <c r="I2234" s="167"/>
      <c r="J2234" s="167"/>
      <c r="K2234" s="166"/>
      <c r="L2234" s="166"/>
      <c r="M2234" s="166"/>
      <c r="N2234" s="166"/>
      <c r="O2234" s="166"/>
      <c r="P2234" s="166"/>
      <c r="Q2234" s="166"/>
      <c r="R2234" s="166"/>
      <c r="S2234" s="166"/>
      <c r="T2234" s="166"/>
      <c r="U2234" s="166"/>
      <c r="V2234" s="166"/>
      <c r="W2234" s="166"/>
      <c r="X2234" s="166"/>
      <c r="Y2234" s="166"/>
      <c r="Z2234" s="166"/>
      <c r="AA2234" s="166"/>
      <c r="AB2234" s="166"/>
      <c r="AC2234" s="166"/>
      <c r="AD2234" s="166"/>
      <c r="AE2234" s="166"/>
      <c r="AF2234" s="166"/>
      <c r="AG2234" s="166"/>
      <c r="AH2234" s="166"/>
      <c r="AI2234" s="166"/>
    </row>
    <row r="2235" spans="7:35" x14ac:dyDescent="0.25">
      <c r="G2235" s="165"/>
      <c r="H2235" s="166"/>
      <c r="I2235" s="167"/>
      <c r="J2235" s="167"/>
      <c r="K2235" s="166"/>
      <c r="L2235" s="166"/>
      <c r="M2235" s="166"/>
      <c r="N2235" s="166"/>
      <c r="O2235" s="166"/>
      <c r="P2235" s="166"/>
      <c r="Q2235" s="166"/>
      <c r="R2235" s="166"/>
      <c r="S2235" s="166"/>
      <c r="T2235" s="166"/>
      <c r="U2235" s="166"/>
      <c r="V2235" s="166"/>
      <c r="W2235" s="166"/>
      <c r="X2235" s="166"/>
      <c r="Y2235" s="166"/>
      <c r="Z2235" s="166"/>
      <c r="AA2235" s="166"/>
      <c r="AB2235" s="166"/>
      <c r="AC2235" s="166"/>
      <c r="AD2235" s="166"/>
      <c r="AE2235" s="166"/>
      <c r="AF2235" s="166"/>
      <c r="AG2235" s="166"/>
      <c r="AH2235" s="166"/>
      <c r="AI2235" s="166"/>
    </row>
    <row r="2236" spans="7:35" x14ac:dyDescent="0.25">
      <c r="G2236" s="165"/>
      <c r="H2236" s="166"/>
      <c r="I2236" s="167"/>
      <c r="J2236" s="167"/>
      <c r="K2236" s="166"/>
      <c r="L2236" s="166"/>
      <c r="M2236" s="166"/>
      <c r="N2236" s="166"/>
      <c r="O2236" s="166"/>
      <c r="P2236" s="166"/>
      <c r="Q2236" s="166"/>
      <c r="R2236" s="166"/>
      <c r="S2236" s="166"/>
      <c r="T2236" s="166"/>
      <c r="U2236" s="166"/>
      <c r="V2236" s="166"/>
      <c r="W2236" s="166"/>
      <c r="X2236" s="166"/>
      <c r="Y2236" s="166"/>
      <c r="Z2236" s="166"/>
      <c r="AA2236" s="166"/>
      <c r="AB2236" s="166"/>
      <c r="AC2236" s="166"/>
      <c r="AD2236" s="166"/>
      <c r="AE2236" s="166"/>
      <c r="AF2236" s="166"/>
      <c r="AG2236" s="166"/>
      <c r="AH2236" s="166"/>
      <c r="AI2236" s="166"/>
    </row>
    <row r="2237" spans="7:35" x14ac:dyDescent="0.25">
      <c r="G2237" s="165"/>
      <c r="H2237" s="166"/>
      <c r="I2237" s="167"/>
      <c r="J2237" s="167"/>
      <c r="K2237" s="166"/>
      <c r="L2237" s="166"/>
      <c r="M2237" s="166"/>
      <c r="N2237" s="166"/>
      <c r="O2237" s="166"/>
      <c r="P2237" s="166"/>
      <c r="Q2237" s="166"/>
      <c r="R2237" s="166"/>
      <c r="S2237" s="166"/>
      <c r="T2237" s="166"/>
      <c r="U2237" s="166"/>
      <c r="V2237" s="166"/>
      <c r="W2237" s="166"/>
      <c r="X2237" s="166"/>
      <c r="Y2237" s="166"/>
      <c r="Z2237" s="166"/>
      <c r="AA2237" s="166"/>
      <c r="AB2237" s="166"/>
      <c r="AC2237" s="166"/>
      <c r="AD2237" s="166"/>
      <c r="AE2237" s="166"/>
      <c r="AF2237" s="166"/>
      <c r="AG2237" s="166"/>
      <c r="AH2237" s="166"/>
      <c r="AI2237" s="166"/>
    </row>
    <row r="2238" spans="7:35" x14ac:dyDescent="0.25">
      <c r="G2238" s="165"/>
      <c r="H2238" s="166"/>
      <c r="I2238" s="167"/>
      <c r="J2238" s="167"/>
      <c r="K2238" s="166"/>
      <c r="L2238" s="166"/>
      <c r="M2238" s="166"/>
      <c r="N2238" s="166"/>
      <c r="O2238" s="166"/>
      <c r="P2238" s="166"/>
      <c r="Q2238" s="166"/>
      <c r="R2238" s="166"/>
      <c r="S2238" s="166"/>
      <c r="T2238" s="166"/>
      <c r="U2238" s="166"/>
      <c r="V2238" s="166"/>
      <c r="W2238" s="166"/>
      <c r="X2238" s="166"/>
      <c r="Y2238" s="166"/>
      <c r="Z2238" s="166"/>
      <c r="AA2238" s="166"/>
      <c r="AB2238" s="166"/>
      <c r="AC2238" s="166"/>
      <c r="AD2238" s="166"/>
      <c r="AE2238" s="166"/>
      <c r="AF2238" s="166"/>
      <c r="AG2238" s="166"/>
      <c r="AH2238" s="166"/>
      <c r="AI2238" s="166"/>
    </row>
    <row r="2239" spans="7:35" x14ac:dyDescent="0.25">
      <c r="G2239" s="165"/>
      <c r="H2239" s="166"/>
      <c r="I2239" s="167"/>
      <c r="J2239" s="167"/>
      <c r="K2239" s="166"/>
      <c r="L2239" s="166"/>
      <c r="M2239" s="166"/>
      <c r="N2239" s="166"/>
      <c r="O2239" s="166"/>
      <c r="P2239" s="166"/>
      <c r="Q2239" s="166"/>
      <c r="R2239" s="166"/>
      <c r="S2239" s="166"/>
      <c r="T2239" s="166"/>
      <c r="U2239" s="166"/>
      <c r="V2239" s="166"/>
      <c r="W2239" s="166"/>
      <c r="X2239" s="166"/>
      <c r="Y2239" s="166"/>
      <c r="Z2239" s="166"/>
      <c r="AA2239" s="166"/>
      <c r="AB2239" s="166"/>
      <c r="AC2239" s="166"/>
      <c r="AD2239" s="166"/>
      <c r="AE2239" s="166"/>
      <c r="AF2239" s="166"/>
      <c r="AG2239" s="166"/>
      <c r="AH2239" s="166"/>
      <c r="AI2239" s="166"/>
    </row>
    <row r="2240" spans="7:35" x14ac:dyDescent="0.25">
      <c r="G2240" s="165"/>
      <c r="H2240" s="166"/>
      <c r="I2240" s="167"/>
      <c r="J2240" s="167"/>
      <c r="K2240" s="166"/>
      <c r="L2240" s="166"/>
      <c r="M2240" s="166"/>
      <c r="N2240" s="166"/>
      <c r="O2240" s="166"/>
      <c r="P2240" s="166"/>
      <c r="Q2240" s="166"/>
      <c r="R2240" s="166"/>
      <c r="S2240" s="166"/>
      <c r="T2240" s="166"/>
      <c r="U2240" s="166"/>
      <c r="V2240" s="166"/>
      <c r="W2240" s="166"/>
      <c r="X2240" s="166"/>
      <c r="Y2240" s="166"/>
      <c r="Z2240" s="166"/>
      <c r="AA2240" s="166"/>
      <c r="AB2240" s="166"/>
      <c r="AC2240" s="166"/>
      <c r="AD2240" s="166"/>
      <c r="AE2240" s="166"/>
      <c r="AF2240" s="166"/>
      <c r="AG2240" s="166"/>
      <c r="AH2240" s="166"/>
      <c r="AI2240" s="166"/>
    </row>
    <row r="2241" spans="7:35" x14ac:dyDescent="0.25">
      <c r="G2241" s="165"/>
      <c r="H2241" s="166"/>
      <c r="I2241" s="167"/>
      <c r="J2241" s="167"/>
      <c r="K2241" s="166"/>
      <c r="L2241" s="166"/>
      <c r="M2241" s="166"/>
      <c r="N2241" s="166"/>
      <c r="O2241" s="166"/>
      <c r="P2241" s="166"/>
      <c r="Q2241" s="166"/>
      <c r="R2241" s="166"/>
      <c r="S2241" s="166"/>
      <c r="T2241" s="166"/>
      <c r="U2241" s="166"/>
      <c r="V2241" s="166"/>
      <c r="W2241" s="166"/>
      <c r="X2241" s="166"/>
      <c r="Y2241" s="166"/>
      <c r="Z2241" s="166"/>
      <c r="AA2241" s="166"/>
      <c r="AB2241" s="166"/>
      <c r="AC2241" s="166"/>
      <c r="AD2241" s="166"/>
      <c r="AE2241" s="166"/>
      <c r="AF2241" s="166"/>
      <c r="AG2241" s="166"/>
      <c r="AH2241" s="166"/>
      <c r="AI2241" s="166"/>
    </row>
    <row r="2242" spans="7:35" x14ac:dyDescent="0.25">
      <c r="G2242" s="165"/>
      <c r="H2242" s="166"/>
      <c r="I2242" s="167"/>
      <c r="J2242" s="167"/>
      <c r="K2242" s="166"/>
      <c r="L2242" s="166"/>
      <c r="M2242" s="166"/>
      <c r="N2242" s="166"/>
      <c r="O2242" s="166"/>
      <c r="P2242" s="166"/>
      <c r="Q2242" s="166"/>
      <c r="R2242" s="166"/>
      <c r="S2242" s="166"/>
      <c r="T2242" s="166"/>
      <c r="U2242" s="166"/>
      <c r="V2242" s="166"/>
      <c r="W2242" s="166"/>
      <c r="X2242" s="166"/>
      <c r="Y2242" s="166"/>
      <c r="Z2242" s="166"/>
      <c r="AA2242" s="166"/>
      <c r="AB2242" s="166"/>
      <c r="AC2242" s="166"/>
      <c r="AD2242" s="166"/>
      <c r="AE2242" s="166"/>
      <c r="AF2242" s="166"/>
      <c r="AG2242" s="166"/>
      <c r="AH2242" s="166"/>
      <c r="AI2242" s="166"/>
    </row>
    <row r="2243" spans="7:35" x14ac:dyDescent="0.25">
      <c r="G2243" s="165"/>
      <c r="H2243" s="166"/>
      <c r="I2243" s="167"/>
      <c r="J2243" s="167"/>
      <c r="K2243" s="166"/>
      <c r="L2243" s="166"/>
      <c r="M2243" s="166"/>
      <c r="N2243" s="166"/>
      <c r="O2243" s="166"/>
      <c r="P2243" s="166"/>
      <c r="Q2243" s="166"/>
      <c r="R2243" s="166"/>
      <c r="S2243" s="166"/>
      <c r="T2243" s="166"/>
      <c r="U2243" s="166"/>
      <c r="V2243" s="166"/>
      <c r="W2243" s="166"/>
      <c r="X2243" s="166"/>
      <c r="Y2243" s="166"/>
      <c r="Z2243" s="166"/>
      <c r="AA2243" s="166"/>
      <c r="AB2243" s="166"/>
      <c r="AC2243" s="166"/>
      <c r="AD2243" s="166"/>
      <c r="AE2243" s="166"/>
      <c r="AF2243" s="166"/>
      <c r="AG2243" s="166"/>
      <c r="AH2243" s="166"/>
      <c r="AI2243" s="166"/>
    </row>
    <row r="2244" spans="7:35" x14ac:dyDescent="0.25">
      <c r="G2244" s="165"/>
      <c r="H2244" s="166"/>
      <c r="I2244" s="167"/>
      <c r="J2244" s="167"/>
      <c r="K2244" s="166"/>
      <c r="L2244" s="166"/>
      <c r="M2244" s="166"/>
      <c r="N2244" s="166"/>
      <c r="O2244" s="166"/>
      <c r="P2244" s="166"/>
      <c r="Q2244" s="166"/>
      <c r="R2244" s="166"/>
      <c r="S2244" s="166"/>
      <c r="T2244" s="166"/>
      <c r="U2244" s="166"/>
      <c r="V2244" s="166"/>
      <c r="W2244" s="166"/>
      <c r="X2244" s="166"/>
      <c r="Y2244" s="166"/>
      <c r="Z2244" s="166"/>
      <c r="AA2244" s="166"/>
      <c r="AB2244" s="166"/>
      <c r="AC2244" s="166"/>
      <c r="AD2244" s="166"/>
      <c r="AE2244" s="166"/>
      <c r="AF2244" s="166"/>
      <c r="AG2244" s="166"/>
      <c r="AH2244" s="166"/>
      <c r="AI2244" s="166"/>
    </row>
    <row r="2245" spans="7:35" x14ac:dyDescent="0.25">
      <c r="G2245" s="165"/>
      <c r="H2245" s="166"/>
      <c r="I2245" s="167"/>
      <c r="J2245" s="167"/>
      <c r="K2245" s="166"/>
      <c r="L2245" s="166"/>
      <c r="M2245" s="166"/>
      <c r="N2245" s="166"/>
      <c r="O2245" s="166"/>
      <c r="P2245" s="166"/>
      <c r="Q2245" s="166"/>
      <c r="R2245" s="166"/>
      <c r="S2245" s="166"/>
      <c r="T2245" s="166"/>
      <c r="U2245" s="166"/>
      <c r="V2245" s="166"/>
      <c r="W2245" s="166"/>
      <c r="X2245" s="166"/>
      <c r="Y2245" s="166"/>
      <c r="Z2245" s="166"/>
      <c r="AA2245" s="166"/>
      <c r="AB2245" s="166"/>
      <c r="AC2245" s="166"/>
      <c r="AD2245" s="166"/>
      <c r="AE2245" s="166"/>
      <c r="AF2245" s="166"/>
      <c r="AG2245" s="166"/>
      <c r="AH2245" s="166"/>
      <c r="AI2245" s="166"/>
    </row>
    <row r="2246" spans="7:35" x14ac:dyDescent="0.25">
      <c r="G2246" s="165"/>
      <c r="H2246" s="166"/>
      <c r="I2246" s="167"/>
      <c r="J2246" s="167"/>
      <c r="K2246" s="166"/>
      <c r="L2246" s="166"/>
      <c r="M2246" s="166"/>
      <c r="N2246" s="166"/>
      <c r="O2246" s="166"/>
      <c r="P2246" s="166"/>
      <c r="Q2246" s="166"/>
      <c r="R2246" s="166"/>
      <c r="S2246" s="166"/>
      <c r="T2246" s="166"/>
      <c r="U2246" s="166"/>
      <c r="V2246" s="166"/>
      <c r="W2246" s="166"/>
      <c r="X2246" s="166"/>
      <c r="Y2246" s="166"/>
      <c r="Z2246" s="166"/>
      <c r="AA2246" s="166"/>
      <c r="AB2246" s="166"/>
      <c r="AC2246" s="166"/>
      <c r="AD2246" s="166"/>
      <c r="AE2246" s="166"/>
      <c r="AF2246" s="166"/>
      <c r="AG2246" s="166"/>
      <c r="AH2246" s="166"/>
      <c r="AI2246" s="166"/>
    </row>
    <row r="2247" spans="7:35" x14ac:dyDescent="0.25">
      <c r="G2247" s="165"/>
      <c r="H2247" s="166"/>
      <c r="I2247" s="167"/>
      <c r="J2247" s="167"/>
      <c r="K2247" s="166"/>
      <c r="L2247" s="166"/>
      <c r="M2247" s="166"/>
      <c r="N2247" s="166"/>
      <c r="O2247" s="166"/>
      <c r="P2247" s="166"/>
      <c r="Q2247" s="166"/>
      <c r="R2247" s="166"/>
      <c r="S2247" s="166"/>
      <c r="T2247" s="166"/>
      <c r="U2247" s="166"/>
      <c r="V2247" s="166"/>
      <c r="W2247" s="166"/>
      <c r="X2247" s="166"/>
      <c r="Y2247" s="166"/>
      <c r="Z2247" s="166"/>
      <c r="AA2247" s="166"/>
      <c r="AB2247" s="166"/>
      <c r="AC2247" s="166"/>
      <c r="AD2247" s="166"/>
      <c r="AE2247" s="166"/>
      <c r="AF2247" s="166"/>
      <c r="AG2247" s="166"/>
      <c r="AH2247" s="166"/>
      <c r="AI2247" s="166"/>
    </row>
    <row r="2248" spans="7:35" x14ac:dyDescent="0.25">
      <c r="G2248" s="165"/>
      <c r="H2248" s="166"/>
      <c r="I2248" s="167"/>
      <c r="J2248" s="167"/>
      <c r="K2248" s="166"/>
      <c r="L2248" s="166"/>
      <c r="M2248" s="166"/>
      <c r="N2248" s="166"/>
      <c r="O2248" s="166"/>
      <c r="P2248" s="166"/>
      <c r="Q2248" s="166"/>
      <c r="R2248" s="166"/>
      <c r="S2248" s="166"/>
      <c r="T2248" s="166"/>
      <c r="U2248" s="166"/>
      <c r="V2248" s="166"/>
      <c r="W2248" s="166"/>
      <c r="X2248" s="166"/>
      <c r="Y2248" s="166"/>
      <c r="Z2248" s="166"/>
      <c r="AA2248" s="166"/>
      <c r="AB2248" s="166"/>
      <c r="AC2248" s="166"/>
      <c r="AD2248" s="166"/>
      <c r="AE2248" s="166"/>
      <c r="AF2248" s="166"/>
      <c r="AG2248" s="166"/>
      <c r="AH2248" s="166"/>
      <c r="AI2248" s="166"/>
    </row>
    <row r="2249" spans="7:35" x14ac:dyDescent="0.25">
      <c r="G2249" s="165"/>
      <c r="H2249" s="166"/>
      <c r="I2249" s="167"/>
      <c r="J2249" s="167"/>
      <c r="K2249" s="166"/>
      <c r="L2249" s="166"/>
      <c r="M2249" s="166"/>
      <c r="N2249" s="166"/>
      <c r="O2249" s="166"/>
      <c r="P2249" s="166"/>
      <c r="Q2249" s="166"/>
      <c r="R2249" s="166"/>
      <c r="S2249" s="166"/>
      <c r="T2249" s="166"/>
      <c r="U2249" s="166"/>
      <c r="V2249" s="166"/>
      <c r="W2249" s="166"/>
      <c r="X2249" s="166"/>
      <c r="Y2249" s="166"/>
      <c r="Z2249" s="166"/>
      <c r="AA2249" s="166"/>
      <c r="AB2249" s="166"/>
      <c r="AC2249" s="166"/>
      <c r="AD2249" s="166"/>
      <c r="AE2249" s="166"/>
      <c r="AF2249" s="166"/>
      <c r="AG2249" s="166"/>
      <c r="AH2249" s="166"/>
      <c r="AI2249" s="166"/>
    </row>
    <row r="2250" spans="7:35" x14ac:dyDescent="0.25">
      <c r="G2250" s="165"/>
      <c r="H2250" s="166"/>
      <c r="I2250" s="167"/>
      <c r="J2250" s="167"/>
      <c r="K2250" s="166"/>
      <c r="L2250" s="166"/>
      <c r="M2250" s="166"/>
      <c r="N2250" s="166"/>
      <c r="O2250" s="166"/>
      <c r="P2250" s="166"/>
      <c r="Q2250" s="166"/>
      <c r="R2250" s="166"/>
      <c r="S2250" s="166"/>
      <c r="T2250" s="166"/>
      <c r="U2250" s="166"/>
      <c r="V2250" s="166"/>
      <c r="W2250" s="166"/>
      <c r="X2250" s="166"/>
      <c r="Y2250" s="166"/>
      <c r="Z2250" s="166"/>
      <c r="AA2250" s="166"/>
      <c r="AB2250" s="166"/>
      <c r="AC2250" s="166"/>
      <c r="AD2250" s="166"/>
      <c r="AE2250" s="166"/>
      <c r="AF2250" s="166"/>
      <c r="AG2250" s="166"/>
      <c r="AH2250" s="166"/>
      <c r="AI2250" s="166"/>
    </row>
    <row r="2251" spans="7:35" x14ac:dyDescent="0.25">
      <c r="G2251" s="165"/>
      <c r="H2251" s="166"/>
      <c r="I2251" s="167"/>
      <c r="J2251" s="167"/>
      <c r="K2251" s="166"/>
      <c r="L2251" s="166"/>
      <c r="M2251" s="166"/>
      <c r="N2251" s="166"/>
      <c r="O2251" s="166"/>
      <c r="P2251" s="166"/>
      <c r="Q2251" s="166"/>
      <c r="R2251" s="166"/>
      <c r="S2251" s="166"/>
      <c r="T2251" s="166"/>
      <c r="U2251" s="166"/>
      <c r="V2251" s="166"/>
      <c r="W2251" s="166"/>
      <c r="X2251" s="166"/>
      <c r="Y2251" s="166"/>
      <c r="Z2251" s="166"/>
      <c r="AA2251" s="166"/>
      <c r="AB2251" s="166"/>
      <c r="AC2251" s="166"/>
      <c r="AD2251" s="166"/>
      <c r="AE2251" s="166"/>
      <c r="AF2251" s="166"/>
      <c r="AG2251" s="166"/>
      <c r="AH2251" s="166"/>
      <c r="AI2251" s="166"/>
    </row>
    <row r="2252" spans="7:35" x14ac:dyDescent="0.25">
      <c r="G2252" s="165"/>
      <c r="H2252" s="166"/>
      <c r="I2252" s="167"/>
      <c r="J2252" s="167"/>
      <c r="K2252" s="166"/>
      <c r="L2252" s="166"/>
      <c r="M2252" s="166"/>
      <c r="N2252" s="166"/>
      <c r="O2252" s="166"/>
      <c r="P2252" s="166"/>
      <c r="Q2252" s="166"/>
      <c r="R2252" s="166"/>
      <c r="S2252" s="166"/>
      <c r="T2252" s="166"/>
      <c r="U2252" s="166"/>
      <c r="V2252" s="166"/>
      <c r="W2252" s="166"/>
      <c r="X2252" s="166"/>
      <c r="Y2252" s="166"/>
      <c r="Z2252" s="166"/>
      <c r="AA2252" s="166"/>
      <c r="AB2252" s="166"/>
      <c r="AC2252" s="166"/>
      <c r="AD2252" s="166"/>
      <c r="AE2252" s="166"/>
      <c r="AF2252" s="166"/>
      <c r="AG2252" s="166"/>
      <c r="AH2252" s="166"/>
      <c r="AI2252" s="166"/>
    </row>
    <row r="2253" spans="7:35" x14ac:dyDescent="0.25">
      <c r="G2253" s="165"/>
      <c r="H2253" s="166"/>
      <c r="I2253" s="167"/>
      <c r="J2253" s="167"/>
      <c r="K2253" s="166"/>
      <c r="L2253" s="166"/>
      <c r="M2253" s="166"/>
      <c r="N2253" s="166"/>
      <c r="O2253" s="166"/>
      <c r="P2253" s="166"/>
      <c r="Q2253" s="166"/>
      <c r="R2253" s="166"/>
      <c r="S2253" s="166"/>
      <c r="T2253" s="166"/>
      <c r="U2253" s="166"/>
      <c r="V2253" s="166"/>
      <c r="W2253" s="166"/>
      <c r="X2253" s="166"/>
      <c r="Y2253" s="166"/>
      <c r="Z2253" s="166"/>
      <c r="AA2253" s="166"/>
      <c r="AB2253" s="166"/>
      <c r="AC2253" s="166"/>
      <c r="AD2253" s="166"/>
      <c r="AE2253" s="166"/>
      <c r="AF2253" s="166"/>
      <c r="AG2253" s="166"/>
      <c r="AH2253" s="166"/>
      <c r="AI2253" s="166"/>
    </row>
    <row r="2254" spans="7:35" x14ac:dyDescent="0.25">
      <c r="G2254" s="165"/>
      <c r="H2254" s="166"/>
      <c r="I2254" s="167"/>
      <c r="J2254" s="167"/>
      <c r="K2254" s="166"/>
      <c r="L2254" s="166"/>
      <c r="M2254" s="166"/>
      <c r="N2254" s="166"/>
      <c r="O2254" s="166"/>
      <c r="P2254" s="166"/>
      <c r="Q2254" s="166"/>
      <c r="R2254" s="166"/>
      <c r="S2254" s="166"/>
      <c r="T2254" s="166"/>
      <c r="U2254" s="166"/>
      <c r="V2254" s="166"/>
      <c r="W2254" s="166"/>
      <c r="X2254" s="166"/>
      <c r="Y2254" s="166"/>
      <c r="Z2254" s="166"/>
      <c r="AA2254" s="166"/>
      <c r="AB2254" s="166"/>
      <c r="AC2254" s="166"/>
      <c r="AD2254" s="166"/>
      <c r="AE2254" s="166"/>
      <c r="AF2254" s="166"/>
      <c r="AG2254" s="166"/>
      <c r="AH2254" s="166"/>
      <c r="AI2254" s="166"/>
    </row>
    <row r="2255" spans="7:35" x14ac:dyDescent="0.25">
      <c r="G2255" s="165"/>
      <c r="H2255" s="166"/>
      <c r="I2255" s="167"/>
      <c r="J2255" s="167"/>
      <c r="K2255" s="166"/>
      <c r="L2255" s="166"/>
      <c r="M2255" s="166"/>
      <c r="N2255" s="166"/>
      <c r="O2255" s="166"/>
      <c r="P2255" s="166"/>
      <c r="Q2255" s="166"/>
      <c r="R2255" s="166"/>
      <c r="S2255" s="166"/>
      <c r="T2255" s="166"/>
      <c r="U2255" s="166"/>
      <c r="V2255" s="166"/>
      <c r="W2255" s="166"/>
      <c r="X2255" s="166"/>
      <c r="Y2255" s="166"/>
      <c r="Z2255" s="166"/>
      <c r="AA2255" s="166"/>
      <c r="AB2255" s="166"/>
      <c r="AC2255" s="166"/>
      <c r="AD2255" s="166"/>
      <c r="AE2255" s="166"/>
      <c r="AF2255" s="166"/>
      <c r="AG2255" s="166"/>
      <c r="AH2255" s="166"/>
      <c r="AI2255" s="166"/>
    </row>
    <row r="2256" spans="7:35" x14ac:dyDescent="0.25">
      <c r="G2256" s="165"/>
      <c r="H2256" s="166"/>
      <c r="I2256" s="167"/>
      <c r="J2256" s="167"/>
      <c r="K2256" s="166"/>
      <c r="L2256" s="166"/>
      <c r="M2256" s="166"/>
      <c r="N2256" s="166"/>
      <c r="O2256" s="166"/>
      <c r="P2256" s="166"/>
      <c r="Q2256" s="166"/>
      <c r="R2256" s="166"/>
      <c r="S2256" s="166"/>
      <c r="T2256" s="166"/>
      <c r="U2256" s="166"/>
      <c r="V2256" s="166"/>
      <c r="W2256" s="166"/>
      <c r="X2256" s="166"/>
      <c r="Y2256" s="166"/>
      <c r="Z2256" s="166"/>
      <c r="AA2256" s="166"/>
      <c r="AB2256" s="166"/>
      <c r="AC2256" s="166"/>
      <c r="AD2256" s="166"/>
      <c r="AE2256" s="166"/>
      <c r="AF2256" s="166"/>
      <c r="AG2256" s="166"/>
      <c r="AH2256" s="166"/>
      <c r="AI2256" s="166"/>
    </row>
    <row r="2257" spans="7:35" x14ac:dyDescent="0.25">
      <c r="G2257" s="165"/>
      <c r="H2257" s="166"/>
      <c r="I2257" s="167"/>
      <c r="J2257" s="167"/>
      <c r="K2257" s="166"/>
      <c r="L2257" s="166"/>
      <c r="M2257" s="166"/>
      <c r="N2257" s="166"/>
      <c r="O2257" s="166"/>
      <c r="P2257" s="166"/>
      <c r="Q2257" s="166"/>
      <c r="R2257" s="166"/>
      <c r="S2257" s="166"/>
      <c r="T2257" s="166"/>
      <c r="U2257" s="166"/>
      <c r="V2257" s="166"/>
      <c r="W2257" s="166"/>
      <c r="X2257" s="166"/>
      <c r="Y2257" s="166"/>
      <c r="Z2257" s="166"/>
      <c r="AA2257" s="166"/>
      <c r="AB2257" s="166"/>
      <c r="AC2257" s="166"/>
      <c r="AD2257" s="166"/>
      <c r="AE2257" s="166"/>
      <c r="AF2257" s="166"/>
      <c r="AG2257" s="166"/>
      <c r="AH2257" s="166"/>
      <c r="AI2257" s="166"/>
    </row>
    <row r="2258" spans="7:35" x14ac:dyDescent="0.25">
      <c r="G2258" s="165"/>
      <c r="H2258" s="166"/>
      <c r="I2258" s="167"/>
      <c r="J2258" s="167"/>
      <c r="K2258" s="166"/>
      <c r="L2258" s="166"/>
      <c r="M2258" s="166"/>
      <c r="N2258" s="166"/>
      <c r="O2258" s="166"/>
      <c r="P2258" s="166"/>
      <c r="Q2258" s="166"/>
      <c r="R2258" s="166"/>
      <c r="S2258" s="166"/>
      <c r="T2258" s="166"/>
      <c r="U2258" s="166"/>
      <c r="V2258" s="166"/>
      <c r="W2258" s="166"/>
      <c r="X2258" s="166"/>
      <c r="Y2258" s="166"/>
      <c r="Z2258" s="166"/>
      <c r="AA2258" s="166"/>
      <c r="AB2258" s="166"/>
      <c r="AC2258" s="166"/>
      <c r="AD2258" s="166"/>
      <c r="AE2258" s="166"/>
      <c r="AF2258" s="166"/>
      <c r="AG2258" s="166"/>
      <c r="AH2258" s="166"/>
      <c r="AI2258" s="166"/>
    </row>
    <row r="2259" spans="7:35" x14ac:dyDescent="0.25">
      <c r="G2259" s="165"/>
      <c r="H2259" s="166"/>
      <c r="I2259" s="167"/>
      <c r="J2259" s="167"/>
      <c r="K2259" s="166"/>
      <c r="L2259" s="166"/>
      <c r="M2259" s="166"/>
      <c r="N2259" s="166"/>
      <c r="O2259" s="166"/>
      <c r="P2259" s="166"/>
      <c r="Q2259" s="166"/>
      <c r="R2259" s="166"/>
      <c r="S2259" s="166"/>
      <c r="T2259" s="166"/>
      <c r="U2259" s="166"/>
      <c r="V2259" s="166"/>
      <c r="W2259" s="166"/>
      <c r="X2259" s="166"/>
      <c r="Y2259" s="166"/>
      <c r="Z2259" s="166"/>
      <c r="AA2259" s="166"/>
      <c r="AB2259" s="166"/>
      <c r="AC2259" s="166"/>
      <c r="AD2259" s="166"/>
      <c r="AE2259" s="166"/>
      <c r="AF2259" s="166"/>
      <c r="AG2259" s="166"/>
      <c r="AH2259" s="166"/>
      <c r="AI2259" s="166"/>
    </row>
    <row r="2260" spans="7:35" x14ac:dyDescent="0.25">
      <c r="G2260" s="165"/>
      <c r="H2260" s="166"/>
      <c r="I2260" s="167"/>
      <c r="J2260" s="167"/>
      <c r="K2260" s="166"/>
      <c r="L2260" s="166"/>
      <c r="M2260" s="166"/>
      <c r="N2260" s="166"/>
      <c r="O2260" s="166"/>
      <c r="P2260" s="166"/>
      <c r="Q2260" s="166"/>
      <c r="R2260" s="166"/>
      <c r="S2260" s="166"/>
      <c r="T2260" s="166"/>
      <c r="U2260" s="166"/>
      <c r="V2260" s="166"/>
      <c r="W2260" s="166"/>
      <c r="X2260" s="166"/>
      <c r="Y2260" s="166"/>
      <c r="Z2260" s="166"/>
      <c r="AA2260" s="166"/>
      <c r="AB2260" s="166"/>
      <c r="AC2260" s="166"/>
      <c r="AD2260" s="166"/>
      <c r="AE2260" s="166"/>
      <c r="AF2260" s="166"/>
      <c r="AG2260" s="166"/>
      <c r="AH2260" s="166"/>
      <c r="AI2260" s="166"/>
    </row>
    <row r="2261" spans="7:35" x14ac:dyDescent="0.25">
      <c r="G2261" s="165"/>
      <c r="H2261" s="166"/>
      <c r="I2261" s="167"/>
      <c r="J2261" s="167"/>
      <c r="K2261" s="166"/>
      <c r="L2261" s="166"/>
      <c r="M2261" s="166"/>
      <c r="N2261" s="166"/>
      <c r="O2261" s="166"/>
      <c r="P2261" s="166"/>
      <c r="Q2261" s="166"/>
      <c r="R2261" s="166"/>
      <c r="S2261" s="166"/>
      <c r="T2261" s="166"/>
      <c r="U2261" s="166"/>
      <c r="V2261" s="166"/>
      <c r="W2261" s="166"/>
      <c r="X2261" s="166"/>
      <c r="Y2261" s="166"/>
      <c r="Z2261" s="166"/>
      <c r="AA2261" s="166"/>
      <c r="AB2261" s="166"/>
      <c r="AC2261" s="166"/>
      <c r="AD2261" s="166"/>
      <c r="AE2261" s="166"/>
      <c r="AF2261" s="166"/>
      <c r="AG2261" s="166"/>
      <c r="AH2261" s="166"/>
      <c r="AI2261" s="166"/>
    </row>
    <row r="2262" spans="7:35" x14ac:dyDescent="0.25">
      <c r="G2262" s="165"/>
      <c r="H2262" s="166"/>
      <c r="I2262" s="167"/>
      <c r="J2262" s="167"/>
      <c r="K2262" s="166"/>
      <c r="L2262" s="166"/>
      <c r="M2262" s="166"/>
      <c r="N2262" s="166"/>
      <c r="O2262" s="166"/>
      <c r="P2262" s="166"/>
      <c r="Q2262" s="166"/>
      <c r="R2262" s="166"/>
      <c r="S2262" s="166"/>
      <c r="T2262" s="166"/>
      <c r="U2262" s="166"/>
      <c r="V2262" s="166"/>
      <c r="W2262" s="166"/>
      <c r="X2262" s="166"/>
      <c r="Y2262" s="166"/>
      <c r="Z2262" s="166"/>
      <c r="AA2262" s="166"/>
      <c r="AB2262" s="166"/>
      <c r="AC2262" s="166"/>
      <c r="AD2262" s="166"/>
      <c r="AE2262" s="166"/>
      <c r="AF2262" s="166"/>
      <c r="AG2262" s="166"/>
      <c r="AH2262" s="166"/>
      <c r="AI2262" s="166"/>
    </row>
    <row r="2263" spans="7:35" x14ac:dyDescent="0.25">
      <c r="G2263" s="165"/>
      <c r="H2263" s="166"/>
      <c r="I2263" s="167"/>
      <c r="J2263" s="167"/>
      <c r="K2263" s="166"/>
      <c r="L2263" s="166"/>
      <c r="M2263" s="166"/>
      <c r="N2263" s="166"/>
      <c r="O2263" s="166"/>
      <c r="P2263" s="166"/>
      <c r="Q2263" s="166"/>
      <c r="R2263" s="166"/>
      <c r="S2263" s="166"/>
      <c r="T2263" s="166"/>
      <c r="U2263" s="166"/>
      <c r="V2263" s="166"/>
      <c r="W2263" s="166"/>
      <c r="X2263" s="166"/>
      <c r="Y2263" s="166"/>
      <c r="Z2263" s="166"/>
      <c r="AA2263" s="166"/>
      <c r="AB2263" s="166"/>
      <c r="AC2263" s="166"/>
      <c r="AD2263" s="166"/>
      <c r="AE2263" s="166"/>
      <c r="AF2263" s="166"/>
      <c r="AG2263" s="166"/>
      <c r="AH2263" s="166"/>
      <c r="AI2263" s="166"/>
    </row>
    <row r="2264" spans="7:35" x14ac:dyDescent="0.25">
      <c r="G2264" s="165"/>
      <c r="H2264" s="166"/>
      <c r="I2264" s="167"/>
      <c r="J2264" s="167"/>
      <c r="K2264" s="166"/>
      <c r="L2264" s="166"/>
      <c r="M2264" s="166"/>
      <c r="N2264" s="166"/>
      <c r="O2264" s="166"/>
      <c r="P2264" s="166"/>
      <c r="Q2264" s="166"/>
      <c r="R2264" s="166"/>
      <c r="S2264" s="166"/>
      <c r="T2264" s="166"/>
      <c r="U2264" s="166"/>
      <c r="V2264" s="166"/>
      <c r="W2264" s="166"/>
      <c r="X2264" s="166"/>
      <c r="Y2264" s="166"/>
      <c r="Z2264" s="166"/>
      <c r="AA2264" s="166"/>
      <c r="AB2264" s="166"/>
      <c r="AC2264" s="166"/>
      <c r="AD2264" s="166"/>
      <c r="AE2264" s="166"/>
      <c r="AF2264" s="166"/>
      <c r="AG2264" s="166"/>
      <c r="AH2264" s="166"/>
      <c r="AI2264" s="166"/>
    </row>
    <row r="2265" spans="7:35" x14ac:dyDescent="0.25">
      <c r="G2265" s="165"/>
      <c r="H2265" s="166"/>
      <c r="I2265" s="167"/>
      <c r="J2265" s="167"/>
      <c r="K2265" s="166"/>
      <c r="L2265" s="166"/>
      <c r="M2265" s="166"/>
      <c r="N2265" s="166"/>
      <c r="O2265" s="166"/>
      <c r="P2265" s="166"/>
      <c r="Q2265" s="166"/>
      <c r="R2265" s="166"/>
      <c r="S2265" s="166"/>
      <c r="T2265" s="166"/>
      <c r="U2265" s="166"/>
      <c r="V2265" s="166"/>
      <c r="W2265" s="166"/>
      <c r="X2265" s="166"/>
      <c r="Y2265" s="166"/>
      <c r="Z2265" s="166"/>
      <c r="AA2265" s="166"/>
      <c r="AB2265" s="166"/>
      <c r="AC2265" s="166"/>
      <c r="AD2265" s="166"/>
      <c r="AE2265" s="166"/>
      <c r="AF2265" s="166"/>
      <c r="AG2265" s="166"/>
      <c r="AH2265" s="166"/>
      <c r="AI2265" s="166"/>
    </row>
    <row r="2266" spans="7:35" x14ac:dyDescent="0.25">
      <c r="G2266" s="165"/>
      <c r="H2266" s="166"/>
      <c r="I2266" s="167"/>
      <c r="J2266" s="167"/>
      <c r="K2266" s="166"/>
      <c r="L2266" s="166"/>
      <c r="M2266" s="166"/>
      <c r="N2266" s="166"/>
      <c r="O2266" s="166"/>
      <c r="P2266" s="166"/>
      <c r="Q2266" s="166"/>
      <c r="R2266" s="166"/>
      <c r="S2266" s="166"/>
      <c r="T2266" s="166"/>
      <c r="U2266" s="166"/>
      <c r="V2266" s="166"/>
      <c r="W2266" s="166"/>
      <c r="X2266" s="166"/>
      <c r="Y2266" s="166"/>
      <c r="Z2266" s="166"/>
      <c r="AA2266" s="166"/>
      <c r="AB2266" s="166"/>
      <c r="AC2266" s="166"/>
      <c r="AD2266" s="166"/>
      <c r="AE2266" s="166"/>
      <c r="AF2266" s="166"/>
      <c r="AG2266" s="166"/>
      <c r="AH2266" s="166"/>
      <c r="AI2266" s="166"/>
    </row>
    <row r="2267" spans="7:35" x14ac:dyDescent="0.25">
      <c r="G2267" s="165"/>
      <c r="H2267" s="166"/>
      <c r="I2267" s="167"/>
      <c r="J2267" s="167"/>
      <c r="K2267" s="166"/>
      <c r="L2267" s="166"/>
      <c r="M2267" s="166"/>
      <c r="N2267" s="166"/>
      <c r="O2267" s="166"/>
      <c r="P2267" s="166"/>
      <c r="Q2267" s="166"/>
      <c r="R2267" s="166"/>
      <c r="S2267" s="166"/>
      <c r="T2267" s="166"/>
      <c r="U2267" s="166"/>
      <c r="V2267" s="166"/>
      <c r="W2267" s="166"/>
      <c r="X2267" s="166"/>
      <c r="Y2267" s="166"/>
      <c r="Z2267" s="166"/>
      <c r="AA2267" s="166"/>
      <c r="AB2267" s="166"/>
      <c r="AC2267" s="166"/>
      <c r="AD2267" s="166"/>
      <c r="AE2267" s="166"/>
      <c r="AF2267" s="166"/>
      <c r="AG2267" s="166"/>
      <c r="AH2267" s="166"/>
      <c r="AI2267" s="166"/>
    </row>
    <row r="2268" spans="7:35" x14ac:dyDescent="0.25">
      <c r="G2268" s="165"/>
      <c r="H2268" s="166"/>
      <c r="I2268" s="167"/>
      <c r="J2268" s="167"/>
      <c r="K2268" s="166"/>
      <c r="L2268" s="166"/>
      <c r="M2268" s="166"/>
      <c r="N2268" s="166"/>
      <c r="O2268" s="166"/>
      <c r="P2268" s="166"/>
      <c r="Q2268" s="166"/>
      <c r="R2268" s="166"/>
      <c r="S2268" s="166"/>
      <c r="T2268" s="166"/>
      <c r="U2268" s="166"/>
      <c r="V2268" s="166"/>
      <c r="W2268" s="166"/>
      <c r="X2268" s="166"/>
      <c r="Y2268" s="166"/>
      <c r="Z2268" s="166"/>
      <c r="AA2268" s="166"/>
      <c r="AB2268" s="166"/>
      <c r="AC2268" s="166"/>
      <c r="AD2268" s="166"/>
      <c r="AE2268" s="166"/>
      <c r="AF2268" s="166"/>
      <c r="AG2268" s="166"/>
      <c r="AH2268" s="166"/>
      <c r="AI2268" s="166"/>
    </row>
    <row r="2269" spans="7:35" x14ac:dyDescent="0.25">
      <c r="G2269" s="165"/>
      <c r="H2269" s="166"/>
      <c r="I2269" s="167"/>
      <c r="J2269" s="167"/>
      <c r="K2269" s="166"/>
      <c r="L2269" s="166"/>
      <c r="M2269" s="166"/>
      <c r="N2269" s="166"/>
      <c r="O2269" s="166"/>
      <c r="P2269" s="166"/>
      <c r="Q2269" s="166"/>
      <c r="R2269" s="166"/>
      <c r="S2269" s="166"/>
      <c r="T2269" s="166"/>
      <c r="U2269" s="166"/>
      <c r="V2269" s="166"/>
      <c r="W2269" s="166"/>
      <c r="X2269" s="166"/>
      <c r="Y2269" s="166"/>
      <c r="Z2269" s="166"/>
      <c r="AA2269" s="166"/>
      <c r="AB2269" s="166"/>
      <c r="AC2269" s="166"/>
      <c r="AD2269" s="166"/>
      <c r="AE2269" s="166"/>
      <c r="AF2269" s="166"/>
      <c r="AG2269" s="166"/>
      <c r="AH2269" s="166"/>
      <c r="AI2269" s="166"/>
    </row>
    <row r="2270" spans="7:35" x14ac:dyDescent="0.25">
      <c r="G2270" s="165"/>
      <c r="H2270" s="166"/>
      <c r="I2270" s="167"/>
      <c r="J2270" s="167"/>
      <c r="K2270" s="166"/>
      <c r="L2270" s="166"/>
      <c r="M2270" s="166"/>
      <c r="N2270" s="166"/>
      <c r="O2270" s="166"/>
      <c r="P2270" s="166"/>
      <c r="Q2270" s="166"/>
      <c r="R2270" s="166"/>
      <c r="S2270" s="166"/>
      <c r="T2270" s="166"/>
      <c r="U2270" s="166"/>
      <c r="V2270" s="166"/>
      <c r="W2270" s="166"/>
      <c r="X2270" s="166"/>
      <c r="Y2270" s="166"/>
      <c r="Z2270" s="166"/>
      <c r="AA2270" s="166"/>
      <c r="AB2270" s="166"/>
      <c r="AC2270" s="166"/>
      <c r="AD2270" s="166"/>
      <c r="AE2270" s="166"/>
      <c r="AF2270" s="166"/>
      <c r="AG2270" s="166"/>
      <c r="AH2270" s="166"/>
      <c r="AI2270" s="166"/>
    </row>
    <row r="2271" spans="7:35" x14ac:dyDescent="0.25">
      <c r="G2271" s="165"/>
      <c r="H2271" s="166"/>
      <c r="I2271" s="167"/>
      <c r="J2271" s="167"/>
      <c r="K2271" s="166"/>
      <c r="L2271" s="166"/>
      <c r="M2271" s="166"/>
      <c r="N2271" s="166"/>
      <c r="O2271" s="166"/>
      <c r="P2271" s="166"/>
      <c r="Q2271" s="166"/>
      <c r="R2271" s="166"/>
      <c r="S2271" s="166"/>
      <c r="T2271" s="166"/>
      <c r="U2271" s="166"/>
      <c r="V2271" s="166"/>
      <c r="W2271" s="166"/>
      <c r="X2271" s="166"/>
      <c r="Y2271" s="166"/>
      <c r="Z2271" s="166"/>
      <c r="AA2271" s="166"/>
      <c r="AB2271" s="166"/>
      <c r="AC2271" s="166"/>
      <c r="AD2271" s="166"/>
      <c r="AE2271" s="166"/>
      <c r="AF2271" s="166"/>
      <c r="AG2271" s="166"/>
      <c r="AH2271" s="166"/>
      <c r="AI2271" s="166"/>
    </row>
    <row r="2272" spans="7:35" x14ac:dyDescent="0.25">
      <c r="G2272" s="165"/>
      <c r="H2272" s="166"/>
      <c r="I2272" s="167"/>
      <c r="J2272" s="167"/>
      <c r="K2272" s="166"/>
      <c r="L2272" s="166"/>
      <c r="M2272" s="166"/>
      <c r="N2272" s="166"/>
      <c r="O2272" s="166"/>
      <c r="P2272" s="166"/>
      <c r="Q2272" s="166"/>
      <c r="R2272" s="166"/>
      <c r="S2272" s="166"/>
      <c r="T2272" s="166"/>
      <c r="U2272" s="166"/>
      <c r="V2272" s="166"/>
      <c r="W2272" s="166"/>
      <c r="X2272" s="166"/>
      <c r="Y2272" s="166"/>
      <c r="Z2272" s="166"/>
      <c r="AA2272" s="166"/>
      <c r="AB2272" s="166"/>
      <c r="AC2272" s="166"/>
      <c r="AD2272" s="166"/>
      <c r="AE2272" s="166"/>
      <c r="AF2272" s="166"/>
      <c r="AG2272" s="166"/>
      <c r="AH2272" s="166"/>
      <c r="AI2272" s="166"/>
    </row>
    <row r="2273" spans="7:35" x14ac:dyDescent="0.25">
      <c r="G2273" s="165"/>
      <c r="H2273" s="166"/>
      <c r="I2273" s="167"/>
      <c r="J2273" s="167"/>
      <c r="K2273" s="166"/>
      <c r="L2273" s="166"/>
      <c r="M2273" s="166"/>
      <c r="N2273" s="166"/>
      <c r="O2273" s="166"/>
      <c r="P2273" s="166"/>
      <c r="Q2273" s="166"/>
      <c r="R2273" s="166"/>
      <c r="S2273" s="166"/>
      <c r="T2273" s="166"/>
      <c r="U2273" s="166"/>
      <c r="V2273" s="166"/>
      <c r="W2273" s="166"/>
      <c r="X2273" s="166"/>
      <c r="Y2273" s="166"/>
      <c r="Z2273" s="166"/>
      <c r="AA2273" s="166"/>
      <c r="AB2273" s="166"/>
      <c r="AC2273" s="166"/>
      <c r="AD2273" s="166"/>
      <c r="AE2273" s="166"/>
      <c r="AF2273" s="166"/>
      <c r="AG2273" s="166"/>
      <c r="AH2273" s="166"/>
      <c r="AI2273" s="166"/>
    </row>
    <row r="2274" spans="7:35" x14ac:dyDescent="0.25">
      <c r="G2274" s="165"/>
      <c r="H2274" s="166"/>
      <c r="I2274" s="167"/>
      <c r="J2274" s="167"/>
      <c r="K2274" s="166"/>
      <c r="L2274" s="166"/>
      <c r="M2274" s="166"/>
      <c r="N2274" s="166"/>
      <c r="O2274" s="166"/>
      <c r="P2274" s="166"/>
      <c r="Q2274" s="166"/>
      <c r="R2274" s="166"/>
      <c r="S2274" s="166"/>
      <c r="T2274" s="166"/>
      <c r="U2274" s="166"/>
      <c r="V2274" s="166"/>
      <c r="W2274" s="166"/>
      <c r="X2274" s="166"/>
      <c r="Y2274" s="166"/>
      <c r="Z2274" s="166"/>
      <c r="AA2274" s="166"/>
      <c r="AB2274" s="166"/>
      <c r="AC2274" s="166"/>
      <c r="AD2274" s="166"/>
      <c r="AE2274" s="166"/>
      <c r="AF2274" s="166"/>
      <c r="AG2274" s="166"/>
      <c r="AH2274" s="166"/>
      <c r="AI2274" s="166"/>
    </row>
    <row r="2275" spans="7:35" x14ac:dyDescent="0.25">
      <c r="G2275" s="165"/>
      <c r="H2275" s="166"/>
      <c r="I2275" s="167"/>
      <c r="J2275" s="167"/>
      <c r="K2275" s="166"/>
      <c r="L2275" s="166"/>
      <c r="M2275" s="166"/>
      <c r="N2275" s="166"/>
      <c r="O2275" s="166"/>
      <c r="P2275" s="166"/>
      <c r="Q2275" s="166"/>
      <c r="R2275" s="166"/>
      <c r="S2275" s="166"/>
      <c r="T2275" s="166"/>
      <c r="U2275" s="166"/>
      <c r="V2275" s="166"/>
      <c r="W2275" s="166"/>
      <c r="X2275" s="166"/>
      <c r="Y2275" s="166"/>
      <c r="Z2275" s="166"/>
      <c r="AA2275" s="166"/>
      <c r="AB2275" s="166"/>
      <c r="AC2275" s="166"/>
      <c r="AD2275" s="166"/>
      <c r="AE2275" s="166"/>
      <c r="AF2275" s="166"/>
      <c r="AG2275" s="166"/>
      <c r="AH2275" s="166"/>
      <c r="AI2275" s="166"/>
    </row>
    <row r="2276" spans="7:35" x14ac:dyDescent="0.25">
      <c r="G2276" s="165"/>
      <c r="H2276" s="166"/>
      <c r="I2276" s="167"/>
      <c r="J2276" s="167"/>
      <c r="K2276" s="166"/>
      <c r="L2276" s="166"/>
      <c r="M2276" s="166"/>
      <c r="N2276" s="166"/>
      <c r="O2276" s="166"/>
      <c r="P2276" s="166"/>
      <c r="Q2276" s="166"/>
      <c r="R2276" s="166"/>
      <c r="S2276" s="166"/>
      <c r="T2276" s="166"/>
      <c r="U2276" s="166"/>
      <c r="V2276" s="166"/>
      <c r="W2276" s="166"/>
      <c r="X2276" s="166"/>
      <c r="Y2276" s="166"/>
      <c r="Z2276" s="166"/>
      <c r="AA2276" s="166"/>
      <c r="AB2276" s="166"/>
      <c r="AC2276" s="166"/>
      <c r="AD2276" s="166"/>
      <c r="AE2276" s="166"/>
      <c r="AF2276" s="166"/>
      <c r="AG2276" s="166"/>
      <c r="AH2276" s="166"/>
      <c r="AI2276" s="166"/>
    </row>
    <row r="2277" spans="7:35" x14ac:dyDescent="0.25">
      <c r="G2277" s="165"/>
      <c r="H2277" s="166"/>
      <c r="I2277" s="167"/>
      <c r="J2277" s="167"/>
      <c r="K2277" s="166"/>
      <c r="L2277" s="166"/>
      <c r="M2277" s="166"/>
      <c r="N2277" s="166"/>
      <c r="O2277" s="166"/>
      <c r="P2277" s="166"/>
      <c r="Q2277" s="166"/>
      <c r="R2277" s="166"/>
      <c r="S2277" s="166"/>
      <c r="T2277" s="166"/>
      <c r="U2277" s="166"/>
      <c r="V2277" s="166"/>
      <c r="W2277" s="166"/>
      <c r="X2277" s="166"/>
      <c r="Y2277" s="166"/>
      <c r="Z2277" s="166"/>
      <c r="AA2277" s="166"/>
      <c r="AB2277" s="166"/>
      <c r="AC2277" s="166"/>
      <c r="AD2277" s="166"/>
      <c r="AE2277" s="166"/>
      <c r="AF2277" s="166"/>
      <c r="AG2277" s="166"/>
      <c r="AH2277" s="166"/>
      <c r="AI2277" s="166"/>
    </row>
    <row r="2278" spans="7:35" x14ac:dyDescent="0.25">
      <c r="G2278" s="165"/>
      <c r="H2278" s="166"/>
      <c r="I2278" s="167"/>
      <c r="J2278" s="167"/>
      <c r="K2278" s="166"/>
      <c r="L2278" s="166"/>
      <c r="M2278" s="166"/>
      <c r="N2278" s="166"/>
      <c r="O2278" s="166"/>
      <c r="P2278" s="166"/>
      <c r="Q2278" s="166"/>
      <c r="R2278" s="166"/>
      <c r="S2278" s="166"/>
      <c r="T2278" s="166"/>
      <c r="U2278" s="166"/>
      <c r="V2278" s="166"/>
      <c r="W2278" s="166"/>
      <c r="X2278" s="166"/>
      <c r="Y2278" s="166"/>
      <c r="Z2278" s="166"/>
      <c r="AA2278" s="166"/>
      <c r="AB2278" s="166"/>
      <c r="AC2278" s="166"/>
      <c r="AD2278" s="166"/>
      <c r="AE2278" s="166"/>
      <c r="AF2278" s="166"/>
      <c r="AG2278" s="166"/>
      <c r="AH2278" s="166"/>
      <c r="AI2278" s="166"/>
    </row>
    <row r="2279" spans="7:35" x14ac:dyDescent="0.25">
      <c r="G2279" s="165"/>
      <c r="H2279" s="166"/>
      <c r="I2279" s="167"/>
      <c r="J2279" s="167"/>
      <c r="K2279" s="166"/>
      <c r="L2279" s="166"/>
      <c r="M2279" s="166"/>
      <c r="N2279" s="166"/>
      <c r="O2279" s="166"/>
      <c r="P2279" s="166"/>
      <c r="Q2279" s="166"/>
      <c r="R2279" s="166"/>
      <c r="S2279" s="166"/>
      <c r="T2279" s="166"/>
      <c r="U2279" s="166"/>
      <c r="V2279" s="166"/>
      <c r="W2279" s="166"/>
      <c r="X2279" s="166"/>
      <c r="Y2279" s="166"/>
      <c r="Z2279" s="166"/>
      <c r="AA2279" s="166"/>
      <c r="AB2279" s="166"/>
      <c r="AC2279" s="166"/>
      <c r="AD2279" s="166"/>
      <c r="AE2279" s="166"/>
      <c r="AF2279" s="166"/>
      <c r="AG2279" s="166"/>
      <c r="AH2279" s="166"/>
      <c r="AI2279" s="166"/>
    </row>
    <row r="2280" spans="7:35" x14ac:dyDescent="0.25">
      <c r="G2280" s="165"/>
      <c r="H2280" s="166"/>
      <c r="I2280" s="167"/>
      <c r="J2280" s="167"/>
      <c r="K2280" s="166"/>
      <c r="L2280" s="166"/>
      <c r="M2280" s="166"/>
      <c r="N2280" s="166"/>
      <c r="O2280" s="166"/>
      <c r="P2280" s="166"/>
      <c r="Q2280" s="166"/>
      <c r="R2280" s="166"/>
      <c r="S2280" s="166"/>
      <c r="T2280" s="166"/>
      <c r="U2280" s="166"/>
      <c r="V2280" s="166"/>
      <c r="W2280" s="166"/>
      <c r="X2280" s="166"/>
      <c r="Y2280" s="166"/>
      <c r="Z2280" s="166"/>
      <c r="AA2280" s="166"/>
      <c r="AB2280" s="166"/>
      <c r="AC2280" s="166"/>
      <c r="AD2280" s="166"/>
      <c r="AE2280" s="166"/>
      <c r="AF2280" s="166"/>
      <c r="AG2280" s="166"/>
      <c r="AH2280" s="166"/>
      <c r="AI2280" s="166"/>
    </row>
    <row r="2281" spans="7:35" x14ac:dyDescent="0.25">
      <c r="G2281" s="165"/>
      <c r="H2281" s="166"/>
      <c r="I2281" s="167"/>
      <c r="J2281" s="167"/>
      <c r="K2281" s="166"/>
      <c r="L2281" s="166"/>
      <c r="M2281" s="166"/>
      <c r="N2281" s="166"/>
      <c r="O2281" s="166"/>
      <c r="P2281" s="166"/>
      <c r="Q2281" s="166"/>
      <c r="R2281" s="166"/>
      <c r="S2281" s="166"/>
      <c r="T2281" s="166"/>
      <c r="U2281" s="166"/>
      <c r="V2281" s="166"/>
      <c r="W2281" s="166"/>
      <c r="X2281" s="166"/>
      <c r="Y2281" s="166"/>
      <c r="Z2281" s="166"/>
      <c r="AA2281" s="166"/>
      <c r="AB2281" s="166"/>
      <c r="AC2281" s="166"/>
      <c r="AD2281" s="166"/>
      <c r="AE2281" s="166"/>
      <c r="AF2281" s="166"/>
      <c r="AG2281" s="166"/>
      <c r="AH2281" s="166"/>
      <c r="AI2281" s="166"/>
    </row>
    <row r="2282" spans="7:35" x14ac:dyDescent="0.25">
      <c r="G2282" s="165"/>
      <c r="H2282" s="166"/>
      <c r="I2282" s="167"/>
      <c r="J2282" s="167"/>
      <c r="K2282" s="166"/>
      <c r="L2282" s="166"/>
      <c r="M2282" s="166"/>
      <c r="N2282" s="166"/>
      <c r="O2282" s="166"/>
      <c r="P2282" s="166"/>
      <c r="Q2282" s="166"/>
      <c r="R2282" s="166"/>
      <c r="S2282" s="166"/>
      <c r="T2282" s="166"/>
      <c r="U2282" s="166"/>
      <c r="V2282" s="166"/>
      <c r="W2282" s="166"/>
      <c r="X2282" s="166"/>
      <c r="Y2282" s="166"/>
      <c r="Z2282" s="166"/>
      <c r="AA2282" s="166"/>
      <c r="AB2282" s="166"/>
      <c r="AC2282" s="166"/>
      <c r="AD2282" s="166"/>
      <c r="AE2282" s="166"/>
      <c r="AF2282" s="166"/>
      <c r="AG2282" s="166"/>
      <c r="AH2282" s="166"/>
      <c r="AI2282" s="166"/>
    </row>
    <row r="2283" spans="7:35" x14ac:dyDescent="0.25">
      <c r="G2283" s="165"/>
      <c r="H2283" s="166"/>
      <c r="I2283" s="167"/>
      <c r="J2283" s="167"/>
      <c r="K2283" s="166"/>
      <c r="L2283" s="166"/>
      <c r="M2283" s="166"/>
      <c r="N2283" s="166"/>
      <c r="O2283" s="166"/>
      <c r="P2283" s="166"/>
      <c r="Q2283" s="166"/>
      <c r="R2283" s="166"/>
      <c r="S2283" s="166"/>
      <c r="T2283" s="166"/>
      <c r="U2283" s="166"/>
      <c r="V2283" s="166"/>
      <c r="W2283" s="166"/>
      <c r="X2283" s="166"/>
      <c r="Y2283" s="166"/>
      <c r="Z2283" s="166"/>
      <c r="AA2283" s="166"/>
      <c r="AB2283" s="166"/>
      <c r="AC2283" s="166"/>
      <c r="AD2283" s="166"/>
      <c r="AE2283" s="166"/>
      <c r="AF2283" s="166"/>
      <c r="AG2283" s="166"/>
      <c r="AH2283" s="166"/>
      <c r="AI2283" s="166"/>
    </row>
    <row r="2284" spans="7:35" x14ac:dyDescent="0.25">
      <c r="G2284" s="165"/>
      <c r="H2284" s="166"/>
      <c r="I2284" s="167"/>
      <c r="J2284" s="167"/>
      <c r="K2284" s="166"/>
      <c r="L2284" s="166"/>
      <c r="M2284" s="166"/>
      <c r="N2284" s="166"/>
      <c r="O2284" s="166"/>
      <c r="P2284" s="166"/>
      <c r="Q2284" s="166"/>
      <c r="R2284" s="166"/>
      <c r="S2284" s="166"/>
      <c r="T2284" s="166"/>
      <c r="U2284" s="166"/>
      <c r="V2284" s="166"/>
      <c r="W2284" s="166"/>
      <c r="X2284" s="166"/>
      <c r="Y2284" s="166"/>
      <c r="Z2284" s="166"/>
      <c r="AA2284" s="166"/>
      <c r="AB2284" s="166"/>
      <c r="AC2284" s="166"/>
      <c r="AD2284" s="166"/>
      <c r="AE2284" s="166"/>
      <c r="AF2284" s="166"/>
      <c r="AG2284" s="166"/>
      <c r="AH2284" s="166"/>
      <c r="AI2284" s="166"/>
    </row>
    <row r="2285" spans="7:35" x14ac:dyDescent="0.25">
      <c r="G2285" s="165"/>
      <c r="H2285" s="166"/>
      <c r="I2285" s="167"/>
      <c r="J2285" s="167"/>
      <c r="K2285" s="166"/>
      <c r="L2285" s="166"/>
      <c r="M2285" s="166"/>
      <c r="N2285" s="166"/>
      <c r="O2285" s="166"/>
      <c r="P2285" s="166"/>
      <c r="Q2285" s="166"/>
      <c r="R2285" s="166"/>
      <c r="S2285" s="166"/>
      <c r="T2285" s="166"/>
      <c r="U2285" s="166"/>
      <c r="V2285" s="166"/>
      <c r="W2285" s="166"/>
      <c r="X2285" s="166"/>
      <c r="Y2285" s="166"/>
      <c r="Z2285" s="166"/>
      <c r="AA2285" s="166"/>
      <c r="AB2285" s="166"/>
      <c r="AC2285" s="166"/>
      <c r="AD2285" s="166"/>
      <c r="AE2285" s="166"/>
      <c r="AF2285" s="166"/>
      <c r="AG2285" s="166"/>
      <c r="AH2285" s="166"/>
      <c r="AI2285" s="166"/>
    </row>
    <row r="2286" spans="7:35" x14ac:dyDescent="0.25">
      <c r="G2286" s="165"/>
      <c r="H2286" s="166"/>
      <c r="I2286" s="167"/>
      <c r="J2286" s="167"/>
      <c r="K2286" s="166"/>
      <c r="L2286" s="166"/>
      <c r="M2286" s="166"/>
      <c r="N2286" s="166"/>
      <c r="O2286" s="166"/>
      <c r="P2286" s="166"/>
      <c r="Q2286" s="166"/>
      <c r="R2286" s="166"/>
      <c r="S2286" s="166"/>
      <c r="T2286" s="166"/>
      <c r="U2286" s="166"/>
      <c r="V2286" s="166"/>
      <c r="W2286" s="166"/>
      <c r="X2286" s="166"/>
      <c r="Y2286" s="166"/>
      <c r="Z2286" s="166"/>
      <c r="AA2286" s="166"/>
      <c r="AB2286" s="166"/>
      <c r="AC2286" s="166"/>
      <c r="AD2286" s="166"/>
      <c r="AE2286" s="166"/>
      <c r="AF2286" s="166"/>
      <c r="AG2286" s="166"/>
      <c r="AH2286" s="166"/>
      <c r="AI2286" s="166"/>
    </row>
    <row r="2287" spans="7:35" x14ac:dyDescent="0.25">
      <c r="G2287" s="165"/>
      <c r="H2287" s="166"/>
      <c r="I2287" s="167"/>
      <c r="J2287" s="167"/>
      <c r="K2287" s="166"/>
      <c r="L2287" s="166"/>
      <c r="M2287" s="166"/>
      <c r="N2287" s="166"/>
      <c r="O2287" s="166"/>
      <c r="P2287" s="166"/>
      <c r="Q2287" s="166"/>
      <c r="R2287" s="166"/>
      <c r="S2287" s="166"/>
      <c r="T2287" s="166"/>
      <c r="U2287" s="166"/>
      <c r="V2287" s="166"/>
      <c r="W2287" s="166"/>
      <c r="X2287" s="166"/>
      <c r="Y2287" s="166"/>
      <c r="Z2287" s="166"/>
      <c r="AA2287" s="166"/>
      <c r="AB2287" s="166"/>
      <c r="AC2287" s="166"/>
      <c r="AD2287" s="166"/>
      <c r="AE2287" s="166"/>
      <c r="AF2287" s="166"/>
      <c r="AG2287" s="166"/>
      <c r="AH2287" s="166"/>
      <c r="AI2287" s="166"/>
    </row>
    <row r="2288" spans="7:35" x14ac:dyDescent="0.25">
      <c r="G2288" s="165"/>
      <c r="H2288" s="166"/>
      <c r="I2288" s="167"/>
      <c r="J2288" s="167"/>
      <c r="K2288" s="166"/>
      <c r="L2288" s="166"/>
      <c r="M2288" s="166"/>
      <c r="N2288" s="166"/>
      <c r="O2288" s="166"/>
      <c r="P2288" s="166"/>
      <c r="Q2288" s="166"/>
      <c r="R2288" s="166"/>
      <c r="S2288" s="166"/>
      <c r="T2288" s="166"/>
      <c r="U2288" s="166"/>
      <c r="V2288" s="166"/>
      <c r="W2288" s="166"/>
      <c r="X2288" s="166"/>
      <c r="Y2288" s="166"/>
      <c r="Z2288" s="166"/>
      <c r="AA2288" s="166"/>
      <c r="AB2288" s="166"/>
      <c r="AC2288" s="166"/>
      <c r="AD2288" s="166"/>
      <c r="AE2288" s="166"/>
      <c r="AF2288" s="166"/>
      <c r="AG2288" s="166"/>
      <c r="AH2288" s="166"/>
      <c r="AI2288" s="166"/>
    </row>
    <row r="2289" spans="7:35" x14ac:dyDescent="0.25">
      <c r="G2289" s="165"/>
      <c r="H2289" s="166"/>
      <c r="I2289" s="167"/>
      <c r="J2289" s="167"/>
      <c r="K2289" s="166"/>
      <c r="L2289" s="166"/>
      <c r="M2289" s="166"/>
      <c r="N2289" s="166"/>
      <c r="O2289" s="166"/>
      <c r="P2289" s="166"/>
      <c r="Q2289" s="166"/>
      <c r="R2289" s="166"/>
      <c r="S2289" s="166"/>
      <c r="T2289" s="166"/>
      <c r="U2289" s="166"/>
      <c r="V2289" s="166"/>
      <c r="W2289" s="166"/>
      <c r="X2289" s="166"/>
      <c r="Y2289" s="166"/>
      <c r="Z2289" s="166"/>
      <c r="AA2289" s="166"/>
      <c r="AB2289" s="166"/>
      <c r="AC2289" s="166"/>
      <c r="AD2289" s="166"/>
      <c r="AE2289" s="166"/>
      <c r="AF2289" s="166"/>
      <c r="AG2289" s="166"/>
      <c r="AH2289" s="166"/>
      <c r="AI2289" s="166"/>
    </row>
    <row r="2290" spans="7:35" x14ac:dyDescent="0.25">
      <c r="G2290" s="165"/>
      <c r="H2290" s="166"/>
      <c r="I2290" s="167"/>
      <c r="J2290" s="167"/>
      <c r="K2290" s="166"/>
      <c r="L2290" s="166"/>
      <c r="M2290" s="166"/>
      <c r="N2290" s="166"/>
      <c r="O2290" s="166"/>
      <c r="P2290" s="166"/>
      <c r="Q2290" s="166"/>
      <c r="R2290" s="166"/>
      <c r="S2290" s="166"/>
      <c r="T2290" s="166"/>
      <c r="U2290" s="166"/>
      <c r="V2290" s="166"/>
      <c r="W2290" s="166"/>
      <c r="X2290" s="166"/>
      <c r="Y2290" s="166"/>
      <c r="Z2290" s="166"/>
      <c r="AA2290" s="166"/>
      <c r="AB2290" s="166"/>
      <c r="AC2290" s="166"/>
      <c r="AD2290" s="166"/>
      <c r="AE2290" s="166"/>
      <c r="AF2290" s="166"/>
      <c r="AG2290" s="166"/>
      <c r="AH2290" s="166"/>
      <c r="AI2290" s="166"/>
    </row>
    <row r="2291" spans="7:35" x14ac:dyDescent="0.25">
      <c r="G2291" s="165"/>
      <c r="H2291" s="166"/>
      <c r="I2291" s="167"/>
      <c r="J2291" s="167"/>
      <c r="K2291" s="166"/>
      <c r="L2291" s="166"/>
      <c r="M2291" s="166"/>
      <c r="N2291" s="166"/>
      <c r="O2291" s="166"/>
      <c r="P2291" s="166"/>
      <c r="Q2291" s="166"/>
      <c r="R2291" s="166"/>
      <c r="S2291" s="166"/>
      <c r="T2291" s="166"/>
      <c r="U2291" s="166"/>
      <c r="V2291" s="166"/>
      <c r="W2291" s="166"/>
      <c r="X2291" s="166"/>
      <c r="Y2291" s="166"/>
      <c r="Z2291" s="166"/>
      <c r="AA2291" s="166"/>
      <c r="AB2291" s="166"/>
      <c r="AC2291" s="166"/>
      <c r="AD2291" s="166"/>
      <c r="AE2291" s="166"/>
      <c r="AF2291" s="166"/>
      <c r="AG2291" s="166"/>
      <c r="AH2291" s="166"/>
      <c r="AI2291" s="166"/>
    </row>
    <row r="2292" spans="7:35" x14ac:dyDescent="0.25">
      <c r="G2292" s="165"/>
      <c r="H2292" s="166"/>
      <c r="I2292" s="167"/>
      <c r="J2292" s="167"/>
      <c r="K2292" s="166"/>
      <c r="L2292" s="166"/>
      <c r="M2292" s="166"/>
      <c r="N2292" s="166"/>
      <c r="O2292" s="166"/>
      <c r="P2292" s="166"/>
      <c r="Q2292" s="166"/>
      <c r="R2292" s="166"/>
      <c r="S2292" s="166"/>
      <c r="T2292" s="166"/>
      <c r="U2292" s="166"/>
      <c r="V2292" s="166"/>
      <c r="W2292" s="166"/>
      <c r="X2292" s="166"/>
      <c r="Y2292" s="166"/>
      <c r="Z2292" s="166"/>
      <c r="AA2292" s="166"/>
      <c r="AB2292" s="166"/>
      <c r="AC2292" s="166"/>
      <c r="AD2292" s="166"/>
      <c r="AE2292" s="166"/>
      <c r="AF2292" s="166"/>
      <c r="AG2292" s="166"/>
      <c r="AH2292" s="166"/>
      <c r="AI2292" s="166"/>
    </row>
    <row r="2293" spans="7:35" x14ac:dyDescent="0.25">
      <c r="G2293" s="165"/>
      <c r="H2293" s="166"/>
      <c r="I2293" s="167"/>
      <c r="J2293" s="167"/>
      <c r="K2293" s="166"/>
      <c r="L2293" s="166"/>
      <c r="M2293" s="166"/>
      <c r="N2293" s="166"/>
      <c r="O2293" s="166"/>
      <c r="P2293" s="166"/>
      <c r="Q2293" s="166"/>
      <c r="R2293" s="166"/>
      <c r="S2293" s="166"/>
      <c r="T2293" s="166"/>
      <c r="U2293" s="166"/>
      <c r="V2293" s="166"/>
      <c r="W2293" s="166"/>
      <c r="X2293" s="166"/>
      <c r="Y2293" s="166"/>
      <c r="Z2293" s="166"/>
      <c r="AA2293" s="166"/>
      <c r="AB2293" s="166"/>
      <c r="AC2293" s="166"/>
      <c r="AD2293" s="166"/>
      <c r="AE2293" s="166"/>
      <c r="AF2293" s="166"/>
      <c r="AG2293" s="166"/>
      <c r="AH2293" s="166"/>
      <c r="AI2293" s="166"/>
    </row>
    <row r="2294" spans="7:35" x14ac:dyDescent="0.25">
      <c r="G2294" s="165"/>
      <c r="H2294" s="166"/>
      <c r="I2294" s="167"/>
      <c r="J2294" s="167"/>
      <c r="K2294" s="166"/>
      <c r="L2294" s="166"/>
      <c r="M2294" s="166"/>
      <c r="N2294" s="166"/>
      <c r="O2294" s="166"/>
      <c r="P2294" s="166"/>
      <c r="Q2294" s="166"/>
      <c r="R2294" s="166"/>
      <c r="S2294" s="166"/>
      <c r="T2294" s="166"/>
      <c r="U2294" s="166"/>
      <c r="V2294" s="166"/>
      <c r="W2294" s="166"/>
      <c r="X2294" s="166"/>
      <c r="Y2294" s="166"/>
      <c r="Z2294" s="166"/>
      <c r="AA2294" s="166"/>
      <c r="AB2294" s="166"/>
      <c r="AC2294" s="166"/>
      <c r="AD2294" s="166"/>
      <c r="AE2294" s="166"/>
      <c r="AF2294" s="166"/>
      <c r="AG2294" s="166"/>
      <c r="AH2294" s="166"/>
      <c r="AI2294" s="166"/>
    </row>
    <row r="2295" spans="7:35" x14ac:dyDescent="0.25">
      <c r="G2295" s="165"/>
      <c r="H2295" s="166"/>
      <c r="I2295" s="167"/>
      <c r="J2295" s="167"/>
      <c r="K2295" s="166"/>
      <c r="L2295" s="166"/>
      <c r="M2295" s="166"/>
      <c r="N2295" s="166"/>
      <c r="O2295" s="166"/>
      <c r="P2295" s="166"/>
      <c r="Q2295" s="166"/>
      <c r="R2295" s="166"/>
      <c r="S2295" s="166"/>
      <c r="T2295" s="166"/>
      <c r="U2295" s="166"/>
      <c r="V2295" s="166"/>
      <c r="W2295" s="166"/>
      <c r="X2295" s="166"/>
      <c r="Y2295" s="166"/>
      <c r="Z2295" s="166"/>
      <c r="AA2295" s="166"/>
      <c r="AB2295" s="166"/>
      <c r="AC2295" s="166"/>
      <c r="AD2295" s="166"/>
      <c r="AE2295" s="166"/>
      <c r="AF2295" s="166"/>
      <c r="AG2295" s="166"/>
      <c r="AH2295" s="166"/>
      <c r="AI2295" s="166"/>
    </row>
    <row r="2296" spans="7:35" x14ac:dyDescent="0.25">
      <c r="G2296" s="165"/>
      <c r="H2296" s="166"/>
      <c r="I2296" s="167"/>
      <c r="J2296" s="167"/>
      <c r="K2296" s="166"/>
      <c r="L2296" s="166"/>
      <c r="M2296" s="166"/>
      <c r="N2296" s="166"/>
      <c r="O2296" s="166"/>
      <c r="P2296" s="166"/>
      <c r="Q2296" s="166"/>
      <c r="R2296" s="166"/>
      <c r="S2296" s="166"/>
      <c r="T2296" s="166"/>
      <c r="U2296" s="166"/>
      <c r="V2296" s="166"/>
      <c r="W2296" s="166"/>
      <c r="X2296" s="166"/>
      <c r="Y2296" s="166"/>
      <c r="Z2296" s="166"/>
      <c r="AA2296" s="166"/>
      <c r="AB2296" s="166"/>
      <c r="AC2296" s="166"/>
      <c r="AD2296" s="166"/>
      <c r="AE2296" s="166"/>
      <c r="AF2296" s="166"/>
      <c r="AG2296" s="166"/>
      <c r="AH2296" s="166"/>
      <c r="AI2296" s="166"/>
    </row>
    <row r="2297" spans="7:35" x14ac:dyDescent="0.25">
      <c r="G2297" s="165"/>
      <c r="H2297" s="166"/>
      <c r="I2297" s="167"/>
      <c r="J2297" s="167"/>
      <c r="K2297" s="166"/>
      <c r="L2297" s="166"/>
      <c r="M2297" s="166"/>
      <c r="N2297" s="166"/>
      <c r="O2297" s="166"/>
      <c r="P2297" s="166"/>
      <c r="Q2297" s="166"/>
      <c r="R2297" s="166"/>
      <c r="S2297" s="166"/>
      <c r="T2297" s="166"/>
      <c r="U2297" s="166"/>
      <c r="V2297" s="166"/>
      <c r="W2297" s="166"/>
      <c r="X2297" s="166"/>
      <c r="Y2297" s="166"/>
      <c r="Z2297" s="166"/>
      <c r="AA2297" s="166"/>
      <c r="AB2297" s="166"/>
      <c r="AC2297" s="166"/>
      <c r="AD2297" s="166"/>
      <c r="AE2297" s="166"/>
      <c r="AF2297" s="166"/>
      <c r="AG2297" s="166"/>
      <c r="AH2297" s="166"/>
      <c r="AI2297" s="166"/>
    </row>
    <row r="2298" spans="7:35" x14ac:dyDescent="0.25">
      <c r="G2298" s="165"/>
      <c r="H2298" s="166"/>
      <c r="I2298" s="167"/>
      <c r="J2298" s="167"/>
      <c r="K2298" s="166"/>
      <c r="L2298" s="166"/>
      <c r="M2298" s="166"/>
      <c r="N2298" s="166"/>
      <c r="O2298" s="166"/>
      <c r="P2298" s="166"/>
      <c r="Q2298" s="166"/>
      <c r="R2298" s="166"/>
      <c r="S2298" s="166"/>
      <c r="T2298" s="166"/>
      <c r="U2298" s="166"/>
      <c r="V2298" s="166"/>
      <c r="W2298" s="166"/>
      <c r="X2298" s="166"/>
      <c r="Y2298" s="166"/>
      <c r="Z2298" s="166"/>
      <c r="AA2298" s="166"/>
      <c r="AB2298" s="166"/>
      <c r="AC2298" s="166"/>
      <c r="AD2298" s="166"/>
      <c r="AE2298" s="166"/>
      <c r="AF2298" s="166"/>
      <c r="AG2298" s="166"/>
      <c r="AH2298" s="166"/>
      <c r="AI2298" s="166"/>
    </row>
    <row r="2299" spans="7:35" x14ac:dyDescent="0.25">
      <c r="G2299" s="165"/>
      <c r="H2299" s="166"/>
      <c r="I2299" s="167"/>
      <c r="J2299" s="167"/>
      <c r="K2299" s="166"/>
      <c r="L2299" s="166"/>
      <c r="M2299" s="166"/>
      <c r="N2299" s="166"/>
      <c r="O2299" s="166"/>
      <c r="P2299" s="166"/>
      <c r="Q2299" s="166"/>
      <c r="R2299" s="166"/>
      <c r="S2299" s="166"/>
      <c r="T2299" s="166"/>
      <c r="U2299" s="166"/>
      <c r="V2299" s="166"/>
      <c r="W2299" s="166"/>
      <c r="X2299" s="166"/>
      <c r="Y2299" s="166"/>
      <c r="Z2299" s="166"/>
      <c r="AA2299" s="166"/>
      <c r="AB2299" s="166"/>
      <c r="AC2299" s="166"/>
      <c r="AD2299" s="166"/>
      <c r="AE2299" s="166"/>
      <c r="AF2299" s="166"/>
      <c r="AG2299" s="166"/>
      <c r="AH2299" s="166"/>
      <c r="AI2299" s="166"/>
    </row>
    <row r="2300" spans="7:35" x14ac:dyDescent="0.25">
      <c r="G2300" s="165"/>
      <c r="H2300" s="166"/>
      <c r="I2300" s="167"/>
      <c r="J2300" s="167"/>
      <c r="K2300" s="166"/>
      <c r="L2300" s="166"/>
      <c r="M2300" s="166"/>
      <c r="N2300" s="166"/>
      <c r="O2300" s="166"/>
      <c r="P2300" s="166"/>
      <c r="Q2300" s="166"/>
      <c r="R2300" s="166"/>
      <c r="S2300" s="166"/>
      <c r="T2300" s="166"/>
      <c r="U2300" s="166"/>
      <c r="V2300" s="166"/>
      <c r="W2300" s="166"/>
      <c r="X2300" s="166"/>
      <c r="Y2300" s="166"/>
      <c r="Z2300" s="166"/>
      <c r="AA2300" s="166"/>
      <c r="AB2300" s="166"/>
      <c r="AC2300" s="166"/>
      <c r="AD2300" s="166"/>
      <c r="AE2300" s="166"/>
      <c r="AF2300" s="166"/>
      <c r="AG2300" s="166"/>
      <c r="AH2300" s="166"/>
      <c r="AI2300" s="166"/>
    </row>
    <row r="2301" spans="7:35" x14ac:dyDescent="0.25">
      <c r="G2301" s="165"/>
      <c r="H2301" s="166"/>
      <c r="I2301" s="167"/>
      <c r="J2301" s="167"/>
      <c r="K2301" s="166"/>
      <c r="L2301" s="166"/>
      <c r="M2301" s="166"/>
      <c r="N2301" s="166"/>
      <c r="O2301" s="166"/>
      <c r="P2301" s="166"/>
      <c r="Q2301" s="166"/>
      <c r="R2301" s="166"/>
      <c r="S2301" s="166"/>
      <c r="T2301" s="166"/>
      <c r="U2301" s="166"/>
      <c r="V2301" s="166"/>
      <c r="W2301" s="166"/>
      <c r="X2301" s="166"/>
      <c r="Y2301" s="166"/>
      <c r="Z2301" s="166"/>
      <c r="AA2301" s="166"/>
      <c r="AB2301" s="166"/>
      <c r="AC2301" s="166"/>
      <c r="AD2301" s="166"/>
      <c r="AE2301" s="166"/>
      <c r="AF2301" s="166"/>
      <c r="AG2301" s="166"/>
      <c r="AH2301" s="166"/>
      <c r="AI2301" s="166"/>
    </row>
    <row r="2302" spans="7:35" x14ac:dyDescent="0.25">
      <c r="G2302" s="165"/>
      <c r="H2302" s="166"/>
      <c r="I2302" s="167"/>
      <c r="J2302" s="167"/>
      <c r="K2302" s="166"/>
      <c r="L2302" s="166"/>
      <c r="M2302" s="166"/>
      <c r="N2302" s="166"/>
      <c r="O2302" s="166"/>
      <c r="P2302" s="166"/>
      <c r="Q2302" s="166"/>
      <c r="R2302" s="166"/>
      <c r="S2302" s="166"/>
      <c r="T2302" s="166"/>
      <c r="U2302" s="166"/>
      <c r="V2302" s="166"/>
      <c r="W2302" s="166"/>
      <c r="X2302" s="166"/>
      <c r="Y2302" s="166"/>
      <c r="Z2302" s="166"/>
      <c r="AA2302" s="166"/>
      <c r="AB2302" s="166"/>
      <c r="AC2302" s="166"/>
      <c r="AD2302" s="166"/>
      <c r="AE2302" s="166"/>
      <c r="AF2302" s="166"/>
      <c r="AG2302" s="166"/>
      <c r="AH2302" s="166"/>
      <c r="AI2302" s="166"/>
    </row>
    <row r="2303" spans="7:35" x14ac:dyDescent="0.25">
      <c r="G2303" s="165"/>
      <c r="H2303" s="166"/>
      <c r="I2303" s="167"/>
      <c r="J2303" s="167"/>
      <c r="K2303" s="166"/>
      <c r="L2303" s="166"/>
      <c r="M2303" s="166"/>
      <c r="N2303" s="166"/>
      <c r="O2303" s="166"/>
      <c r="P2303" s="166"/>
      <c r="Q2303" s="166"/>
      <c r="R2303" s="166"/>
      <c r="S2303" s="166"/>
      <c r="T2303" s="166"/>
      <c r="U2303" s="166"/>
      <c r="V2303" s="166"/>
      <c r="W2303" s="166"/>
      <c r="X2303" s="166"/>
      <c r="Y2303" s="166"/>
      <c r="Z2303" s="166"/>
      <c r="AA2303" s="166"/>
      <c r="AB2303" s="166"/>
      <c r="AC2303" s="166"/>
      <c r="AD2303" s="166"/>
      <c r="AE2303" s="166"/>
      <c r="AF2303" s="166"/>
      <c r="AG2303" s="166"/>
      <c r="AH2303" s="166"/>
      <c r="AI2303" s="166"/>
    </row>
    <row r="2304" spans="7:35" x14ac:dyDescent="0.25">
      <c r="G2304" s="165"/>
      <c r="H2304" s="166"/>
      <c r="I2304" s="167"/>
      <c r="J2304" s="167"/>
      <c r="K2304" s="166"/>
      <c r="L2304" s="166"/>
      <c r="M2304" s="166"/>
      <c r="N2304" s="166"/>
      <c r="O2304" s="166"/>
      <c r="P2304" s="166"/>
      <c r="Q2304" s="166"/>
      <c r="R2304" s="166"/>
      <c r="S2304" s="166"/>
      <c r="T2304" s="166"/>
      <c r="U2304" s="166"/>
      <c r="V2304" s="166"/>
      <c r="W2304" s="166"/>
      <c r="X2304" s="166"/>
      <c r="Y2304" s="166"/>
      <c r="Z2304" s="166"/>
      <c r="AA2304" s="166"/>
      <c r="AB2304" s="166"/>
      <c r="AC2304" s="166"/>
      <c r="AD2304" s="166"/>
      <c r="AE2304" s="166"/>
      <c r="AF2304" s="166"/>
      <c r="AG2304" s="166"/>
      <c r="AH2304" s="166"/>
      <c r="AI2304" s="166"/>
    </row>
    <row r="2305" spans="7:35" x14ac:dyDescent="0.25">
      <c r="G2305" s="165"/>
      <c r="H2305" s="166"/>
      <c r="I2305" s="167"/>
      <c r="J2305" s="167"/>
      <c r="K2305" s="166"/>
      <c r="L2305" s="166"/>
      <c r="M2305" s="166"/>
      <c r="N2305" s="166"/>
      <c r="O2305" s="166"/>
      <c r="P2305" s="166"/>
      <c r="Q2305" s="166"/>
      <c r="R2305" s="166"/>
      <c r="S2305" s="166"/>
      <c r="T2305" s="166"/>
      <c r="U2305" s="166"/>
      <c r="V2305" s="166"/>
      <c r="W2305" s="166"/>
      <c r="X2305" s="166"/>
      <c r="Y2305" s="166"/>
      <c r="Z2305" s="166"/>
      <c r="AA2305" s="166"/>
      <c r="AB2305" s="166"/>
      <c r="AC2305" s="166"/>
      <c r="AD2305" s="166"/>
      <c r="AE2305" s="166"/>
      <c r="AF2305" s="166"/>
      <c r="AG2305" s="166"/>
      <c r="AH2305" s="166"/>
      <c r="AI2305" s="166"/>
    </row>
    <row r="2306" spans="7:35" x14ac:dyDescent="0.25">
      <c r="G2306" s="165"/>
      <c r="H2306" s="166"/>
      <c r="I2306" s="167"/>
      <c r="J2306" s="167"/>
      <c r="K2306" s="166"/>
      <c r="L2306" s="166"/>
      <c r="M2306" s="166"/>
      <c r="N2306" s="166"/>
      <c r="O2306" s="166"/>
      <c r="P2306" s="166"/>
      <c r="Q2306" s="166"/>
      <c r="R2306" s="166"/>
      <c r="S2306" s="166"/>
      <c r="T2306" s="166"/>
      <c r="U2306" s="166"/>
      <c r="V2306" s="166"/>
      <c r="W2306" s="166"/>
      <c r="X2306" s="166"/>
      <c r="Y2306" s="166"/>
      <c r="Z2306" s="166"/>
      <c r="AA2306" s="166"/>
      <c r="AB2306" s="166"/>
      <c r="AC2306" s="166"/>
      <c r="AD2306" s="166"/>
      <c r="AE2306" s="166"/>
      <c r="AF2306" s="166"/>
      <c r="AG2306" s="166"/>
      <c r="AH2306" s="166"/>
      <c r="AI2306" s="166"/>
    </row>
    <row r="2307" spans="7:35" x14ac:dyDescent="0.25">
      <c r="G2307" s="165"/>
      <c r="H2307" s="166"/>
      <c r="I2307" s="167"/>
      <c r="J2307" s="167"/>
      <c r="K2307" s="166"/>
      <c r="L2307" s="166"/>
      <c r="M2307" s="166"/>
      <c r="N2307" s="166"/>
      <c r="O2307" s="166"/>
      <c r="P2307" s="166"/>
      <c r="Q2307" s="166"/>
      <c r="R2307" s="166"/>
      <c r="S2307" s="166"/>
      <c r="T2307" s="166"/>
      <c r="U2307" s="166"/>
      <c r="V2307" s="166"/>
      <c r="W2307" s="166"/>
      <c r="X2307" s="166"/>
      <c r="Y2307" s="166"/>
      <c r="Z2307" s="166"/>
      <c r="AA2307" s="166"/>
      <c r="AB2307" s="166"/>
      <c r="AC2307" s="166"/>
      <c r="AD2307" s="166"/>
      <c r="AE2307" s="166"/>
      <c r="AF2307" s="166"/>
      <c r="AG2307" s="166"/>
      <c r="AH2307" s="166"/>
      <c r="AI2307" s="166"/>
    </row>
    <row r="2308" spans="7:35" x14ac:dyDescent="0.25">
      <c r="G2308" s="165"/>
      <c r="H2308" s="166"/>
      <c r="I2308" s="167"/>
      <c r="J2308" s="167"/>
      <c r="K2308" s="166"/>
      <c r="L2308" s="166"/>
      <c r="M2308" s="166"/>
      <c r="N2308" s="166"/>
      <c r="O2308" s="166"/>
      <c r="P2308" s="166"/>
      <c r="Q2308" s="166"/>
      <c r="R2308" s="166"/>
      <c r="S2308" s="166"/>
      <c r="T2308" s="166"/>
      <c r="U2308" s="166"/>
      <c r="V2308" s="166"/>
      <c r="W2308" s="166"/>
      <c r="X2308" s="166"/>
      <c r="Y2308" s="166"/>
      <c r="Z2308" s="166"/>
      <c r="AA2308" s="166"/>
      <c r="AB2308" s="166"/>
      <c r="AC2308" s="166"/>
      <c r="AD2308" s="166"/>
      <c r="AE2308" s="166"/>
      <c r="AF2308" s="166"/>
      <c r="AG2308" s="166"/>
      <c r="AH2308" s="166"/>
      <c r="AI2308" s="166"/>
    </row>
    <row r="2309" spans="7:35" x14ac:dyDescent="0.25">
      <c r="G2309" s="165"/>
      <c r="H2309" s="166"/>
      <c r="I2309" s="167"/>
      <c r="J2309" s="167"/>
      <c r="K2309" s="166"/>
      <c r="L2309" s="166"/>
      <c r="M2309" s="166"/>
      <c r="N2309" s="166"/>
      <c r="O2309" s="166"/>
      <c r="P2309" s="166"/>
      <c r="Q2309" s="166"/>
      <c r="R2309" s="166"/>
      <c r="S2309" s="166"/>
      <c r="T2309" s="166"/>
      <c r="U2309" s="166"/>
      <c r="V2309" s="166"/>
      <c r="W2309" s="166"/>
      <c r="X2309" s="166"/>
      <c r="Y2309" s="166"/>
      <c r="Z2309" s="166"/>
      <c r="AA2309" s="166"/>
      <c r="AB2309" s="166"/>
      <c r="AC2309" s="166"/>
      <c r="AD2309" s="166"/>
      <c r="AE2309" s="166"/>
      <c r="AF2309" s="166"/>
      <c r="AG2309" s="166"/>
      <c r="AH2309" s="166"/>
      <c r="AI2309" s="166"/>
    </row>
    <row r="2310" spans="7:35" x14ac:dyDescent="0.25">
      <c r="G2310" s="165"/>
      <c r="H2310" s="166"/>
      <c r="I2310" s="167"/>
      <c r="J2310" s="167"/>
      <c r="K2310" s="166"/>
      <c r="L2310" s="166"/>
      <c r="M2310" s="166"/>
      <c r="N2310" s="166"/>
      <c r="O2310" s="166"/>
      <c r="P2310" s="166"/>
      <c r="Q2310" s="166"/>
      <c r="R2310" s="166"/>
      <c r="S2310" s="166"/>
      <c r="T2310" s="166"/>
      <c r="U2310" s="166"/>
      <c r="V2310" s="166"/>
      <c r="W2310" s="166"/>
      <c r="X2310" s="166"/>
      <c r="Y2310" s="166"/>
      <c r="Z2310" s="166"/>
      <c r="AA2310" s="166"/>
      <c r="AB2310" s="166"/>
      <c r="AC2310" s="166"/>
      <c r="AD2310" s="166"/>
      <c r="AE2310" s="166"/>
      <c r="AF2310" s="166"/>
      <c r="AG2310" s="166"/>
      <c r="AH2310" s="166"/>
      <c r="AI2310" s="166"/>
    </row>
    <row r="2311" spans="7:35" x14ac:dyDescent="0.25">
      <c r="G2311" s="165"/>
      <c r="H2311" s="166"/>
      <c r="I2311" s="167"/>
      <c r="J2311" s="167"/>
      <c r="K2311" s="166"/>
      <c r="L2311" s="166"/>
      <c r="M2311" s="166"/>
      <c r="N2311" s="166"/>
      <c r="O2311" s="166"/>
      <c r="P2311" s="166"/>
      <c r="Q2311" s="166"/>
      <c r="R2311" s="166"/>
      <c r="S2311" s="166"/>
      <c r="T2311" s="166"/>
      <c r="U2311" s="166"/>
      <c r="V2311" s="166"/>
      <c r="W2311" s="166"/>
      <c r="X2311" s="166"/>
      <c r="Y2311" s="166"/>
      <c r="Z2311" s="166"/>
      <c r="AA2311" s="166"/>
      <c r="AB2311" s="166"/>
      <c r="AC2311" s="166"/>
      <c r="AD2311" s="166"/>
      <c r="AE2311" s="166"/>
      <c r="AF2311" s="166"/>
      <c r="AG2311" s="166"/>
      <c r="AH2311" s="166"/>
      <c r="AI2311" s="166"/>
    </row>
    <row r="2312" spans="7:35" x14ac:dyDescent="0.25">
      <c r="G2312" s="165"/>
      <c r="H2312" s="166"/>
      <c r="I2312" s="167"/>
      <c r="J2312" s="167"/>
      <c r="K2312" s="166"/>
      <c r="L2312" s="166"/>
      <c r="M2312" s="166"/>
      <c r="N2312" s="166"/>
      <c r="O2312" s="166"/>
      <c r="P2312" s="166"/>
      <c r="Q2312" s="166"/>
      <c r="R2312" s="166"/>
      <c r="S2312" s="166"/>
      <c r="T2312" s="166"/>
      <c r="U2312" s="166"/>
      <c r="V2312" s="166"/>
      <c r="W2312" s="166"/>
      <c r="X2312" s="166"/>
      <c r="Y2312" s="166"/>
      <c r="Z2312" s="166"/>
      <c r="AA2312" s="166"/>
      <c r="AB2312" s="166"/>
      <c r="AC2312" s="166"/>
      <c r="AD2312" s="166"/>
      <c r="AE2312" s="166"/>
      <c r="AF2312" s="166"/>
      <c r="AG2312" s="166"/>
      <c r="AH2312" s="166"/>
      <c r="AI2312" s="166"/>
    </row>
    <row r="2313" spans="7:35" x14ac:dyDescent="0.25">
      <c r="G2313" s="165"/>
      <c r="H2313" s="166"/>
      <c r="I2313" s="167"/>
      <c r="J2313" s="167"/>
      <c r="K2313" s="166"/>
      <c r="L2313" s="166"/>
      <c r="M2313" s="166"/>
      <c r="N2313" s="166"/>
      <c r="O2313" s="166"/>
      <c r="P2313" s="166"/>
      <c r="Q2313" s="166"/>
      <c r="R2313" s="166"/>
      <c r="S2313" s="166"/>
      <c r="T2313" s="166"/>
      <c r="U2313" s="166"/>
      <c r="V2313" s="166"/>
      <c r="W2313" s="166"/>
      <c r="X2313" s="166"/>
      <c r="Y2313" s="166"/>
      <c r="Z2313" s="166"/>
      <c r="AA2313" s="166"/>
      <c r="AB2313" s="166"/>
      <c r="AC2313" s="166"/>
      <c r="AD2313" s="166"/>
      <c r="AE2313" s="166"/>
      <c r="AF2313" s="166"/>
      <c r="AG2313" s="166"/>
      <c r="AH2313" s="166"/>
      <c r="AI2313" s="166"/>
    </row>
    <row r="2314" spans="7:35" x14ac:dyDescent="0.25">
      <c r="G2314" s="165"/>
      <c r="H2314" s="166"/>
      <c r="I2314" s="167"/>
      <c r="J2314" s="167"/>
      <c r="K2314" s="166"/>
      <c r="L2314" s="166"/>
      <c r="M2314" s="166"/>
      <c r="N2314" s="166"/>
      <c r="O2314" s="166"/>
      <c r="P2314" s="166"/>
      <c r="Q2314" s="166"/>
      <c r="R2314" s="166"/>
      <c r="S2314" s="166"/>
      <c r="T2314" s="166"/>
      <c r="U2314" s="166"/>
      <c r="V2314" s="166"/>
      <c r="W2314" s="166"/>
      <c r="X2314" s="166"/>
      <c r="Y2314" s="166"/>
      <c r="Z2314" s="166"/>
      <c r="AA2314" s="166"/>
      <c r="AB2314" s="166"/>
      <c r="AC2314" s="166"/>
      <c r="AD2314" s="166"/>
      <c r="AE2314" s="166"/>
      <c r="AF2314" s="166"/>
      <c r="AG2314" s="166"/>
      <c r="AH2314" s="166"/>
      <c r="AI2314" s="166"/>
    </row>
    <row r="2315" spans="7:35" x14ac:dyDescent="0.25">
      <c r="G2315" s="165"/>
      <c r="H2315" s="166"/>
      <c r="I2315" s="167"/>
      <c r="J2315" s="167"/>
      <c r="K2315" s="166"/>
      <c r="L2315" s="166"/>
      <c r="M2315" s="166"/>
      <c r="N2315" s="166"/>
      <c r="O2315" s="166"/>
      <c r="P2315" s="166"/>
      <c r="Q2315" s="166"/>
      <c r="R2315" s="166"/>
      <c r="S2315" s="166"/>
      <c r="T2315" s="166"/>
      <c r="U2315" s="166"/>
      <c r="V2315" s="166"/>
      <c r="W2315" s="166"/>
      <c r="X2315" s="166"/>
      <c r="Y2315" s="166"/>
      <c r="Z2315" s="166"/>
      <c r="AA2315" s="166"/>
      <c r="AB2315" s="166"/>
      <c r="AC2315" s="166"/>
      <c r="AD2315" s="166"/>
      <c r="AE2315" s="166"/>
      <c r="AF2315" s="166"/>
      <c r="AG2315" s="166"/>
      <c r="AH2315" s="166"/>
      <c r="AI2315" s="166"/>
    </row>
    <row r="2316" spans="7:35" x14ac:dyDescent="0.25">
      <c r="G2316" s="165"/>
      <c r="H2316" s="166"/>
      <c r="I2316" s="167"/>
      <c r="J2316" s="167"/>
      <c r="K2316" s="166"/>
      <c r="L2316" s="166"/>
      <c r="M2316" s="166"/>
      <c r="N2316" s="166"/>
      <c r="O2316" s="166"/>
      <c r="P2316" s="166"/>
      <c r="Q2316" s="166"/>
      <c r="R2316" s="166"/>
      <c r="S2316" s="166"/>
      <c r="T2316" s="166"/>
      <c r="U2316" s="166"/>
      <c r="V2316" s="166"/>
      <c r="W2316" s="166"/>
      <c r="X2316" s="166"/>
      <c r="Y2316" s="166"/>
      <c r="Z2316" s="166"/>
      <c r="AA2316" s="166"/>
      <c r="AB2316" s="166"/>
      <c r="AC2316" s="166"/>
      <c r="AD2316" s="166"/>
      <c r="AE2316" s="166"/>
      <c r="AF2316" s="166"/>
      <c r="AG2316" s="166"/>
      <c r="AH2316" s="166"/>
      <c r="AI2316" s="166"/>
    </row>
    <row r="2317" spans="7:35" x14ac:dyDescent="0.25">
      <c r="G2317" s="165"/>
      <c r="H2317" s="166"/>
      <c r="I2317" s="167"/>
      <c r="J2317" s="167"/>
      <c r="K2317" s="166"/>
      <c r="L2317" s="166"/>
      <c r="M2317" s="166"/>
      <c r="N2317" s="166"/>
      <c r="O2317" s="166"/>
      <c r="P2317" s="166"/>
      <c r="Q2317" s="166"/>
      <c r="R2317" s="166"/>
      <c r="S2317" s="166"/>
      <c r="T2317" s="166"/>
      <c r="U2317" s="166"/>
      <c r="V2317" s="166"/>
      <c r="W2317" s="166"/>
      <c r="X2317" s="166"/>
      <c r="Y2317" s="166"/>
      <c r="Z2317" s="166"/>
      <c r="AA2317" s="166"/>
      <c r="AB2317" s="166"/>
      <c r="AC2317" s="166"/>
      <c r="AD2317" s="166"/>
      <c r="AE2317" s="166"/>
      <c r="AF2317" s="166"/>
      <c r="AG2317" s="166"/>
      <c r="AH2317" s="166"/>
      <c r="AI2317" s="166"/>
    </row>
    <row r="2318" spans="7:35" x14ac:dyDescent="0.25">
      <c r="G2318" s="165"/>
      <c r="H2318" s="166"/>
      <c r="I2318" s="167"/>
      <c r="J2318" s="167"/>
      <c r="K2318" s="166"/>
      <c r="L2318" s="166"/>
      <c r="M2318" s="166"/>
      <c r="N2318" s="166"/>
      <c r="O2318" s="166"/>
      <c r="P2318" s="166"/>
      <c r="Q2318" s="166"/>
      <c r="R2318" s="166"/>
      <c r="S2318" s="166"/>
      <c r="T2318" s="166"/>
      <c r="U2318" s="166"/>
      <c r="V2318" s="166"/>
      <c r="W2318" s="166"/>
      <c r="X2318" s="166"/>
      <c r="Y2318" s="166"/>
      <c r="Z2318" s="166"/>
      <c r="AA2318" s="166"/>
      <c r="AB2318" s="166"/>
      <c r="AC2318" s="166"/>
      <c r="AD2318" s="166"/>
      <c r="AE2318" s="166"/>
      <c r="AF2318" s="166"/>
      <c r="AG2318" s="166"/>
      <c r="AH2318" s="166"/>
      <c r="AI2318" s="166"/>
    </row>
    <row r="2319" spans="7:35" x14ac:dyDescent="0.25">
      <c r="G2319" s="165"/>
      <c r="H2319" s="166"/>
      <c r="I2319" s="167"/>
      <c r="J2319" s="167"/>
      <c r="K2319" s="166"/>
      <c r="L2319" s="166"/>
      <c r="M2319" s="166"/>
      <c r="N2319" s="166"/>
      <c r="O2319" s="166"/>
      <c r="P2319" s="166"/>
      <c r="Q2319" s="166"/>
      <c r="R2319" s="166"/>
      <c r="S2319" s="166"/>
      <c r="T2319" s="166"/>
      <c r="U2319" s="166"/>
      <c r="V2319" s="166"/>
      <c r="W2319" s="166"/>
      <c r="X2319" s="166"/>
      <c r="Y2319" s="166"/>
      <c r="Z2319" s="166"/>
      <c r="AA2319" s="166"/>
      <c r="AB2319" s="166"/>
      <c r="AC2319" s="166"/>
      <c r="AD2319" s="166"/>
      <c r="AE2319" s="166"/>
      <c r="AF2319" s="166"/>
      <c r="AG2319" s="166"/>
      <c r="AH2319" s="166"/>
      <c r="AI2319" s="166"/>
    </row>
    <row r="2320" spans="7:35" x14ac:dyDescent="0.25">
      <c r="G2320" s="165"/>
      <c r="H2320" s="166"/>
      <c r="I2320" s="167"/>
      <c r="J2320" s="167"/>
      <c r="K2320" s="166"/>
      <c r="L2320" s="166"/>
      <c r="M2320" s="166"/>
      <c r="N2320" s="166"/>
      <c r="O2320" s="166"/>
      <c r="P2320" s="166"/>
      <c r="Q2320" s="166"/>
      <c r="R2320" s="166"/>
      <c r="S2320" s="166"/>
      <c r="T2320" s="166"/>
      <c r="U2320" s="166"/>
      <c r="V2320" s="166"/>
      <c r="W2320" s="166"/>
      <c r="X2320" s="166"/>
      <c r="Y2320" s="166"/>
      <c r="Z2320" s="166"/>
      <c r="AA2320" s="166"/>
      <c r="AB2320" s="166"/>
      <c r="AC2320" s="166"/>
      <c r="AD2320" s="166"/>
      <c r="AE2320" s="166"/>
      <c r="AF2320" s="166"/>
      <c r="AG2320" s="166"/>
      <c r="AH2320" s="166"/>
      <c r="AI2320" s="166"/>
    </row>
    <row r="2321" spans="7:35" x14ac:dyDescent="0.25">
      <c r="G2321" s="165"/>
      <c r="H2321" s="166"/>
      <c r="I2321" s="167"/>
      <c r="J2321" s="167"/>
      <c r="K2321" s="166"/>
      <c r="L2321" s="166"/>
      <c r="M2321" s="166"/>
      <c r="N2321" s="166"/>
      <c r="O2321" s="166"/>
      <c r="P2321" s="166"/>
      <c r="Q2321" s="166"/>
      <c r="R2321" s="166"/>
      <c r="S2321" s="166"/>
      <c r="T2321" s="166"/>
      <c r="U2321" s="166"/>
      <c r="V2321" s="166"/>
      <c r="W2321" s="166"/>
      <c r="X2321" s="166"/>
      <c r="Y2321" s="166"/>
      <c r="Z2321" s="166"/>
      <c r="AA2321" s="166"/>
      <c r="AB2321" s="166"/>
      <c r="AC2321" s="166"/>
      <c r="AD2321" s="166"/>
      <c r="AE2321" s="166"/>
      <c r="AF2321" s="166"/>
      <c r="AG2321" s="166"/>
      <c r="AH2321" s="166"/>
      <c r="AI2321" s="166"/>
    </row>
    <row r="2322" spans="7:35" x14ac:dyDescent="0.25">
      <c r="G2322" s="165"/>
      <c r="H2322" s="166"/>
      <c r="I2322" s="167"/>
      <c r="J2322" s="167"/>
      <c r="K2322" s="166"/>
      <c r="L2322" s="166"/>
      <c r="M2322" s="166"/>
      <c r="N2322" s="166"/>
      <c r="O2322" s="166"/>
      <c r="P2322" s="166"/>
      <c r="Q2322" s="166"/>
      <c r="R2322" s="166"/>
      <c r="S2322" s="166"/>
      <c r="T2322" s="166"/>
      <c r="U2322" s="166"/>
      <c r="V2322" s="166"/>
      <c r="W2322" s="166"/>
      <c r="X2322" s="166"/>
      <c r="Y2322" s="166"/>
      <c r="Z2322" s="166"/>
      <c r="AA2322" s="166"/>
      <c r="AB2322" s="166"/>
      <c r="AC2322" s="166"/>
      <c r="AD2322" s="166"/>
      <c r="AE2322" s="166"/>
      <c r="AF2322" s="166"/>
      <c r="AG2322" s="166"/>
      <c r="AH2322" s="166"/>
      <c r="AI2322" s="166"/>
    </row>
    <row r="2323" spans="7:35" x14ac:dyDescent="0.25">
      <c r="G2323" s="165"/>
      <c r="H2323" s="166"/>
      <c r="I2323" s="167"/>
      <c r="J2323" s="167"/>
      <c r="K2323" s="166"/>
      <c r="L2323" s="166"/>
      <c r="M2323" s="166"/>
      <c r="N2323" s="166"/>
      <c r="O2323" s="166"/>
      <c r="P2323" s="166"/>
      <c r="Q2323" s="166"/>
      <c r="R2323" s="166"/>
      <c r="S2323" s="166"/>
      <c r="T2323" s="166"/>
      <c r="U2323" s="166"/>
      <c r="V2323" s="166"/>
      <c r="W2323" s="166"/>
      <c r="X2323" s="166"/>
      <c r="Y2323" s="166"/>
      <c r="Z2323" s="166"/>
      <c r="AA2323" s="166"/>
      <c r="AB2323" s="166"/>
      <c r="AC2323" s="166"/>
      <c r="AD2323" s="166"/>
      <c r="AE2323" s="166"/>
      <c r="AF2323" s="166"/>
      <c r="AG2323" s="166"/>
      <c r="AH2323" s="166"/>
      <c r="AI2323" s="166"/>
    </row>
    <row r="2324" spans="7:35" x14ac:dyDescent="0.25">
      <c r="G2324" s="165"/>
      <c r="H2324" s="166"/>
      <c r="I2324" s="167"/>
      <c r="J2324" s="167"/>
      <c r="K2324" s="166"/>
      <c r="L2324" s="166"/>
      <c r="M2324" s="166"/>
      <c r="N2324" s="166"/>
      <c r="O2324" s="166"/>
      <c r="P2324" s="166"/>
      <c r="Q2324" s="166"/>
      <c r="R2324" s="166"/>
      <c r="S2324" s="166"/>
      <c r="T2324" s="166"/>
      <c r="U2324" s="166"/>
      <c r="V2324" s="166"/>
      <c r="W2324" s="166"/>
      <c r="X2324" s="166"/>
      <c r="Y2324" s="166"/>
      <c r="Z2324" s="166"/>
      <c r="AA2324" s="166"/>
      <c r="AB2324" s="166"/>
      <c r="AC2324" s="166"/>
      <c r="AD2324" s="166"/>
      <c r="AE2324" s="166"/>
      <c r="AF2324" s="166"/>
      <c r="AG2324" s="166"/>
      <c r="AH2324" s="166"/>
      <c r="AI2324" s="166"/>
    </row>
    <row r="2325" spans="7:35" x14ac:dyDescent="0.25">
      <c r="G2325" s="165"/>
      <c r="H2325" s="166"/>
      <c r="I2325" s="167"/>
      <c r="J2325" s="167"/>
      <c r="K2325" s="166"/>
      <c r="L2325" s="166"/>
      <c r="M2325" s="166"/>
      <c r="N2325" s="166"/>
      <c r="O2325" s="166"/>
      <c r="P2325" s="166"/>
      <c r="Q2325" s="166"/>
      <c r="R2325" s="166"/>
      <c r="S2325" s="166"/>
      <c r="T2325" s="166"/>
      <c r="U2325" s="166"/>
      <c r="V2325" s="166"/>
      <c r="W2325" s="166"/>
      <c r="X2325" s="166"/>
      <c r="Y2325" s="166"/>
      <c r="Z2325" s="166"/>
      <c r="AA2325" s="166"/>
      <c r="AB2325" s="166"/>
      <c r="AC2325" s="166"/>
      <c r="AD2325" s="166"/>
      <c r="AE2325" s="166"/>
      <c r="AF2325" s="166"/>
      <c r="AG2325" s="166"/>
      <c r="AH2325" s="166"/>
      <c r="AI2325" s="166"/>
    </row>
    <row r="2326" spans="7:35" x14ac:dyDescent="0.25">
      <c r="G2326" s="165"/>
      <c r="H2326" s="166"/>
      <c r="I2326" s="167"/>
      <c r="J2326" s="167"/>
      <c r="K2326" s="166"/>
      <c r="L2326" s="166"/>
      <c r="M2326" s="166"/>
      <c r="N2326" s="166"/>
      <c r="O2326" s="166"/>
      <c r="P2326" s="166"/>
      <c r="Q2326" s="166"/>
      <c r="R2326" s="166"/>
      <c r="S2326" s="166"/>
      <c r="T2326" s="166"/>
      <c r="U2326" s="166"/>
      <c r="V2326" s="166"/>
      <c r="W2326" s="166"/>
      <c r="X2326" s="166"/>
      <c r="Y2326" s="166"/>
      <c r="Z2326" s="166"/>
      <c r="AA2326" s="166"/>
      <c r="AB2326" s="166"/>
      <c r="AC2326" s="166"/>
      <c r="AD2326" s="166"/>
      <c r="AE2326" s="166"/>
      <c r="AF2326" s="166"/>
      <c r="AG2326" s="166"/>
      <c r="AH2326" s="166"/>
      <c r="AI2326" s="166"/>
    </row>
    <row r="2327" spans="7:35" x14ac:dyDescent="0.25">
      <c r="G2327" s="165"/>
      <c r="H2327" s="166"/>
      <c r="I2327" s="167"/>
      <c r="J2327" s="167"/>
      <c r="K2327" s="166"/>
      <c r="L2327" s="166"/>
      <c r="M2327" s="166"/>
      <c r="N2327" s="166"/>
      <c r="O2327" s="166"/>
      <c r="P2327" s="166"/>
      <c r="Q2327" s="166"/>
      <c r="R2327" s="166"/>
      <c r="S2327" s="166"/>
      <c r="T2327" s="166"/>
      <c r="U2327" s="166"/>
      <c r="V2327" s="166"/>
      <c r="W2327" s="166"/>
      <c r="X2327" s="166"/>
      <c r="Y2327" s="166"/>
      <c r="Z2327" s="166"/>
      <c r="AA2327" s="166"/>
      <c r="AB2327" s="166"/>
      <c r="AC2327" s="166"/>
      <c r="AD2327" s="166"/>
      <c r="AE2327" s="166"/>
      <c r="AF2327" s="166"/>
      <c r="AG2327" s="166"/>
      <c r="AH2327" s="166"/>
      <c r="AI2327" s="166"/>
    </row>
    <row r="2328" spans="7:35" x14ac:dyDescent="0.25">
      <c r="G2328" s="165"/>
      <c r="H2328" s="166"/>
      <c r="I2328" s="167"/>
      <c r="J2328" s="167"/>
      <c r="K2328" s="166"/>
      <c r="L2328" s="166"/>
      <c r="M2328" s="166"/>
      <c r="N2328" s="166"/>
      <c r="O2328" s="166"/>
      <c r="P2328" s="166"/>
      <c r="Q2328" s="166"/>
      <c r="R2328" s="166"/>
      <c r="S2328" s="166"/>
      <c r="T2328" s="166"/>
      <c r="U2328" s="166"/>
      <c r="V2328" s="166"/>
      <c r="W2328" s="166"/>
      <c r="X2328" s="166"/>
      <c r="Y2328" s="166"/>
      <c r="Z2328" s="166"/>
      <c r="AA2328" s="166"/>
      <c r="AB2328" s="166"/>
      <c r="AC2328" s="166"/>
      <c r="AD2328" s="166"/>
      <c r="AE2328" s="166"/>
      <c r="AF2328" s="166"/>
      <c r="AG2328" s="166"/>
      <c r="AH2328" s="166"/>
      <c r="AI2328" s="166"/>
    </row>
    <row r="2329" spans="7:35" x14ac:dyDescent="0.25">
      <c r="G2329" s="165"/>
      <c r="H2329" s="166"/>
      <c r="I2329" s="167"/>
      <c r="J2329" s="167"/>
      <c r="K2329" s="166"/>
      <c r="L2329" s="166"/>
      <c r="M2329" s="166"/>
      <c r="N2329" s="166"/>
      <c r="O2329" s="166"/>
      <c r="P2329" s="166"/>
      <c r="Q2329" s="166"/>
      <c r="R2329" s="166"/>
      <c r="S2329" s="166"/>
      <c r="T2329" s="166"/>
      <c r="U2329" s="166"/>
      <c r="V2329" s="166"/>
      <c r="W2329" s="166"/>
      <c r="X2329" s="166"/>
      <c r="Y2329" s="166"/>
      <c r="Z2329" s="166"/>
      <c r="AA2329" s="166"/>
      <c r="AB2329" s="166"/>
      <c r="AC2329" s="166"/>
      <c r="AD2329" s="166"/>
      <c r="AE2329" s="166"/>
      <c r="AF2329" s="166"/>
      <c r="AG2329" s="166"/>
      <c r="AH2329" s="166"/>
      <c r="AI2329" s="166"/>
    </row>
    <row r="2330" spans="7:35" x14ac:dyDescent="0.25">
      <c r="G2330" s="165"/>
      <c r="H2330" s="166"/>
      <c r="I2330" s="167"/>
      <c r="J2330" s="167"/>
      <c r="K2330" s="166"/>
      <c r="L2330" s="166"/>
      <c r="M2330" s="166"/>
      <c r="N2330" s="166"/>
      <c r="O2330" s="166"/>
      <c r="P2330" s="166"/>
      <c r="Q2330" s="166"/>
      <c r="R2330" s="166"/>
      <c r="S2330" s="166"/>
      <c r="T2330" s="166"/>
      <c r="U2330" s="166"/>
      <c r="V2330" s="166"/>
      <c r="W2330" s="166"/>
      <c r="X2330" s="166"/>
      <c r="Y2330" s="166"/>
      <c r="Z2330" s="166"/>
      <c r="AA2330" s="166"/>
      <c r="AB2330" s="166"/>
      <c r="AC2330" s="166"/>
      <c r="AD2330" s="166"/>
      <c r="AE2330" s="166"/>
      <c r="AF2330" s="166"/>
      <c r="AG2330" s="166"/>
      <c r="AH2330" s="166"/>
      <c r="AI2330" s="166"/>
    </row>
    <row r="2331" spans="7:35" x14ac:dyDescent="0.25">
      <c r="G2331" s="165"/>
      <c r="H2331" s="166"/>
      <c r="I2331" s="167"/>
      <c r="J2331" s="167"/>
      <c r="K2331" s="166"/>
      <c r="L2331" s="166"/>
      <c r="M2331" s="166"/>
      <c r="N2331" s="166"/>
      <c r="O2331" s="166"/>
      <c r="P2331" s="166"/>
      <c r="Q2331" s="166"/>
      <c r="R2331" s="166"/>
      <c r="S2331" s="166"/>
      <c r="T2331" s="166"/>
      <c r="U2331" s="166"/>
      <c r="V2331" s="166"/>
      <c r="W2331" s="166"/>
      <c r="X2331" s="166"/>
      <c r="Y2331" s="166"/>
      <c r="Z2331" s="166"/>
      <c r="AA2331" s="166"/>
      <c r="AB2331" s="166"/>
      <c r="AC2331" s="166"/>
      <c r="AD2331" s="166"/>
      <c r="AE2331" s="166"/>
      <c r="AF2331" s="166"/>
      <c r="AG2331" s="166"/>
      <c r="AH2331" s="166"/>
      <c r="AI2331" s="166"/>
    </row>
    <row r="2332" spans="7:35" x14ac:dyDescent="0.25">
      <c r="G2332" s="165"/>
      <c r="H2332" s="166"/>
      <c r="I2332" s="167"/>
      <c r="J2332" s="167"/>
      <c r="K2332" s="166"/>
      <c r="L2332" s="166"/>
      <c r="M2332" s="166"/>
      <c r="N2332" s="166"/>
      <c r="O2332" s="166"/>
      <c r="P2332" s="166"/>
      <c r="Q2332" s="166"/>
      <c r="R2332" s="166"/>
      <c r="S2332" s="166"/>
      <c r="T2332" s="166"/>
      <c r="U2332" s="166"/>
      <c r="V2332" s="166"/>
      <c r="W2332" s="166"/>
      <c r="X2332" s="166"/>
      <c r="Y2332" s="166"/>
      <c r="Z2332" s="166"/>
      <c r="AA2332" s="166"/>
      <c r="AB2332" s="166"/>
      <c r="AC2332" s="166"/>
      <c r="AD2332" s="166"/>
      <c r="AE2332" s="166"/>
      <c r="AF2332" s="166"/>
      <c r="AG2332" s="166"/>
      <c r="AH2332" s="166"/>
      <c r="AI2332" s="166"/>
    </row>
    <row r="2333" spans="7:35" x14ac:dyDescent="0.25">
      <c r="G2333" s="165"/>
      <c r="H2333" s="166"/>
      <c r="I2333" s="167"/>
      <c r="J2333" s="167"/>
      <c r="K2333" s="166"/>
      <c r="L2333" s="166"/>
      <c r="M2333" s="166"/>
      <c r="N2333" s="166"/>
      <c r="O2333" s="166"/>
      <c r="P2333" s="166"/>
      <c r="Q2333" s="166"/>
      <c r="R2333" s="166"/>
      <c r="S2333" s="166"/>
      <c r="T2333" s="166"/>
      <c r="U2333" s="166"/>
      <c r="V2333" s="166"/>
      <c r="W2333" s="166"/>
      <c r="X2333" s="166"/>
      <c r="Y2333" s="166"/>
      <c r="Z2333" s="166"/>
      <c r="AA2333" s="166"/>
      <c r="AB2333" s="166"/>
      <c r="AC2333" s="166"/>
      <c r="AD2333" s="166"/>
      <c r="AE2333" s="166"/>
      <c r="AF2333" s="166"/>
      <c r="AG2333" s="166"/>
      <c r="AH2333" s="166"/>
      <c r="AI2333" s="166"/>
    </row>
    <row r="2334" spans="7:35" x14ac:dyDescent="0.25">
      <c r="G2334" s="165"/>
      <c r="H2334" s="166"/>
      <c r="I2334" s="167"/>
      <c r="J2334" s="167"/>
      <c r="K2334" s="166"/>
      <c r="L2334" s="166"/>
      <c r="M2334" s="166"/>
      <c r="N2334" s="166"/>
      <c r="O2334" s="166"/>
      <c r="P2334" s="166"/>
      <c r="Q2334" s="166"/>
      <c r="R2334" s="166"/>
      <c r="S2334" s="166"/>
      <c r="T2334" s="166"/>
      <c r="U2334" s="166"/>
      <c r="V2334" s="166"/>
      <c r="W2334" s="166"/>
      <c r="X2334" s="166"/>
      <c r="Y2334" s="166"/>
      <c r="Z2334" s="166"/>
      <c r="AA2334" s="166"/>
      <c r="AB2334" s="166"/>
      <c r="AC2334" s="166"/>
      <c r="AD2334" s="166"/>
      <c r="AE2334" s="166"/>
      <c r="AF2334" s="166"/>
      <c r="AG2334" s="166"/>
      <c r="AH2334" s="166"/>
      <c r="AI2334" s="166"/>
    </row>
    <row r="2335" spans="7:35" x14ac:dyDescent="0.25">
      <c r="G2335" s="165"/>
      <c r="H2335" s="166"/>
      <c r="I2335" s="167"/>
      <c r="J2335" s="167"/>
      <c r="K2335" s="166"/>
      <c r="L2335" s="166"/>
      <c r="M2335" s="166"/>
      <c r="N2335" s="166"/>
      <c r="O2335" s="166"/>
      <c r="P2335" s="166"/>
      <c r="Q2335" s="166"/>
      <c r="R2335" s="166"/>
      <c r="S2335" s="166"/>
      <c r="T2335" s="166"/>
      <c r="U2335" s="166"/>
      <c r="V2335" s="166"/>
      <c r="W2335" s="166"/>
      <c r="X2335" s="166"/>
      <c r="Y2335" s="166"/>
      <c r="Z2335" s="166"/>
      <c r="AA2335" s="166"/>
      <c r="AB2335" s="166"/>
      <c r="AC2335" s="166"/>
      <c r="AD2335" s="166"/>
      <c r="AE2335" s="166"/>
      <c r="AF2335" s="166"/>
      <c r="AG2335" s="166"/>
      <c r="AH2335" s="166"/>
      <c r="AI2335" s="166"/>
    </row>
    <row r="2336" spans="7:35" x14ac:dyDescent="0.25">
      <c r="G2336" s="165"/>
      <c r="H2336" s="166"/>
      <c r="I2336" s="167"/>
      <c r="J2336" s="167"/>
      <c r="K2336" s="166"/>
      <c r="L2336" s="166"/>
      <c r="M2336" s="166"/>
      <c r="N2336" s="166"/>
      <c r="O2336" s="166"/>
      <c r="P2336" s="166"/>
      <c r="Q2336" s="166"/>
      <c r="R2336" s="166"/>
      <c r="S2336" s="166"/>
      <c r="T2336" s="166"/>
      <c r="U2336" s="166"/>
      <c r="V2336" s="166"/>
      <c r="W2336" s="166"/>
      <c r="X2336" s="166"/>
      <c r="Y2336" s="166"/>
      <c r="Z2336" s="166"/>
      <c r="AA2336" s="166"/>
      <c r="AB2336" s="166"/>
      <c r="AC2336" s="166"/>
      <c r="AD2336" s="166"/>
      <c r="AE2336" s="166"/>
      <c r="AF2336" s="166"/>
      <c r="AG2336" s="166"/>
      <c r="AH2336" s="166"/>
      <c r="AI2336" s="166"/>
    </row>
    <row r="2337" spans="7:35" x14ac:dyDescent="0.25">
      <c r="G2337" s="165"/>
      <c r="H2337" s="166"/>
      <c r="I2337" s="167"/>
      <c r="J2337" s="167"/>
      <c r="K2337" s="166"/>
      <c r="L2337" s="166"/>
      <c r="M2337" s="166"/>
      <c r="N2337" s="166"/>
      <c r="O2337" s="166"/>
      <c r="P2337" s="166"/>
      <c r="Q2337" s="166"/>
      <c r="R2337" s="166"/>
      <c r="S2337" s="166"/>
      <c r="T2337" s="166"/>
      <c r="U2337" s="166"/>
      <c r="V2337" s="166"/>
      <c r="W2337" s="166"/>
      <c r="X2337" s="166"/>
      <c r="Y2337" s="166"/>
      <c r="Z2337" s="166"/>
      <c r="AA2337" s="166"/>
      <c r="AB2337" s="166"/>
      <c r="AC2337" s="166"/>
      <c r="AD2337" s="166"/>
      <c r="AE2337" s="166"/>
      <c r="AF2337" s="166"/>
      <c r="AG2337" s="166"/>
      <c r="AH2337" s="166"/>
      <c r="AI2337" s="166"/>
    </row>
    <row r="2338" spans="7:35" x14ac:dyDescent="0.25">
      <c r="G2338" s="165"/>
      <c r="H2338" s="166"/>
      <c r="I2338" s="167"/>
      <c r="J2338" s="167"/>
      <c r="K2338" s="166"/>
      <c r="L2338" s="166"/>
      <c r="M2338" s="166"/>
      <c r="N2338" s="166"/>
      <c r="O2338" s="166"/>
      <c r="P2338" s="166"/>
      <c r="Q2338" s="166"/>
      <c r="R2338" s="166"/>
      <c r="S2338" s="166"/>
      <c r="T2338" s="166"/>
      <c r="U2338" s="166"/>
      <c r="V2338" s="166"/>
      <c r="W2338" s="166"/>
      <c r="X2338" s="166"/>
      <c r="Y2338" s="166"/>
      <c r="Z2338" s="166"/>
      <c r="AA2338" s="166"/>
      <c r="AB2338" s="166"/>
      <c r="AC2338" s="166"/>
      <c r="AD2338" s="166"/>
      <c r="AE2338" s="166"/>
      <c r="AF2338" s="166"/>
      <c r="AG2338" s="166"/>
      <c r="AH2338" s="166"/>
      <c r="AI2338" s="166"/>
    </row>
    <row r="2339" spans="7:35" x14ac:dyDescent="0.25">
      <c r="G2339" s="165"/>
      <c r="H2339" s="166"/>
      <c r="I2339" s="167"/>
      <c r="J2339" s="167"/>
      <c r="K2339" s="166"/>
      <c r="L2339" s="166"/>
      <c r="M2339" s="166"/>
      <c r="N2339" s="166"/>
      <c r="O2339" s="166"/>
      <c r="P2339" s="166"/>
      <c r="Q2339" s="166"/>
      <c r="R2339" s="166"/>
      <c r="S2339" s="166"/>
      <c r="T2339" s="166"/>
      <c r="U2339" s="166"/>
      <c r="V2339" s="166"/>
      <c r="W2339" s="166"/>
      <c r="X2339" s="166"/>
      <c r="Y2339" s="166"/>
      <c r="Z2339" s="166"/>
      <c r="AA2339" s="166"/>
      <c r="AB2339" s="166"/>
      <c r="AC2339" s="166"/>
      <c r="AD2339" s="166"/>
      <c r="AE2339" s="166"/>
      <c r="AF2339" s="166"/>
      <c r="AG2339" s="166"/>
      <c r="AH2339" s="166"/>
      <c r="AI2339" s="166"/>
    </row>
    <row r="2340" spans="7:35" x14ac:dyDescent="0.25">
      <c r="G2340" s="165"/>
      <c r="H2340" s="166"/>
      <c r="I2340" s="167"/>
      <c r="J2340" s="167"/>
      <c r="K2340" s="166"/>
      <c r="L2340" s="166"/>
      <c r="M2340" s="166"/>
      <c r="N2340" s="166"/>
      <c r="O2340" s="166"/>
      <c r="P2340" s="166"/>
      <c r="Q2340" s="166"/>
      <c r="R2340" s="166"/>
      <c r="S2340" s="166"/>
      <c r="T2340" s="166"/>
      <c r="U2340" s="166"/>
      <c r="V2340" s="166"/>
      <c r="W2340" s="166"/>
      <c r="X2340" s="166"/>
      <c r="Y2340" s="166"/>
      <c r="Z2340" s="166"/>
      <c r="AA2340" s="166"/>
      <c r="AB2340" s="166"/>
      <c r="AC2340" s="166"/>
      <c r="AD2340" s="166"/>
      <c r="AE2340" s="166"/>
      <c r="AF2340" s="166"/>
      <c r="AG2340" s="166"/>
      <c r="AH2340" s="166"/>
      <c r="AI2340" s="166"/>
    </row>
    <row r="2341" spans="7:35" x14ac:dyDescent="0.25">
      <c r="G2341" s="165"/>
      <c r="H2341" s="166"/>
      <c r="I2341" s="167"/>
      <c r="J2341" s="167"/>
      <c r="K2341" s="166"/>
      <c r="L2341" s="166"/>
      <c r="M2341" s="166"/>
      <c r="N2341" s="166"/>
      <c r="O2341" s="166"/>
      <c r="P2341" s="166"/>
      <c r="Q2341" s="166"/>
      <c r="R2341" s="166"/>
      <c r="S2341" s="166"/>
      <c r="T2341" s="166"/>
      <c r="U2341" s="166"/>
      <c r="V2341" s="166"/>
      <c r="W2341" s="166"/>
      <c r="X2341" s="166"/>
      <c r="Y2341" s="166"/>
      <c r="Z2341" s="166"/>
      <c r="AA2341" s="166"/>
      <c r="AB2341" s="166"/>
      <c r="AC2341" s="166"/>
      <c r="AD2341" s="166"/>
      <c r="AE2341" s="166"/>
      <c r="AF2341" s="166"/>
      <c r="AG2341" s="166"/>
      <c r="AH2341" s="166"/>
      <c r="AI2341" s="166"/>
    </row>
    <row r="2342" spans="7:35" x14ac:dyDescent="0.25">
      <c r="G2342" s="165"/>
      <c r="H2342" s="166"/>
      <c r="I2342" s="167"/>
      <c r="J2342" s="167"/>
      <c r="K2342" s="166"/>
      <c r="L2342" s="166"/>
      <c r="M2342" s="166"/>
      <c r="N2342" s="166"/>
      <c r="O2342" s="166"/>
      <c r="P2342" s="166"/>
      <c r="Q2342" s="166"/>
      <c r="R2342" s="166"/>
      <c r="S2342" s="166"/>
      <c r="T2342" s="166"/>
      <c r="U2342" s="166"/>
      <c r="V2342" s="166"/>
      <c r="W2342" s="166"/>
      <c r="X2342" s="166"/>
      <c r="Y2342" s="166"/>
      <c r="Z2342" s="166"/>
      <c r="AA2342" s="166"/>
      <c r="AB2342" s="166"/>
      <c r="AC2342" s="166"/>
      <c r="AD2342" s="166"/>
      <c r="AE2342" s="166"/>
      <c r="AF2342" s="166"/>
      <c r="AG2342" s="166"/>
      <c r="AH2342" s="166"/>
      <c r="AI2342" s="166"/>
    </row>
    <row r="2343" spans="7:35" x14ac:dyDescent="0.25">
      <c r="G2343" s="165"/>
      <c r="H2343" s="166"/>
      <c r="I2343" s="167"/>
      <c r="J2343" s="167"/>
      <c r="K2343" s="166"/>
      <c r="L2343" s="166"/>
      <c r="M2343" s="166"/>
      <c r="N2343" s="166"/>
      <c r="O2343" s="166"/>
      <c r="P2343" s="166"/>
      <c r="Q2343" s="166"/>
      <c r="R2343" s="166"/>
      <c r="S2343" s="166"/>
      <c r="T2343" s="166"/>
      <c r="U2343" s="166"/>
      <c r="V2343" s="166"/>
      <c r="W2343" s="166"/>
      <c r="X2343" s="166"/>
      <c r="Y2343" s="166"/>
      <c r="Z2343" s="166"/>
      <c r="AA2343" s="166"/>
      <c r="AB2343" s="166"/>
      <c r="AC2343" s="166"/>
      <c r="AD2343" s="166"/>
      <c r="AE2343" s="166"/>
      <c r="AF2343" s="166"/>
      <c r="AG2343" s="166"/>
      <c r="AH2343" s="166"/>
      <c r="AI2343" s="166"/>
    </row>
    <row r="2344" spans="7:35" x14ac:dyDescent="0.25">
      <c r="G2344" s="165"/>
      <c r="H2344" s="166"/>
      <c r="I2344" s="167"/>
      <c r="J2344" s="167"/>
      <c r="K2344" s="166"/>
      <c r="L2344" s="166"/>
      <c r="M2344" s="166"/>
      <c r="N2344" s="166"/>
      <c r="O2344" s="166"/>
      <c r="P2344" s="166"/>
      <c r="Q2344" s="166"/>
      <c r="R2344" s="166"/>
      <c r="S2344" s="166"/>
      <c r="T2344" s="166"/>
      <c r="U2344" s="166"/>
      <c r="V2344" s="166"/>
      <c r="W2344" s="166"/>
      <c r="X2344" s="166"/>
      <c r="Y2344" s="166"/>
      <c r="Z2344" s="166"/>
      <c r="AA2344" s="166"/>
      <c r="AB2344" s="166"/>
      <c r="AC2344" s="166"/>
      <c r="AD2344" s="166"/>
      <c r="AE2344" s="166"/>
      <c r="AF2344" s="166"/>
      <c r="AG2344" s="166"/>
      <c r="AH2344" s="166"/>
      <c r="AI2344" s="166"/>
    </row>
    <row r="2345" spans="7:35" x14ac:dyDescent="0.25">
      <c r="G2345" s="165"/>
      <c r="H2345" s="166"/>
      <c r="I2345" s="167"/>
      <c r="J2345" s="167"/>
      <c r="K2345" s="166"/>
      <c r="L2345" s="166"/>
      <c r="M2345" s="166"/>
      <c r="N2345" s="166"/>
      <c r="O2345" s="166"/>
      <c r="P2345" s="166"/>
      <c r="Q2345" s="166"/>
      <c r="R2345" s="166"/>
      <c r="S2345" s="166"/>
      <c r="T2345" s="166"/>
      <c r="U2345" s="166"/>
      <c r="V2345" s="166"/>
      <c r="W2345" s="166"/>
      <c r="X2345" s="166"/>
      <c r="Y2345" s="166"/>
      <c r="Z2345" s="166"/>
      <c r="AA2345" s="166"/>
      <c r="AB2345" s="166"/>
      <c r="AC2345" s="166"/>
      <c r="AD2345" s="166"/>
      <c r="AE2345" s="166"/>
      <c r="AF2345" s="166"/>
      <c r="AG2345" s="166"/>
      <c r="AH2345" s="166"/>
      <c r="AI2345" s="166"/>
    </row>
    <row r="2346" spans="7:35" x14ac:dyDescent="0.25">
      <c r="G2346" s="165"/>
      <c r="H2346" s="166"/>
      <c r="I2346" s="167"/>
      <c r="J2346" s="167"/>
      <c r="K2346" s="166"/>
      <c r="L2346" s="166"/>
      <c r="M2346" s="166"/>
      <c r="N2346" s="166"/>
      <c r="O2346" s="166"/>
      <c r="P2346" s="166"/>
      <c r="Q2346" s="166"/>
      <c r="R2346" s="166"/>
      <c r="S2346" s="166"/>
      <c r="T2346" s="166"/>
      <c r="U2346" s="166"/>
      <c r="V2346" s="166"/>
      <c r="W2346" s="166"/>
      <c r="X2346" s="166"/>
      <c r="Y2346" s="166"/>
      <c r="Z2346" s="166"/>
      <c r="AA2346" s="166"/>
      <c r="AB2346" s="166"/>
      <c r="AC2346" s="166"/>
      <c r="AD2346" s="166"/>
      <c r="AE2346" s="166"/>
      <c r="AF2346" s="166"/>
      <c r="AG2346" s="166"/>
      <c r="AH2346" s="166"/>
      <c r="AI2346" s="166"/>
    </row>
    <row r="2347" spans="7:35" x14ac:dyDescent="0.25">
      <c r="G2347" s="165"/>
      <c r="H2347" s="166"/>
      <c r="I2347" s="167"/>
      <c r="J2347" s="167"/>
      <c r="K2347" s="166"/>
      <c r="L2347" s="166"/>
      <c r="M2347" s="166"/>
      <c r="N2347" s="166"/>
      <c r="O2347" s="166"/>
      <c r="P2347" s="166"/>
      <c r="Q2347" s="166"/>
      <c r="R2347" s="166"/>
      <c r="S2347" s="166"/>
      <c r="T2347" s="166"/>
      <c r="U2347" s="166"/>
      <c r="V2347" s="166"/>
      <c r="W2347" s="166"/>
      <c r="X2347" s="166"/>
      <c r="Y2347" s="166"/>
      <c r="Z2347" s="166"/>
      <c r="AA2347" s="166"/>
      <c r="AB2347" s="166"/>
      <c r="AC2347" s="166"/>
      <c r="AD2347" s="166"/>
      <c r="AE2347" s="166"/>
      <c r="AF2347" s="166"/>
      <c r="AG2347" s="166"/>
      <c r="AH2347" s="166"/>
      <c r="AI2347" s="166"/>
    </row>
    <row r="2348" spans="7:35" x14ac:dyDescent="0.25">
      <c r="G2348" s="165"/>
      <c r="H2348" s="166"/>
      <c r="I2348" s="167"/>
      <c r="J2348" s="167"/>
      <c r="K2348" s="166"/>
      <c r="L2348" s="166"/>
      <c r="M2348" s="166"/>
      <c r="N2348" s="166"/>
      <c r="O2348" s="166"/>
      <c r="P2348" s="166"/>
      <c r="Q2348" s="166"/>
      <c r="R2348" s="166"/>
      <c r="S2348" s="166"/>
      <c r="T2348" s="166"/>
      <c r="U2348" s="166"/>
      <c r="V2348" s="166"/>
      <c r="W2348" s="166"/>
      <c r="X2348" s="166"/>
      <c r="Y2348" s="166"/>
      <c r="Z2348" s="166"/>
      <c r="AA2348" s="166"/>
      <c r="AB2348" s="166"/>
      <c r="AC2348" s="166"/>
      <c r="AD2348" s="166"/>
      <c r="AE2348" s="166"/>
      <c r="AF2348" s="166"/>
      <c r="AG2348" s="166"/>
      <c r="AH2348" s="166"/>
      <c r="AI2348" s="166"/>
    </row>
    <row r="2349" spans="7:35" x14ac:dyDescent="0.25">
      <c r="G2349" s="165"/>
      <c r="H2349" s="166"/>
      <c r="I2349" s="167"/>
      <c r="J2349" s="167"/>
      <c r="K2349" s="166"/>
      <c r="L2349" s="166"/>
      <c r="M2349" s="166"/>
      <c r="N2349" s="166"/>
      <c r="O2349" s="166"/>
      <c r="P2349" s="166"/>
      <c r="Q2349" s="166"/>
      <c r="R2349" s="166"/>
      <c r="S2349" s="166"/>
      <c r="T2349" s="166"/>
      <c r="U2349" s="166"/>
      <c r="V2349" s="166"/>
      <c r="W2349" s="166"/>
      <c r="X2349" s="166"/>
      <c r="Y2349" s="166"/>
      <c r="Z2349" s="166"/>
      <c r="AA2349" s="166"/>
      <c r="AB2349" s="166"/>
      <c r="AC2349" s="166"/>
      <c r="AD2349" s="166"/>
      <c r="AE2349" s="166"/>
      <c r="AF2349" s="166"/>
      <c r="AG2349" s="166"/>
      <c r="AH2349" s="166"/>
      <c r="AI2349" s="166"/>
    </row>
    <row r="2350" spans="7:35" x14ac:dyDescent="0.25">
      <c r="G2350" s="165"/>
      <c r="H2350" s="166"/>
      <c r="I2350" s="167"/>
      <c r="J2350" s="167"/>
      <c r="K2350" s="166"/>
      <c r="L2350" s="166"/>
      <c r="M2350" s="166"/>
      <c r="N2350" s="166"/>
      <c r="O2350" s="166"/>
      <c r="P2350" s="166"/>
      <c r="Q2350" s="166"/>
      <c r="R2350" s="166"/>
      <c r="S2350" s="166"/>
      <c r="T2350" s="166"/>
      <c r="U2350" s="166"/>
      <c r="V2350" s="166"/>
      <c r="W2350" s="166"/>
      <c r="X2350" s="166"/>
      <c r="Y2350" s="166"/>
      <c r="Z2350" s="166"/>
      <c r="AA2350" s="166"/>
      <c r="AB2350" s="166"/>
      <c r="AC2350" s="166"/>
      <c r="AD2350" s="166"/>
      <c r="AE2350" s="166"/>
      <c r="AF2350" s="166"/>
      <c r="AG2350" s="166"/>
      <c r="AH2350" s="166"/>
      <c r="AI2350" s="166"/>
    </row>
    <row r="2351" spans="7:35" x14ac:dyDescent="0.25">
      <c r="G2351" s="165"/>
      <c r="H2351" s="166"/>
      <c r="I2351" s="167"/>
      <c r="J2351" s="167"/>
      <c r="K2351" s="166"/>
      <c r="L2351" s="166"/>
      <c r="M2351" s="166"/>
      <c r="N2351" s="166"/>
      <c r="O2351" s="166"/>
      <c r="P2351" s="166"/>
      <c r="Q2351" s="166"/>
      <c r="R2351" s="166"/>
      <c r="S2351" s="166"/>
      <c r="T2351" s="166"/>
      <c r="U2351" s="166"/>
      <c r="V2351" s="166"/>
      <c r="W2351" s="166"/>
      <c r="X2351" s="166"/>
      <c r="Y2351" s="166"/>
      <c r="Z2351" s="166"/>
      <c r="AA2351" s="166"/>
      <c r="AB2351" s="166"/>
      <c r="AC2351" s="166"/>
      <c r="AD2351" s="166"/>
      <c r="AE2351" s="166"/>
      <c r="AF2351" s="166"/>
      <c r="AG2351" s="166"/>
      <c r="AH2351" s="166"/>
      <c r="AI2351" s="166"/>
    </row>
    <row r="2352" spans="7:35" x14ac:dyDescent="0.25">
      <c r="G2352" s="165"/>
      <c r="H2352" s="166"/>
      <c r="I2352" s="167"/>
      <c r="J2352" s="167"/>
      <c r="K2352" s="166"/>
      <c r="L2352" s="166"/>
      <c r="M2352" s="166"/>
      <c r="N2352" s="166"/>
      <c r="O2352" s="166"/>
      <c r="P2352" s="166"/>
      <c r="Q2352" s="166"/>
      <c r="R2352" s="166"/>
      <c r="S2352" s="166"/>
      <c r="T2352" s="166"/>
      <c r="U2352" s="166"/>
      <c r="V2352" s="166"/>
      <c r="W2352" s="166"/>
      <c r="X2352" s="166"/>
      <c r="Y2352" s="166"/>
      <c r="Z2352" s="166"/>
      <c r="AA2352" s="166"/>
      <c r="AB2352" s="166"/>
      <c r="AC2352" s="166"/>
      <c r="AD2352" s="166"/>
      <c r="AE2352" s="166"/>
      <c r="AF2352" s="166"/>
      <c r="AG2352" s="166"/>
      <c r="AH2352" s="166"/>
      <c r="AI2352" s="166"/>
    </row>
    <row r="2353" spans="7:35" x14ac:dyDescent="0.25">
      <c r="G2353" s="165"/>
      <c r="H2353" s="166"/>
      <c r="I2353" s="167"/>
      <c r="J2353" s="167"/>
      <c r="K2353" s="166"/>
      <c r="L2353" s="166"/>
      <c r="M2353" s="166"/>
      <c r="N2353" s="166"/>
      <c r="O2353" s="166"/>
      <c r="P2353" s="166"/>
      <c r="Q2353" s="166"/>
      <c r="R2353" s="166"/>
      <c r="S2353" s="166"/>
      <c r="T2353" s="166"/>
      <c r="U2353" s="166"/>
      <c r="V2353" s="166"/>
      <c r="W2353" s="166"/>
      <c r="X2353" s="166"/>
      <c r="Y2353" s="166"/>
      <c r="Z2353" s="166"/>
      <c r="AA2353" s="166"/>
      <c r="AB2353" s="166"/>
      <c r="AC2353" s="166"/>
      <c r="AD2353" s="166"/>
      <c r="AE2353" s="166"/>
      <c r="AF2353" s="166"/>
      <c r="AG2353" s="166"/>
      <c r="AH2353" s="166"/>
      <c r="AI2353" s="166"/>
    </row>
    <row r="2354" spans="7:35" x14ac:dyDescent="0.25">
      <c r="G2354" s="165"/>
      <c r="H2354" s="166"/>
      <c r="I2354" s="167"/>
      <c r="J2354" s="167"/>
      <c r="K2354" s="166"/>
      <c r="L2354" s="166"/>
      <c r="M2354" s="166"/>
      <c r="N2354" s="166"/>
      <c r="O2354" s="166"/>
      <c r="P2354" s="166"/>
      <c r="Q2354" s="166"/>
      <c r="R2354" s="166"/>
      <c r="S2354" s="166"/>
      <c r="T2354" s="166"/>
      <c r="U2354" s="166"/>
      <c r="V2354" s="166"/>
      <c r="W2354" s="166"/>
      <c r="X2354" s="166"/>
      <c r="Y2354" s="166"/>
      <c r="Z2354" s="166"/>
      <c r="AA2354" s="166"/>
      <c r="AB2354" s="166"/>
      <c r="AC2354" s="166"/>
      <c r="AD2354" s="166"/>
      <c r="AE2354" s="166"/>
      <c r="AF2354" s="166"/>
      <c r="AG2354" s="166"/>
      <c r="AH2354" s="166"/>
      <c r="AI2354" s="166"/>
    </row>
    <row r="2355" spans="7:35" x14ac:dyDescent="0.25">
      <c r="G2355" s="165"/>
      <c r="H2355" s="166"/>
      <c r="I2355" s="167"/>
      <c r="J2355" s="167"/>
      <c r="K2355" s="166"/>
      <c r="L2355" s="166"/>
      <c r="M2355" s="166"/>
      <c r="N2355" s="166"/>
      <c r="O2355" s="166"/>
      <c r="P2355" s="166"/>
      <c r="Q2355" s="166"/>
      <c r="R2355" s="166"/>
      <c r="S2355" s="166"/>
      <c r="T2355" s="166"/>
      <c r="U2355" s="166"/>
      <c r="V2355" s="166"/>
      <c r="W2355" s="166"/>
      <c r="X2355" s="166"/>
      <c r="Y2355" s="166"/>
      <c r="Z2355" s="166"/>
      <c r="AA2355" s="166"/>
      <c r="AB2355" s="166"/>
      <c r="AC2355" s="166"/>
      <c r="AD2355" s="166"/>
      <c r="AE2355" s="166"/>
      <c r="AF2355" s="166"/>
      <c r="AG2355" s="166"/>
      <c r="AH2355" s="166"/>
      <c r="AI2355" s="166"/>
    </row>
    <row r="2356" spans="7:35" x14ac:dyDescent="0.25">
      <c r="G2356" s="165"/>
      <c r="H2356" s="166"/>
      <c r="I2356" s="167"/>
      <c r="J2356" s="167"/>
      <c r="K2356" s="166"/>
      <c r="L2356" s="166"/>
      <c r="M2356" s="166"/>
      <c r="N2356" s="166"/>
      <c r="O2356" s="166"/>
      <c r="P2356" s="166"/>
      <c r="Q2356" s="166"/>
      <c r="R2356" s="166"/>
      <c r="S2356" s="166"/>
      <c r="T2356" s="166"/>
      <c r="U2356" s="166"/>
      <c r="V2356" s="166"/>
      <c r="W2356" s="166"/>
      <c r="X2356" s="166"/>
      <c r="Y2356" s="166"/>
      <c r="Z2356" s="166"/>
      <c r="AA2356" s="166"/>
      <c r="AB2356" s="166"/>
      <c r="AC2356" s="166"/>
      <c r="AD2356" s="166"/>
      <c r="AE2356" s="166"/>
      <c r="AF2356" s="166"/>
      <c r="AG2356" s="166"/>
      <c r="AH2356" s="166"/>
      <c r="AI2356" s="166"/>
    </row>
    <row r="2357" spans="7:35" x14ac:dyDescent="0.25">
      <c r="G2357" s="165"/>
      <c r="H2357" s="166"/>
      <c r="I2357" s="167"/>
      <c r="J2357" s="167"/>
      <c r="K2357" s="166"/>
      <c r="L2357" s="166"/>
      <c r="M2357" s="166"/>
      <c r="N2357" s="166"/>
      <c r="O2357" s="166"/>
      <c r="P2357" s="166"/>
      <c r="Q2357" s="166"/>
      <c r="R2357" s="166"/>
      <c r="S2357" s="166"/>
      <c r="T2357" s="166"/>
      <c r="U2357" s="166"/>
      <c r="V2357" s="166"/>
      <c r="W2357" s="166"/>
      <c r="X2357" s="166"/>
      <c r="Y2357" s="166"/>
      <c r="Z2357" s="166"/>
      <c r="AA2357" s="166"/>
      <c r="AB2357" s="166"/>
      <c r="AC2357" s="166"/>
      <c r="AD2357" s="166"/>
      <c r="AE2357" s="166"/>
      <c r="AF2357" s="166"/>
      <c r="AG2357" s="166"/>
      <c r="AH2357" s="166"/>
      <c r="AI2357" s="166"/>
    </row>
    <row r="2358" spans="7:35" x14ac:dyDescent="0.25">
      <c r="G2358" s="165"/>
      <c r="H2358" s="166"/>
      <c r="I2358" s="167"/>
      <c r="J2358" s="167"/>
      <c r="K2358" s="166"/>
      <c r="L2358" s="166"/>
      <c r="M2358" s="166"/>
      <c r="N2358" s="166"/>
      <c r="O2358" s="166"/>
      <c r="P2358" s="166"/>
      <c r="Q2358" s="166"/>
      <c r="R2358" s="166"/>
      <c r="S2358" s="166"/>
      <c r="T2358" s="166"/>
      <c r="U2358" s="166"/>
      <c r="V2358" s="166"/>
      <c r="W2358" s="166"/>
      <c r="X2358" s="166"/>
      <c r="Y2358" s="166"/>
      <c r="Z2358" s="166"/>
      <c r="AA2358" s="166"/>
      <c r="AB2358" s="166"/>
      <c r="AC2358" s="166"/>
      <c r="AD2358" s="166"/>
      <c r="AE2358" s="166"/>
      <c r="AF2358" s="166"/>
      <c r="AG2358" s="166"/>
      <c r="AH2358" s="166"/>
      <c r="AI2358" s="166"/>
    </row>
    <row r="2359" spans="7:35" x14ac:dyDescent="0.25">
      <c r="G2359" s="165"/>
      <c r="H2359" s="166"/>
      <c r="I2359" s="167"/>
      <c r="J2359" s="167"/>
      <c r="K2359" s="166"/>
      <c r="L2359" s="166"/>
      <c r="M2359" s="166"/>
      <c r="N2359" s="166"/>
      <c r="O2359" s="166"/>
      <c r="P2359" s="166"/>
      <c r="Q2359" s="166"/>
      <c r="R2359" s="166"/>
      <c r="S2359" s="166"/>
      <c r="T2359" s="166"/>
      <c r="U2359" s="166"/>
      <c r="V2359" s="166"/>
      <c r="W2359" s="166"/>
      <c r="X2359" s="166"/>
      <c r="Y2359" s="166"/>
      <c r="Z2359" s="166"/>
      <c r="AA2359" s="166"/>
      <c r="AB2359" s="166"/>
      <c r="AC2359" s="166"/>
      <c r="AD2359" s="166"/>
      <c r="AE2359" s="166"/>
      <c r="AF2359" s="166"/>
      <c r="AG2359" s="166"/>
      <c r="AH2359" s="166"/>
      <c r="AI2359" s="166"/>
    </row>
    <row r="2360" spans="7:35" x14ac:dyDescent="0.25">
      <c r="G2360" s="165"/>
      <c r="H2360" s="166"/>
      <c r="I2360" s="167"/>
      <c r="J2360" s="167"/>
      <c r="K2360" s="166"/>
      <c r="L2360" s="166"/>
      <c r="M2360" s="166"/>
      <c r="N2360" s="166"/>
      <c r="O2360" s="166"/>
      <c r="P2360" s="166"/>
      <c r="Q2360" s="166"/>
      <c r="R2360" s="166"/>
      <c r="S2360" s="166"/>
      <c r="T2360" s="166"/>
      <c r="U2360" s="166"/>
      <c r="V2360" s="166"/>
      <c r="W2360" s="166"/>
      <c r="X2360" s="166"/>
      <c r="Y2360" s="166"/>
      <c r="Z2360" s="166"/>
      <c r="AA2360" s="166"/>
      <c r="AB2360" s="166"/>
      <c r="AC2360" s="166"/>
      <c r="AD2360" s="166"/>
      <c r="AE2360" s="166"/>
      <c r="AF2360" s="166"/>
      <c r="AG2360" s="166"/>
      <c r="AH2360" s="166"/>
      <c r="AI2360" s="166"/>
    </row>
    <row r="2361" spans="7:35" x14ac:dyDescent="0.25">
      <c r="G2361" s="165"/>
      <c r="H2361" s="166"/>
      <c r="I2361" s="167"/>
      <c r="J2361" s="167"/>
      <c r="K2361" s="166"/>
      <c r="L2361" s="166"/>
      <c r="M2361" s="166"/>
      <c r="N2361" s="166"/>
      <c r="O2361" s="166"/>
      <c r="P2361" s="166"/>
      <c r="Q2361" s="166"/>
      <c r="R2361" s="166"/>
      <c r="S2361" s="166"/>
      <c r="T2361" s="166"/>
      <c r="U2361" s="166"/>
      <c r="V2361" s="166"/>
      <c r="W2361" s="166"/>
      <c r="X2361" s="166"/>
      <c r="Y2361" s="166"/>
      <c r="Z2361" s="166"/>
      <c r="AA2361" s="166"/>
      <c r="AB2361" s="166"/>
      <c r="AC2361" s="166"/>
      <c r="AD2361" s="166"/>
      <c r="AE2361" s="166"/>
      <c r="AF2361" s="166"/>
      <c r="AG2361" s="166"/>
      <c r="AH2361" s="166"/>
      <c r="AI2361" s="166"/>
    </row>
    <row r="2362" spans="7:35" x14ac:dyDescent="0.25">
      <c r="G2362" s="165"/>
      <c r="H2362" s="166"/>
      <c r="I2362" s="167"/>
      <c r="J2362" s="167"/>
      <c r="K2362" s="166"/>
      <c r="L2362" s="166"/>
      <c r="M2362" s="166"/>
      <c r="N2362" s="166"/>
      <c r="O2362" s="166"/>
      <c r="P2362" s="166"/>
      <c r="Q2362" s="166"/>
      <c r="R2362" s="166"/>
      <c r="S2362" s="166"/>
      <c r="T2362" s="166"/>
      <c r="U2362" s="166"/>
      <c r="V2362" s="166"/>
      <c r="W2362" s="166"/>
      <c r="X2362" s="166"/>
      <c r="Y2362" s="166"/>
      <c r="Z2362" s="166"/>
      <c r="AA2362" s="166"/>
      <c r="AB2362" s="166"/>
      <c r="AC2362" s="166"/>
      <c r="AD2362" s="166"/>
      <c r="AE2362" s="166"/>
      <c r="AF2362" s="166"/>
      <c r="AG2362" s="166"/>
      <c r="AH2362" s="166"/>
      <c r="AI2362" s="166"/>
    </row>
    <row r="2363" spans="7:35" x14ac:dyDescent="0.25">
      <c r="G2363" s="165"/>
      <c r="H2363" s="166"/>
      <c r="I2363" s="167"/>
      <c r="J2363" s="167"/>
      <c r="K2363" s="166"/>
      <c r="L2363" s="166"/>
      <c r="M2363" s="166"/>
      <c r="N2363" s="166"/>
      <c r="O2363" s="166"/>
      <c r="P2363" s="166"/>
      <c r="Q2363" s="166"/>
      <c r="R2363" s="166"/>
      <c r="S2363" s="166"/>
      <c r="T2363" s="166"/>
      <c r="U2363" s="166"/>
      <c r="V2363" s="166"/>
      <c r="W2363" s="166"/>
      <c r="X2363" s="166"/>
      <c r="Y2363" s="166"/>
      <c r="Z2363" s="166"/>
      <c r="AA2363" s="166"/>
      <c r="AB2363" s="166"/>
      <c r="AC2363" s="166"/>
      <c r="AD2363" s="166"/>
      <c r="AE2363" s="166"/>
      <c r="AF2363" s="166"/>
      <c r="AG2363" s="166"/>
      <c r="AH2363" s="166"/>
      <c r="AI2363" s="166"/>
    </row>
    <row r="2364" spans="7:35" x14ac:dyDescent="0.25">
      <c r="G2364" s="165"/>
      <c r="H2364" s="166"/>
      <c r="I2364" s="167"/>
      <c r="J2364" s="167"/>
      <c r="K2364" s="166"/>
      <c r="L2364" s="166"/>
      <c r="M2364" s="166"/>
      <c r="N2364" s="166"/>
      <c r="O2364" s="166"/>
      <c r="P2364" s="166"/>
      <c r="Q2364" s="166"/>
      <c r="R2364" s="166"/>
      <c r="S2364" s="166"/>
      <c r="T2364" s="166"/>
      <c r="U2364" s="166"/>
      <c r="V2364" s="166"/>
      <c r="W2364" s="166"/>
      <c r="X2364" s="166"/>
      <c r="Y2364" s="166"/>
      <c r="Z2364" s="166"/>
      <c r="AA2364" s="166"/>
      <c r="AB2364" s="166"/>
      <c r="AC2364" s="166"/>
      <c r="AD2364" s="166"/>
      <c r="AE2364" s="166"/>
      <c r="AF2364" s="166"/>
      <c r="AG2364" s="166"/>
      <c r="AH2364" s="166"/>
      <c r="AI2364" s="166"/>
    </row>
    <row r="2365" spans="7:35" x14ac:dyDescent="0.25">
      <c r="G2365" s="165"/>
      <c r="H2365" s="166"/>
      <c r="I2365" s="167"/>
      <c r="J2365" s="167"/>
      <c r="K2365" s="166"/>
      <c r="L2365" s="166"/>
      <c r="M2365" s="166"/>
      <c r="N2365" s="166"/>
      <c r="O2365" s="166"/>
      <c r="P2365" s="166"/>
      <c r="Q2365" s="166"/>
      <c r="R2365" s="166"/>
      <c r="S2365" s="166"/>
      <c r="T2365" s="166"/>
      <c r="U2365" s="166"/>
      <c r="V2365" s="166"/>
      <c r="W2365" s="166"/>
      <c r="X2365" s="166"/>
      <c r="Y2365" s="166"/>
      <c r="Z2365" s="166"/>
      <c r="AA2365" s="166"/>
      <c r="AB2365" s="166"/>
      <c r="AC2365" s="166"/>
      <c r="AD2365" s="166"/>
      <c r="AE2365" s="166"/>
      <c r="AF2365" s="166"/>
      <c r="AG2365" s="166"/>
      <c r="AH2365" s="166"/>
      <c r="AI2365" s="166"/>
    </row>
    <row r="2366" spans="7:35" x14ac:dyDescent="0.25">
      <c r="G2366" s="165"/>
      <c r="H2366" s="166"/>
      <c r="I2366" s="167"/>
      <c r="J2366" s="167"/>
      <c r="K2366" s="166"/>
      <c r="L2366" s="166"/>
      <c r="M2366" s="166"/>
      <c r="N2366" s="166"/>
      <c r="O2366" s="166"/>
      <c r="P2366" s="166"/>
      <c r="Q2366" s="166"/>
      <c r="R2366" s="166"/>
      <c r="S2366" s="166"/>
      <c r="T2366" s="166"/>
      <c r="U2366" s="166"/>
      <c r="V2366" s="166"/>
      <c r="W2366" s="166"/>
      <c r="X2366" s="166"/>
      <c r="Y2366" s="166"/>
      <c r="Z2366" s="166"/>
      <c r="AA2366" s="166"/>
      <c r="AB2366" s="166"/>
      <c r="AC2366" s="166"/>
      <c r="AD2366" s="166"/>
      <c r="AE2366" s="166"/>
      <c r="AF2366" s="166"/>
      <c r="AG2366" s="166"/>
      <c r="AH2366" s="166"/>
      <c r="AI2366" s="166"/>
    </row>
    <row r="2367" spans="7:35" x14ac:dyDescent="0.25">
      <c r="G2367" s="165"/>
      <c r="H2367" s="166"/>
      <c r="I2367" s="167"/>
      <c r="J2367" s="167"/>
      <c r="K2367" s="166"/>
      <c r="L2367" s="166"/>
      <c r="M2367" s="166"/>
      <c r="N2367" s="166"/>
      <c r="O2367" s="166"/>
      <c r="P2367" s="166"/>
      <c r="Q2367" s="166"/>
      <c r="R2367" s="166"/>
      <c r="S2367" s="166"/>
      <c r="T2367" s="166"/>
      <c r="U2367" s="166"/>
      <c r="V2367" s="166"/>
      <c r="W2367" s="166"/>
      <c r="X2367" s="166"/>
      <c r="Y2367" s="166"/>
      <c r="Z2367" s="166"/>
      <c r="AA2367" s="166"/>
      <c r="AB2367" s="166"/>
      <c r="AC2367" s="166"/>
      <c r="AD2367" s="166"/>
      <c r="AE2367" s="166"/>
      <c r="AF2367" s="166"/>
      <c r="AG2367" s="166"/>
      <c r="AH2367" s="166"/>
      <c r="AI2367" s="166"/>
    </row>
    <row r="2368" spans="7:35" x14ac:dyDescent="0.25">
      <c r="G2368" s="165"/>
      <c r="H2368" s="166"/>
      <c r="I2368" s="167"/>
      <c r="J2368" s="167"/>
      <c r="K2368" s="166"/>
      <c r="L2368" s="166"/>
      <c r="M2368" s="166"/>
      <c r="N2368" s="166"/>
      <c r="O2368" s="166"/>
      <c r="P2368" s="166"/>
      <c r="Q2368" s="166"/>
      <c r="R2368" s="166"/>
      <c r="S2368" s="166"/>
      <c r="T2368" s="166"/>
      <c r="U2368" s="166"/>
      <c r="V2368" s="166"/>
      <c r="W2368" s="166"/>
      <c r="X2368" s="166"/>
      <c r="Y2368" s="166"/>
      <c r="Z2368" s="166"/>
      <c r="AA2368" s="166"/>
      <c r="AB2368" s="166"/>
      <c r="AC2368" s="166"/>
      <c r="AD2368" s="166"/>
      <c r="AE2368" s="166"/>
      <c r="AF2368" s="166"/>
      <c r="AG2368" s="166"/>
      <c r="AH2368" s="166"/>
      <c r="AI2368" s="166"/>
    </row>
    <row r="2369" spans="7:35" x14ac:dyDescent="0.25">
      <c r="G2369" s="165"/>
      <c r="H2369" s="166"/>
      <c r="I2369" s="167"/>
      <c r="J2369" s="167"/>
      <c r="K2369" s="166"/>
      <c r="L2369" s="166"/>
      <c r="M2369" s="166"/>
      <c r="N2369" s="166"/>
      <c r="O2369" s="166"/>
      <c r="P2369" s="166"/>
      <c r="Q2369" s="166"/>
      <c r="R2369" s="166"/>
      <c r="S2369" s="166"/>
      <c r="T2369" s="166"/>
      <c r="U2369" s="166"/>
      <c r="V2369" s="166"/>
      <c r="W2369" s="166"/>
      <c r="X2369" s="166"/>
      <c r="Y2369" s="166"/>
      <c r="Z2369" s="166"/>
      <c r="AA2369" s="166"/>
      <c r="AB2369" s="166"/>
      <c r="AC2369" s="166"/>
      <c r="AD2369" s="166"/>
      <c r="AE2369" s="166"/>
      <c r="AF2369" s="166"/>
      <c r="AG2369" s="166"/>
      <c r="AH2369" s="166"/>
      <c r="AI2369" s="166"/>
    </row>
    <row r="2370" spans="7:35" x14ac:dyDescent="0.25">
      <c r="G2370" s="165"/>
      <c r="H2370" s="166"/>
      <c r="I2370" s="167"/>
      <c r="J2370" s="167"/>
      <c r="K2370" s="166"/>
      <c r="L2370" s="166"/>
      <c r="M2370" s="166"/>
      <c r="N2370" s="166"/>
      <c r="O2370" s="166"/>
      <c r="P2370" s="166"/>
      <c r="Q2370" s="166"/>
      <c r="R2370" s="166"/>
      <c r="S2370" s="166"/>
      <c r="T2370" s="166"/>
      <c r="U2370" s="166"/>
      <c r="V2370" s="166"/>
      <c r="W2370" s="166"/>
      <c r="X2370" s="166"/>
      <c r="Y2370" s="166"/>
      <c r="Z2370" s="166"/>
      <c r="AA2370" s="166"/>
      <c r="AB2370" s="166"/>
      <c r="AC2370" s="166"/>
      <c r="AD2370" s="166"/>
      <c r="AE2370" s="166"/>
      <c r="AF2370" s="166"/>
      <c r="AG2370" s="166"/>
      <c r="AH2370" s="166"/>
      <c r="AI2370" s="166"/>
    </row>
    <row r="2371" spans="7:35" x14ac:dyDescent="0.25">
      <c r="G2371" s="165"/>
      <c r="H2371" s="166"/>
      <c r="I2371" s="167"/>
      <c r="J2371" s="167"/>
      <c r="K2371" s="166"/>
      <c r="L2371" s="166"/>
      <c r="M2371" s="166"/>
      <c r="N2371" s="166"/>
      <c r="O2371" s="166"/>
      <c r="P2371" s="166"/>
      <c r="Q2371" s="166"/>
      <c r="R2371" s="166"/>
      <c r="S2371" s="166"/>
      <c r="T2371" s="166"/>
      <c r="U2371" s="166"/>
      <c r="V2371" s="166"/>
      <c r="W2371" s="166"/>
      <c r="X2371" s="166"/>
      <c r="Y2371" s="166"/>
      <c r="Z2371" s="166"/>
      <c r="AA2371" s="166"/>
      <c r="AB2371" s="166"/>
      <c r="AC2371" s="166"/>
      <c r="AD2371" s="166"/>
      <c r="AE2371" s="166"/>
      <c r="AF2371" s="166"/>
      <c r="AG2371" s="166"/>
      <c r="AH2371" s="166"/>
      <c r="AI2371" s="166"/>
    </row>
    <row r="2372" spans="7:35" x14ac:dyDescent="0.25">
      <c r="G2372" s="165"/>
      <c r="H2372" s="166"/>
      <c r="I2372" s="167"/>
      <c r="J2372" s="167"/>
      <c r="K2372" s="166"/>
      <c r="L2372" s="166"/>
      <c r="M2372" s="166"/>
      <c r="N2372" s="166"/>
      <c r="O2372" s="166"/>
      <c r="P2372" s="166"/>
      <c r="Q2372" s="166"/>
      <c r="R2372" s="166"/>
      <c r="S2372" s="166"/>
      <c r="T2372" s="166"/>
      <c r="U2372" s="166"/>
      <c r="V2372" s="166"/>
      <c r="W2372" s="166"/>
      <c r="X2372" s="166"/>
      <c r="Y2372" s="166"/>
      <c r="Z2372" s="166"/>
      <c r="AA2372" s="166"/>
      <c r="AB2372" s="166"/>
      <c r="AC2372" s="166"/>
      <c r="AD2372" s="166"/>
      <c r="AE2372" s="166"/>
      <c r="AF2372" s="166"/>
      <c r="AG2372" s="166"/>
      <c r="AH2372" s="166"/>
      <c r="AI2372" s="166"/>
    </row>
    <row r="2373" spans="7:35" x14ac:dyDescent="0.25">
      <c r="G2373" s="165"/>
      <c r="H2373" s="166"/>
      <c r="I2373" s="167"/>
      <c r="J2373" s="167"/>
      <c r="K2373" s="166"/>
      <c r="L2373" s="166"/>
      <c r="M2373" s="166"/>
      <c r="N2373" s="166"/>
      <c r="O2373" s="166"/>
      <c r="P2373" s="166"/>
      <c r="Q2373" s="166"/>
      <c r="R2373" s="166"/>
      <c r="S2373" s="166"/>
      <c r="T2373" s="166"/>
      <c r="U2373" s="166"/>
      <c r="V2373" s="166"/>
      <c r="W2373" s="166"/>
      <c r="X2373" s="166"/>
      <c r="Y2373" s="166"/>
      <c r="Z2373" s="166"/>
      <c r="AA2373" s="166"/>
      <c r="AB2373" s="166"/>
      <c r="AC2373" s="166"/>
      <c r="AD2373" s="166"/>
      <c r="AE2373" s="166"/>
      <c r="AF2373" s="166"/>
      <c r="AG2373" s="166"/>
      <c r="AH2373" s="166"/>
      <c r="AI2373" s="166"/>
    </row>
    <row r="2374" spans="7:35" x14ac:dyDescent="0.25">
      <c r="G2374" s="165"/>
      <c r="H2374" s="166"/>
      <c r="I2374" s="167"/>
      <c r="J2374" s="167"/>
      <c r="K2374" s="166"/>
      <c r="L2374" s="166"/>
      <c r="M2374" s="166"/>
      <c r="N2374" s="166"/>
      <c r="O2374" s="166"/>
      <c r="P2374" s="166"/>
      <c r="Q2374" s="166"/>
      <c r="R2374" s="166"/>
      <c r="S2374" s="166"/>
      <c r="T2374" s="166"/>
      <c r="U2374" s="166"/>
      <c r="V2374" s="166"/>
      <c r="W2374" s="166"/>
      <c r="X2374" s="166"/>
      <c r="Y2374" s="166"/>
      <c r="Z2374" s="166"/>
      <c r="AA2374" s="166"/>
      <c r="AB2374" s="166"/>
      <c r="AC2374" s="166"/>
      <c r="AD2374" s="166"/>
      <c r="AE2374" s="166"/>
      <c r="AF2374" s="166"/>
      <c r="AG2374" s="166"/>
      <c r="AH2374" s="166"/>
      <c r="AI2374" s="166"/>
    </row>
    <row r="2375" spans="7:35" x14ac:dyDescent="0.25">
      <c r="G2375" s="165"/>
      <c r="H2375" s="166"/>
      <c r="I2375" s="167"/>
      <c r="J2375" s="167"/>
      <c r="K2375" s="166"/>
      <c r="L2375" s="166"/>
      <c r="M2375" s="166"/>
      <c r="N2375" s="166"/>
      <c r="O2375" s="166"/>
      <c r="P2375" s="166"/>
      <c r="Q2375" s="166"/>
      <c r="R2375" s="166"/>
      <c r="S2375" s="166"/>
      <c r="T2375" s="166"/>
      <c r="U2375" s="166"/>
      <c r="V2375" s="166"/>
      <c r="W2375" s="166"/>
      <c r="X2375" s="166"/>
      <c r="Y2375" s="166"/>
      <c r="Z2375" s="166"/>
      <c r="AA2375" s="166"/>
      <c r="AB2375" s="166"/>
      <c r="AC2375" s="166"/>
      <c r="AD2375" s="166"/>
      <c r="AE2375" s="166"/>
      <c r="AF2375" s="166"/>
      <c r="AG2375" s="166"/>
      <c r="AH2375" s="166"/>
      <c r="AI2375" s="166"/>
    </row>
    <row r="2376" spans="7:35" x14ac:dyDescent="0.25">
      <c r="G2376" s="165"/>
      <c r="H2376" s="166"/>
      <c r="I2376" s="167"/>
      <c r="J2376" s="167"/>
      <c r="K2376" s="166"/>
      <c r="L2376" s="166"/>
      <c r="M2376" s="166"/>
      <c r="N2376" s="166"/>
      <c r="O2376" s="166"/>
      <c r="P2376" s="166"/>
      <c r="Q2376" s="166"/>
      <c r="R2376" s="166"/>
      <c r="S2376" s="166"/>
      <c r="T2376" s="166"/>
      <c r="U2376" s="166"/>
      <c r="V2376" s="166"/>
      <c r="W2376" s="166"/>
      <c r="X2376" s="166"/>
      <c r="Y2376" s="166"/>
      <c r="Z2376" s="166"/>
      <c r="AA2376" s="166"/>
      <c r="AB2376" s="166"/>
      <c r="AC2376" s="166"/>
      <c r="AD2376" s="166"/>
      <c r="AE2376" s="166"/>
      <c r="AF2376" s="166"/>
      <c r="AG2376" s="166"/>
      <c r="AH2376" s="166"/>
      <c r="AI2376" s="166"/>
    </row>
    <row r="2377" spans="7:35" x14ac:dyDescent="0.25">
      <c r="G2377" s="165"/>
      <c r="H2377" s="166"/>
      <c r="I2377" s="167"/>
      <c r="J2377" s="167"/>
      <c r="K2377" s="166"/>
      <c r="L2377" s="166"/>
      <c r="M2377" s="166"/>
      <c r="N2377" s="166"/>
      <c r="O2377" s="166"/>
      <c r="P2377" s="166"/>
      <c r="Q2377" s="166"/>
      <c r="R2377" s="166"/>
      <c r="S2377" s="166"/>
      <c r="T2377" s="166"/>
      <c r="U2377" s="166"/>
      <c r="V2377" s="166"/>
      <c r="W2377" s="166"/>
      <c r="X2377" s="166"/>
      <c r="Y2377" s="166"/>
      <c r="Z2377" s="166"/>
      <c r="AA2377" s="166"/>
      <c r="AB2377" s="166"/>
      <c r="AC2377" s="166"/>
      <c r="AD2377" s="166"/>
      <c r="AE2377" s="166"/>
      <c r="AF2377" s="166"/>
      <c r="AG2377" s="166"/>
      <c r="AH2377" s="166"/>
      <c r="AI2377" s="166"/>
    </row>
    <row r="2378" spans="7:35" x14ac:dyDescent="0.25">
      <c r="G2378" s="165"/>
      <c r="H2378" s="166"/>
      <c r="I2378" s="167"/>
      <c r="J2378" s="167"/>
      <c r="K2378" s="166"/>
      <c r="L2378" s="166"/>
      <c r="M2378" s="166"/>
      <c r="N2378" s="166"/>
      <c r="O2378" s="166"/>
      <c r="P2378" s="166"/>
      <c r="Q2378" s="166"/>
      <c r="R2378" s="166"/>
      <c r="S2378" s="166"/>
      <c r="T2378" s="166"/>
      <c r="U2378" s="166"/>
      <c r="V2378" s="166"/>
      <c r="W2378" s="166"/>
      <c r="X2378" s="166"/>
      <c r="Y2378" s="166"/>
      <c r="Z2378" s="166"/>
      <c r="AA2378" s="166"/>
      <c r="AB2378" s="166"/>
      <c r="AC2378" s="166"/>
      <c r="AD2378" s="166"/>
      <c r="AE2378" s="166"/>
      <c r="AF2378" s="166"/>
      <c r="AG2378" s="166"/>
      <c r="AH2378" s="166"/>
      <c r="AI2378" s="166"/>
    </row>
    <row r="2379" spans="7:35" x14ac:dyDescent="0.25">
      <c r="G2379" s="165"/>
      <c r="H2379" s="166"/>
      <c r="I2379" s="167"/>
      <c r="J2379" s="167"/>
      <c r="K2379" s="166"/>
      <c r="L2379" s="166"/>
      <c r="M2379" s="166"/>
      <c r="N2379" s="166"/>
      <c r="O2379" s="166"/>
      <c r="P2379" s="166"/>
      <c r="Q2379" s="166"/>
      <c r="R2379" s="166"/>
      <c r="S2379" s="166"/>
      <c r="T2379" s="166"/>
      <c r="U2379" s="166"/>
      <c r="V2379" s="166"/>
      <c r="W2379" s="166"/>
      <c r="X2379" s="166"/>
      <c r="Y2379" s="166"/>
      <c r="Z2379" s="166"/>
      <c r="AA2379" s="166"/>
      <c r="AB2379" s="166"/>
      <c r="AC2379" s="166"/>
      <c r="AD2379" s="166"/>
      <c r="AE2379" s="166"/>
      <c r="AF2379" s="166"/>
      <c r="AG2379" s="166"/>
      <c r="AH2379" s="166"/>
      <c r="AI2379" s="166"/>
    </row>
    <row r="2380" spans="7:35" x14ac:dyDescent="0.25">
      <c r="G2380" s="165"/>
      <c r="H2380" s="166"/>
      <c r="I2380" s="167"/>
      <c r="J2380" s="167"/>
      <c r="K2380" s="166"/>
      <c r="L2380" s="166"/>
      <c r="M2380" s="166"/>
      <c r="N2380" s="166"/>
      <c r="O2380" s="166"/>
      <c r="P2380" s="166"/>
      <c r="Q2380" s="166"/>
      <c r="R2380" s="166"/>
      <c r="S2380" s="166"/>
      <c r="T2380" s="166"/>
      <c r="U2380" s="166"/>
      <c r="V2380" s="166"/>
      <c r="W2380" s="166"/>
      <c r="X2380" s="166"/>
      <c r="Y2380" s="166"/>
      <c r="Z2380" s="166"/>
      <c r="AA2380" s="166"/>
      <c r="AB2380" s="166"/>
      <c r="AC2380" s="166"/>
      <c r="AD2380" s="166"/>
      <c r="AE2380" s="166"/>
      <c r="AF2380" s="166"/>
      <c r="AG2380" s="166"/>
      <c r="AH2380" s="166"/>
      <c r="AI2380" s="166"/>
    </row>
    <row r="2381" spans="7:35" x14ac:dyDescent="0.25">
      <c r="G2381" s="165"/>
      <c r="H2381" s="166"/>
      <c r="I2381" s="167"/>
      <c r="J2381" s="167"/>
      <c r="K2381" s="166"/>
      <c r="L2381" s="166"/>
      <c r="M2381" s="166"/>
      <c r="N2381" s="166"/>
      <c r="O2381" s="166"/>
      <c r="P2381" s="166"/>
      <c r="Q2381" s="166"/>
      <c r="R2381" s="166"/>
      <c r="S2381" s="166"/>
      <c r="T2381" s="166"/>
      <c r="U2381" s="166"/>
      <c r="V2381" s="166"/>
      <c r="W2381" s="166"/>
      <c r="X2381" s="166"/>
      <c r="Y2381" s="166"/>
      <c r="Z2381" s="166"/>
      <c r="AA2381" s="166"/>
      <c r="AB2381" s="166"/>
      <c r="AC2381" s="166"/>
      <c r="AD2381" s="166"/>
      <c r="AE2381" s="166"/>
      <c r="AF2381" s="166"/>
      <c r="AG2381" s="166"/>
      <c r="AH2381" s="166"/>
      <c r="AI2381" s="166"/>
    </row>
    <row r="2382" spans="7:35" x14ac:dyDescent="0.25">
      <c r="G2382" s="165"/>
      <c r="H2382" s="166"/>
      <c r="I2382" s="167"/>
      <c r="J2382" s="167"/>
      <c r="K2382" s="166"/>
      <c r="L2382" s="166"/>
      <c r="M2382" s="166"/>
      <c r="N2382" s="166"/>
      <c r="O2382" s="166"/>
      <c r="P2382" s="166"/>
      <c r="Q2382" s="166"/>
      <c r="R2382" s="166"/>
      <c r="S2382" s="166"/>
      <c r="T2382" s="166"/>
      <c r="U2382" s="166"/>
      <c r="V2382" s="166"/>
      <c r="W2382" s="166"/>
      <c r="X2382" s="166"/>
      <c r="Y2382" s="166"/>
      <c r="Z2382" s="166"/>
      <c r="AA2382" s="166"/>
      <c r="AB2382" s="166"/>
      <c r="AC2382" s="166"/>
      <c r="AD2382" s="166"/>
      <c r="AE2382" s="166"/>
      <c r="AF2382" s="166"/>
      <c r="AG2382" s="166"/>
      <c r="AH2382" s="166"/>
      <c r="AI2382" s="166"/>
    </row>
    <row r="2383" spans="7:35" x14ac:dyDescent="0.25">
      <c r="G2383" s="165"/>
      <c r="H2383" s="166"/>
      <c r="I2383" s="167"/>
      <c r="J2383" s="167"/>
      <c r="K2383" s="166"/>
      <c r="L2383" s="166"/>
      <c r="M2383" s="166"/>
      <c r="N2383" s="166"/>
      <c r="O2383" s="166"/>
      <c r="P2383" s="166"/>
      <c r="Q2383" s="166"/>
      <c r="R2383" s="166"/>
      <c r="S2383" s="166"/>
      <c r="T2383" s="166"/>
      <c r="U2383" s="166"/>
      <c r="V2383" s="166"/>
      <c r="W2383" s="166"/>
      <c r="X2383" s="166"/>
      <c r="Y2383" s="166"/>
      <c r="Z2383" s="166"/>
      <c r="AA2383" s="166"/>
      <c r="AB2383" s="166"/>
      <c r="AC2383" s="166"/>
      <c r="AD2383" s="166"/>
      <c r="AE2383" s="166"/>
      <c r="AF2383" s="166"/>
      <c r="AG2383" s="166"/>
      <c r="AH2383" s="166"/>
      <c r="AI2383" s="166"/>
    </row>
    <row r="2384" spans="7:35" x14ac:dyDescent="0.25">
      <c r="G2384" s="165"/>
      <c r="H2384" s="166"/>
      <c r="I2384" s="167"/>
      <c r="J2384" s="167"/>
      <c r="K2384" s="166"/>
      <c r="L2384" s="166"/>
      <c r="M2384" s="166"/>
      <c r="N2384" s="166"/>
      <c r="O2384" s="166"/>
      <c r="P2384" s="166"/>
      <c r="Q2384" s="166"/>
      <c r="R2384" s="166"/>
      <c r="S2384" s="166"/>
      <c r="T2384" s="166"/>
      <c r="U2384" s="166"/>
      <c r="V2384" s="166"/>
      <c r="W2384" s="166"/>
      <c r="X2384" s="166"/>
      <c r="Y2384" s="166"/>
      <c r="Z2384" s="166"/>
      <c r="AA2384" s="166"/>
      <c r="AB2384" s="166"/>
      <c r="AC2384" s="166"/>
      <c r="AD2384" s="166"/>
      <c r="AE2384" s="166"/>
      <c r="AF2384" s="166"/>
      <c r="AG2384" s="166"/>
      <c r="AH2384" s="166"/>
      <c r="AI2384" s="166"/>
    </row>
    <row r="2385" spans="7:35" x14ac:dyDescent="0.25">
      <c r="G2385" s="165"/>
      <c r="H2385" s="166"/>
      <c r="I2385" s="167"/>
      <c r="J2385" s="167"/>
      <c r="K2385" s="166"/>
      <c r="L2385" s="166"/>
      <c r="M2385" s="166"/>
      <c r="N2385" s="166"/>
      <c r="O2385" s="166"/>
      <c r="P2385" s="166"/>
      <c r="Q2385" s="166"/>
      <c r="R2385" s="166"/>
      <c r="S2385" s="166"/>
      <c r="T2385" s="166"/>
      <c r="U2385" s="166"/>
      <c r="V2385" s="166"/>
      <c r="W2385" s="166"/>
      <c r="X2385" s="166"/>
      <c r="Y2385" s="166"/>
      <c r="Z2385" s="166"/>
      <c r="AA2385" s="166"/>
      <c r="AB2385" s="166"/>
      <c r="AC2385" s="166"/>
      <c r="AD2385" s="166"/>
      <c r="AE2385" s="166"/>
      <c r="AF2385" s="166"/>
      <c r="AG2385" s="166"/>
      <c r="AH2385" s="166"/>
      <c r="AI2385" s="166"/>
    </row>
    <row r="2386" spans="7:35" x14ac:dyDescent="0.25">
      <c r="G2386" s="165"/>
      <c r="H2386" s="166"/>
      <c r="I2386" s="167"/>
      <c r="J2386" s="167"/>
      <c r="K2386" s="166"/>
      <c r="L2386" s="166"/>
      <c r="M2386" s="166"/>
      <c r="N2386" s="166"/>
      <c r="O2386" s="166"/>
      <c r="P2386" s="166"/>
      <c r="Q2386" s="166"/>
      <c r="R2386" s="166"/>
      <c r="S2386" s="166"/>
      <c r="T2386" s="166"/>
      <c r="U2386" s="166"/>
      <c r="V2386" s="166"/>
      <c r="W2386" s="166"/>
      <c r="X2386" s="166"/>
      <c r="Y2386" s="166"/>
      <c r="Z2386" s="166"/>
      <c r="AA2386" s="166"/>
      <c r="AB2386" s="166"/>
      <c r="AC2386" s="166"/>
      <c r="AD2386" s="166"/>
      <c r="AE2386" s="166"/>
      <c r="AF2386" s="166"/>
      <c r="AG2386" s="166"/>
      <c r="AH2386" s="166"/>
      <c r="AI2386" s="166"/>
    </row>
    <row r="2387" spans="7:35" x14ac:dyDescent="0.25">
      <c r="G2387" s="165"/>
      <c r="H2387" s="166"/>
      <c r="I2387" s="167"/>
      <c r="J2387" s="167"/>
      <c r="K2387" s="166"/>
      <c r="L2387" s="166"/>
      <c r="M2387" s="166"/>
      <c r="N2387" s="166"/>
      <c r="O2387" s="166"/>
      <c r="P2387" s="166"/>
      <c r="Q2387" s="166"/>
      <c r="R2387" s="166"/>
      <c r="S2387" s="166"/>
      <c r="T2387" s="166"/>
      <c r="U2387" s="166"/>
      <c r="V2387" s="166"/>
      <c r="W2387" s="166"/>
      <c r="X2387" s="166"/>
      <c r="Y2387" s="166"/>
      <c r="Z2387" s="166"/>
      <c r="AA2387" s="166"/>
      <c r="AB2387" s="166"/>
      <c r="AC2387" s="166"/>
      <c r="AD2387" s="166"/>
      <c r="AE2387" s="166"/>
      <c r="AF2387" s="166"/>
      <c r="AG2387" s="166"/>
      <c r="AH2387" s="166"/>
      <c r="AI2387" s="166"/>
    </row>
    <row r="2388" spans="7:35" x14ac:dyDescent="0.25">
      <c r="G2388" s="165"/>
      <c r="H2388" s="166"/>
      <c r="I2388" s="167"/>
      <c r="J2388" s="167"/>
      <c r="K2388" s="166"/>
      <c r="L2388" s="166"/>
      <c r="M2388" s="166"/>
      <c r="N2388" s="166"/>
      <c r="O2388" s="166"/>
      <c r="P2388" s="166"/>
      <c r="Q2388" s="166"/>
      <c r="R2388" s="166"/>
      <c r="S2388" s="166"/>
      <c r="T2388" s="166"/>
      <c r="U2388" s="166"/>
      <c r="V2388" s="166"/>
      <c r="W2388" s="166"/>
      <c r="X2388" s="166"/>
      <c r="Y2388" s="166"/>
      <c r="Z2388" s="166"/>
      <c r="AA2388" s="166"/>
      <c r="AB2388" s="166"/>
      <c r="AC2388" s="166"/>
      <c r="AD2388" s="166"/>
      <c r="AE2388" s="166"/>
      <c r="AF2388" s="166"/>
      <c r="AG2388" s="166"/>
      <c r="AH2388" s="166"/>
      <c r="AI2388" s="166"/>
    </row>
    <row r="2389" spans="7:35" x14ac:dyDescent="0.25">
      <c r="G2389" s="165"/>
      <c r="H2389" s="166"/>
      <c r="I2389" s="167"/>
      <c r="J2389" s="167"/>
      <c r="K2389" s="166"/>
      <c r="L2389" s="166"/>
      <c r="M2389" s="166"/>
      <c r="N2389" s="166"/>
      <c r="O2389" s="166"/>
      <c r="P2389" s="166"/>
      <c r="Q2389" s="166"/>
      <c r="R2389" s="166"/>
      <c r="S2389" s="166"/>
      <c r="T2389" s="166"/>
      <c r="U2389" s="166"/>
      <c r="V2389" s="166"/>
      <c r="W2389" s="166"/>
      <c r="X2389" s="166"/>
      <c r="Y2389" s="166"/>
      <c r="Z2389" s="166"/>
      <c r="AA2389" s="166"/>
      <c r="AB2389" s="166"/>
      <c r="AC2389" s="166"/>
      <c r="AD2389" s="166"/>
      <c r="AE2389" s="166"/>
      <c r="AF2389" s="166"/>
      <c r="AG2389" s="166"/>
      <c r="AH2389" s="166"/>
      <c r="AI2389" s="166"/>
    </row>
    <row r="2390" spans="7:35" x14ac:dyDescent="0.25">
      <c r="G2390" s="165"/>
      <c r="H2390" s="166"/>
      <c r="I2390" s="167"/>
      <c r="J2390" s="167"/>
      <c r="K2390" s="166"/>
      <c r="L2390" s="166"/>
      <c r="M2390" s="166"/>
      <c r="N2390" s="166"/>
      <c r="O2390" s="166"/>
      <c r="P2390" s="166"/>
      <c r="Q2390" s="166"/>
      <c r="R2390" s="166"/>
      <c r="S2390" s="166"/>
      <c r="T2390" s="166"/>
      <c r="U2390" s="166"/>
      <c r="V2390" s="166"/>
      <c r="W2390" s="166"/>
      <c r="X2390" s="166"/>
      <c r="Y2390" s="166"/>
      <c r="Z2390" s="166"/>
      <c r="AA2390" s="166"/>
      <c r="AB2390" s="166"/>
      <c r="AC2390" s="166"/>
      <c r="AD2390" s="166"/>
      <c r="AE2390" s="166"/>
      <c r="AF2390" s="166"/>
      <c r="AG2390" s="166"/>
      <c r="AH2390" s="166"/>
      <c r="AI2390" s="166"/>
    </row>
    <row r="2391" spans="7:35" x14ac:dyDescent="0.25">
      <c r="G2391" s="165"/>
      <c r="H2391" s="166"/>
      <c r="I2391" s="167"/>
      <c r="J2391" s="167"/>
      <c r="K2391" s="166"/>
      <c r="L2391" s="166"/>
      <c r="M2391" s="166"/>
      <c r="N2391" s="166"/>
      <c r="O2391" s="166"/>
      <c r="P2391" s="166"/>
      <c r="Q2391" s="166"/>
      <c r="R2391" s="166"/>
      <c r="S2391" s="166"/>
      <c r="T2391" s="166"/>
      <c r="U2391" s="166"/>
      <c r="V2391" s="166"/>
      <c r="W2391" s="166"/>
      <c r="X2391" s="166"/>
      <c r="Y2391" s="166"/>
      <c r="Z2391" s="166"/>
      <c r="AA2391" s="166"/>
      <c r="AB2391" s="166"/>
      <c r="AC2391" s="166"/>
      <c r="AD2391" s="166"/>
      <c r="AE2391" s="166"/>
      <c r="AF2391" s="166"/>
      <c r="AG2391" s="166"/>
      <c r="AH2391" s="166"/>
      <c r="AI2391" s="166"/>
    </row>
    <row r="2392" spans="7:35" x14ac:dyDescent="0.25">
      <c r="G2392" s="165"/>
      <c r="H2392" s="166"/>
      <c r="I2392" s="167"/>
      <c r="J2392" s="167"/>
      <c r="K2392" s="166"/>
      <c r="L2392" s="166"/>
      <c r="M2392" s="166"/>
      <c r="N2392" s="166"/>
      <c r="O2392" s="166"/>
      <c r="P2392" s="166"/>
      <c r="Q2392" s="166"/>
      <c r="R2392" s="166"/>
      <c r="S2392" s="166"/>
      <c r="T2392" s="166"/>
      <c r="U2392" s="166"/>
      <c r="V2392" s="166"/>
      <c r="W2392" s="166"/>
      <c r="X2392" s="166"/>
      <c r="Y2392" s="166"/>
      <c r="Z2392" s="166"/>
      <c r="AA2392" s="166"/>
      <c r="AB2392" s="166"/>
      <c r="AC2392" s="166"/>
      <c r="AD2392" s="166"/>
      <c r="AE2392" s="166"/>
      <c r="AF2392" s="166"/>
      <c r="AG2392" s="166"/>
      <c r="AH2392" s="166"/>
      <c r="AI2392" s="166"/>
    </row>
    <row r="2393" spans="7:35" x14ac:dyDescent="0.25">
      <c r="G2393" s="165"/>
      <c r="H2393" s="166"/>
      <c r="I2393" s="167"/>
      <c r="J2393" s="167"/>
      <c r="K2393" s="166"/>
      <c r="L2393" s="166"/>
      <c r="M2393" s="166"/>
      <c r="N2393" s="166"/>
      <c r="O2393" s="166"/>
      <c r="P2393" s="166"/>
      <c r="Q2393" s="166"/>
      <c r="R2393" s="166"/>
      <c r="S2393" s="166"/>
      <c r="T2393" s="166"/>
      <c r="U2393" s="166"/>
      <c r="V2393" s="166"/>
      <c r="W2393" s="166"/>
      <c r="X2393" s="166"/>
      <c r="Y2393" s="166"/>
      <c r="Z2393" s="166"/>
      <c r="AA2393" s="166"/>
      <c r="AB2393" s="166"/>
      <c r="AC2393" s="166"/>
      <c r="AD2393" s="166"/>
      <c r="AE2393" s="166"/>
      <c r="AF2393" s="166"/>
      <c r="AG2393" s="166"/>
      <c r="AH2393" s="166"/>
      <c r="AI2393" s="166"/>
    </row>
    <row r="2394" spans="7:35" x14ac:dyDescent="0.25">
      <c r="G2394" s="165"/>
      <c r="H2394" s="166"/>
      <c r="I2394" s="167"/>
      <c r="J2394" s="167"/>
      <c r="K2394" s="166"/>
      <c r="L2394" s="166"/>
      <c r="M2394" s="166"/>
      <c r="N2394" s="166"/>
      <c r="O2394" s="166"/>
      <c r="P2394" s="166"/>
      <c r="Q2394" s="166"/>
      <c r="R2394" s="166"/>
      <c r="S2394" s="166"/>
      <c r="T2394" s="166"/>
      <c r="U2394" s="166"/>
      <c r="V2394" s="166"/>
      <c r="W2394" s="166"/>
      <c r="X2394" s="166"/>
      <c r="Y2394" s="166"/>
      <c r="Z2394" s="166"/>
      <c r="AA2394" s="166"/>
      <c r="AB2394" s="166"/>
      <c r="AC2394" s="166"/>
      <c r="AD2394" s="166"/>
      <c r="AE2394" s="166"/>
      <c r="AF2394" s="166"/>
      <c r="AG2394" s="166"/>
      <c r="AH2394" s="166"/>
      <c r="AI2394" s="166"/>
    </row>
    <row r="2395" spans="7:35" x14ac:dyDescent="0.25">
      <c r="G2395" s="165"/>
      <c r="H2395" s="166"/>
      <c r="I2395" s="167"/>
      <c r="J2395" s="167"/>
      <c r="K2395" s="166"/>
      <c r="L2395" s="166"/>
      <c r="M2395" s="166"/>
      <c r="N2395" s="166"/>
      <c r="O2395" s="166"/>
      <c r="P2395" s="166"/>
      <c r="Q2395" s="166"/>
      <c r="R2395" s="166"/>
      <c r="S2395" s="166"/>
      <c r="T2395" s="166"/>
      <c r="U2395" s="166"/>
      <c r="V2395" s="166"/>
      <c r="W2395" s="166"/>
      <c r="X2395" s="166"/>
      <c r="Y2395" s="166"/>
      <c r="Z2395" s="166"/>
      <c r="AA2395" s="166"/>
      <c r="AB2395" s="166"/>
      <c r="AC2395" s="166"/>
      <c r="AD2395" s="166"/>
      <c r="AE2395" s="166"/>
      <c r="AF2395" s="166"/>
      <c r="AG2395" s="166"/>
      <c r="AH2395" s="166"/>
      <c r="AI2395" s="166"/>
    </row>
    <row r="2396" spans="7:35" x14ac:dyDescent="0.25">
      <c r="G2396" s="165"/>
      <c r="H2396" s="166"/>
      <c r="I2396" s="167"/>
      <c r="J2396" s="167"/>
      <c r="K2396" s="166"/>
      <c r="L2396" s="166"/>
      <c r="M2396" s="166"/>
      <c r="N2396" s="166"/>
      <c r="O2396" s="166"/>
      <c r="P2396" s="166"/>
      <c r="Q2396" s="166"/>
      <c r="R2396" s="166"/>
      <c r="S2396" s="166"/>
      <c r="T2396" s="166"/>
      <c r="U2396" s="166"/>
      <c r="V2396" s="166"/>
      <c r="W2396" s="166"/>
      <c r="X2396" s="166"/>
      <c r="Y2396" s="166"/>
      <c r="Z2396" s="166"/>
      <c r="AA2396" s="166"/>
      <c r="AB2396" s="166"/>
      <c r="AC2396" s="166"/>
      <c r="AD2396" s="166"/>
      <c r="AE2396" s="166"/>
      <c r="AF2396" s="166"/>
      <c r="AG2396" s="166"/>
      <c r="AH2396" s="166"/>
      <c r="AI2396" s="166"/>
    </row>
    <row r="2397" spans="7:35" x14ac:dyDescent="0.25">
      <c r="G2397" s="165"/>
      <c r="H2397" s="166"/>
      <c r="I2397" s="167"/>
      <c r="J2397" s="167"/>
      <c r="K2397" s="166"/>
      <c r="L2397" s="166"/>
      <c r="M2397" s="166"/>
      <c r="N2397" s="166"/>
      <c r="O2397" s="166"/>
      <c r="P2397" s="166"/>
      <c r="Q2397" s="166"/>
      <c r="R2397" s="166"/>
      <c r="S2397" s="166"/>
      <c r="T2397" s="166"/>
      <c r="U2397" s="166"/>
      <c r="V2397" s="166"/>
      <c r="W2397" s="166"/>
      <c r="X2397" s="166"/>
      <c r="Y2397" s="166"/>
      <c r="Z2397" s="166"/>
      <c r="AA2397" s="166"/>
      <c r="AB2397" s="166"/>
      <c r="AC2397" s="166"/>
      <c r="AD2397" s="166"/>
      <c r="AE2397" s="166"/>
      <c r="AF2397" s="166"/>
      <c r="AG2397" s="166"/>
      <c r="AH2397" s="166"/>
      <c r="AI2397" s="166"/>
    </row>
    <row r="2398" spans="7:35" x14ac:dyDescent="0.25">
      <c r="G2398" s="165"/>
      <c r="H2398" s="166"/>
      <c r="I2398" s="167"/>
      <c r="J2398" s="167"/>
      <c r="K2398" s="166"/>
      <c r="L2398" s="166"/>
      <c r="M2398" s="166"/>
      <c r="N2398" s="166"/>
      <c r="O2398" s="166"/>
      <c r="P2398" s="166"/>
      <c r="Q2398" s="166"/>
      <c r="R2398" s="166"/>
      <c r="S2398" s="166"/>
      <c r="T2398" s="166"/>
      <c r="U2398" s="166"/>
      <c r="V2398" s="166"/>
      <c r="W2398" s="166"/>
      <c r="X2398" s="166"/>
      <c r="Y2398" s="166"/>
      <c r="Z2398" s="166"/>
      <c r="AA2398" s="166"/>
      <c r="AB2398" s="166"/>
      <c r="AC2398" s="166"/>
      <c r="AD2398" s="166"/>
      <c r="AE2398" s="166"/>
      <c r="AF2398" s="166"/>
      <c r="AG2398" s="166"/>
      <c r="AH2398" s="166"/>
      <c r="AI2398" s="166"/>
    </row>
    <row r="2399" spans="7:35" x14ac:dyDescent="0.25">
      <c r="G2399" s="165"/>
      <c r="H2399" s="166"/>
      <c r="I2399" s="167"/>
      <c r="J2399" s="167"/>
      <c r="K2399" s="166"/>
      <c r="L2399" s="166"/>
      <c r="M2399" s="166"/>
      <c r="N2399" s="166"/>
      <c r="O2399" s="166"/>
      <c r="P2399" s="166"/>
      <c r="Q2399" s="166"/>
      <c r="R2399" s="166"/>
      <c r="S2399" s="166"/>
      <c r="T2399" s="166"/>
      <c r="U2399" s="166"/>
      <c r="V2399" s="166"/>
      <c r="W2399" s="166"/>
      <c r="X2399" s="166"/>
      <c r="Y2399" s="166"/>
      <c r="Z2399" s="166"/>
      <c r="AA2399" s="166"/>
      <c r="AB2399" s="166"/>
      <c r="AC2399" s="166"/>
      <c r="AD2399" s="166"/>
      <c r="AE2399" s="166"/>
      <c r="AF2399" s="166"/>
      <c r="AG2399" s="166"/>
      <c r="AH2399" s="166"/>
      <c r="AI2399" s="166"/>
    </row>
    <row r="2400" spans="7:35" x14ac:dyDescent="0.25">
      <c r="G2400" s="165"/>
      <c r="H2400" s="166"/>
      <c r="I2400" s="167"/>
      <c r="J2400" s="167"/>
      <c r="K2400" s="166"/>
      <c r="L2400" s="166"/>
      <c r="M2400" s="166"/>
      <c r="N2400" s="166"/>
      <c r="O2400" s="166"/>
      <c r="P2400" s="166"/>
      <c r="Q2400" s="166"/>
      <c r="R2400" s="166"/>
      <c r="S2400" s="166"/>
      <c r="T2400" s="166"/>
      <c r="U2400" s="166"/>
      <c r="V2400" s="166"/>
      <c r="W2400" s="166"/>
      <c r="X2400" s="166"/>
      <c r="Y2400" s="166"/>
      <c r="Z2400" s="166"/>
      <c r="AA2400" s="166"/>
      <c r="AB2400" s="166"/>
      <c r="AC2400" s="166"/>
      <c r="AD2400" s="166"/>
      <c r="AE2400" s="166"/>
      <c r="AF2400" s="166"/>
      <c r="AG2400" s="166"/>
      <c r="AH2400" s="166"/>
      <c r="AI2400" s="166"/>
    </row>
    <row r="2401" spans="7:35" x14ac:dyDescent="0.25">
      <c r="G2401" s="165"/>
      <c r="H2401" s="166"/>
      <c r="I2401" s="167"/>
      <c r="J2401" s="167"/>
      <c r="K2401" s="166"/>
      <c r="L2401" s="166"/>
      <c r="M2401" s="166"/>
      <c r="N2401" s="166"/>
      <c r="O2401" s="166"/>
      <c r="P2401" s="166"/>
      <c r="Q2401" s="166"/>
      <c r="R2401" s="166"/>
      <c r="S2401" s="166"/>
      <c r="T2401" s="166"/>
      <c r="U2401" s="166"/>
      <c r="V2401" s="166"/>
      <c r="W2401" s="166"/>
      <c r="X2401" s="166"/>
      <c r="Y2401" s="166"/>
      <c r="Z2401" s="166"/>
      <c r="AA2401" s="166"/>
      <c r="AB2401" s="166"/>
      <c r="AC2401" s="166"/>
      <c r="AD2401" s="166"/>
      <c r="AE2401" s="166"/>
      <c r="AF2401" s="166"/>
      <c r="AG2401" s="166"/>
      <c r="AH2401" s="166"/>
      <c r="AI2401" s="166"/>
    </row>
    <row r="2402" spans="7:35" x14ac:dyDescent="0.25">
      <c r="G2402" s="165"/>
      <c r="H2402" s="166"/>
      <c r="I2402" s="167"/>
      <c r="J2402" s="167"/>
      <c r="K2402" s="166"/>
      <c r="L2402" s="166"/>
      <c r="M2402" s="166"/>
      <c r="N2402" s="166"/>
      <c r="O2402" s="166"/>
      <c r="P2402" s="166"/>
      <c r="Q2402" s="166"/>
      <c r="R2402" s="166"/>
      <c r="S2402" s="166"/>
      <c r="T2402" s="166"/>
      <c r="U2402" s="166"/>
      <c r="V2402" s="166"/>
      <c r="W2402" s="166"/>
      <c r="X2402" s="166"/>
      <c r="Y2402" s="166"/>
      <c r="Z2402" s="166"/>
      <c r="AA2402" s="166"/>
      <c r="AB2402" s="166"/>
      <c r="AC2402" s="166"/>
      <c r="AD2402" s="166"/>
      <c r="AE2402" s="166"/>
      <c r="AF2402" s="166"/>
      <c r="AG2402" s="166"/>
      <c r="AH2402" s="166"/>
      <c r="AI2402" s="166"/>
    </row>
    <row r="2403" spans="7:35" x14ac:dyDescent="0.25">
      <c r="G2403" s="165"/>
      <c r="H2403" s="166"/>
      <c r="I2403" s="167"/>
      <c r="J2403" s="167"/>
      <c r="K2403" s="166"/>
      <c r="L2403" s="166"/>
      <c r="M2403" s="166"/>
      <c r="N2403" s="166"/>
      <c r="O2403" s="166"/>
      <c r="P2403" s="166"/>
      <c r="Q2403" s="166"/>
      <c r="R2403" s="166"/>
      <c r="S2403" s="166"/>
      <c r="T2403" s="166"/>
      <c r="U2403" s="166"/>
      <c r="V2403" s="166"/>
      <c r="W2403" s="166"/>
      <c r="X2403" s="166"/>
      <c r="Y2403" s="166"/>
      <c r="Z2403" s="166"/>
      <c r="AA2403" s="166"/>
      <c r="AB2403" s="166"/>
      <c r="AC2403" s="166"/>
      <c r="AD2403" s="166"/>
      <c r="AE2403" s="166"/>
      <c r="AF2403" s="166"/>
      <c r="AG2403" s="166"/>
      <c r="AH2403" s="166"/>
      <c r="AI2403" s="166"/>
    </row>
    <row r="2404" spans="7:35" x14ac:dyDescent="0.25">
      <c r="G2404" s="165"/>
      <c r="H2404" s="166"/>
      <c r="I2404" s="167"/>
      <c r="J2404" s="167"/>
      <c r="K2404" s="166"/>
      <c r="L2404" s="166"/>
      <c r="M2404" s="166"/>
      <c r="N2404" s="166"/>
      <c r="O2404" s="166"/>
      <c r="P2404" s="166"/>
      <c r="Q2404" s="166"/>
      <c r="R2404" s="166"/>
      <c r="S2404" s="166"/>
      <c r="T2404" s="166"/>
      <c r="U2404" s="166"/>
      <c r="V2404" s="166"/>
      <c r="W2404" s="166"/>
      <c r="X2404" s="166"/>
      <c r="Y2404" s="166"/>
      <c r="Z2404" s="166"/>
      <c r="AA2404" s="166"/>
      <c r="AB2404" s="166"/>
      <c r="AC2404" s="166"/>
      <c r="AD2404" s="166"/>
      <c r="AE2404" s="166"/>
      <c r="AF2404" s="166"/>
      <c r="AG2404" s="166"/>
      <c r="AH2404" s="166"/>
      <c r="AI2404" s="166"/>
    </row>
    <row r="2405" spans="7:35" x14ac:dyDescent="0.25">
      <c r="G2405" s="165"/>
      <c r="H2405" s="166"/>
      <c r="I2405" s="167"/>
      <c r="J2405" s="167"/>
      <c r="K2405" s="166"/>
      <c r="L2405" s="166"/>
      <c r="M2405" s="166"/>
      <c r="N2405" s="166"/>
      <c r="O2405" s="166"/>
      <c r="P2405" s="166"/>
      <c r="Q2405" s="166"/>
      <c r="R2405" s="166"/>
      <c r="S2405" s="166"/>
      <c r="T2405" s="166"/>
      <c r="U2405" s="166"/>
      <c r="V2405" s="166"/>
      <c r="W2405" s="166"/>
      <c r="X2405" s="166"/>
      <c r="Y2405" s="166"/>
      <c r="Z2405" s="166"/>
      <c r="AA2405" s="166"/>
      <c r="AB2405" s="166"/>
      <c r="AC2405" s="166"/>
      <c r="AD2405" s="166"/>
      <c r="AE2405" s="166"/>
      <c r="AF2405" s="166"/>
      <c r="AG2405" s="166"/>
      <c r="AH2405" s="166"/>
      <c r="AI2405" s="166"/>
    </row>
    <row r="2406" spans="7:35" x14ac:dyDescent="0.25">
      <c r="G2406" s="165"/>
      <c r="H2406" s="166"/>
      <c r="I2406" s="167"/>
      <c r="J2406" s="167"/>
      <c r="K2406" s="166"/>
      <c r="L2406" s="166"/>
      <c r="M2406" s="166"/>
      <c r="N2406" s="166"/>
      <c r="O2406" s="166"/>
      <c r="P2406" s="166"/>
      <c r="Q2406" s="166"/>
      <c r="R2406" s="166"/>
      <c r="S2406" s="166"/>
      <c r="T2406" s="166"/>
      <c r="U2406" s="166"/>
      <c r="V2406" s="166"/>
      <c r="W2406" s="166"/>
      <c r="X2406" s="166"/>
      <c r="Y2406" s="166"/>
      <c r="Z2406" s="166"/>
      <c r="AA2406" s="166"/>
      <c r="AB2406" s="166"/>
      <c r="AC2406" s="166"/>
      <c r="AD2406" s="166"/>
      <c r="AE2406" s="166"/>
      <c r="AF2406" s="166"/>
      <c r="AG2406" s="166"/>
      <c r="AH2406" s="166"/>
      <c r="AI2406" s="166"/>
    </row>
    <row r="2407" spans="7:35" x14ac:dyDescent="0.25">
      <c r="G2407" s="165"/>
      <c r="H2407" s="166"/>
      <c r="I2407" s="167"/>
      <c r="J2407" s="167"/>
      <c r="K2407" s="166"/>
      <c r="L2407" s="166"/>
      <c r="M2407" s="166"/>
      <c r="N2407" s="166"/>
      <c r="O2407" s="166"/>
      <c r="P2407" s="166"/>
      <c r="Q2407" s="166"/>
      <c r="R2407" s="166"/>
      <c r="S2407" s="166"/>
      <c r="T2407" s="166"/>
      <c r="U2407" s="166"/>
      <c r="V2407" s="166"/>
      <c r="W2407" s="166"/>
      <c r="X2407" s="166"/>
      <c r="Y2407" s="166"/>
      <c r="Z2407" s="166"/>
      <c r="AA2407" s="166"/>
      <c r="AB2407" s="166"/>
      <c r="AC2407" s="166"/>
      <c r="AD2407" s="166"/>
      <c r="AE2407" s="166"/>
      <c r="AF2407" s="166"/>
      <c r="AG2407" s="166"/>
      <c r="AH2407" s="166"/>
      <c r="AI2407" s="166"/>
    </row>
    <row r="2408" spans="7:35" x14ac:dyDescent="0.25">
      <c r="G2408" s="165"/>
      <c r="H2408" s="166"/>
      <c r="I2408" s="167"/>
      <c r="J2408" s="167"/>
      <c r="K2408" s="166"/>
      <c r="L2408" s="166"/>
      <c r="M2408" s="166"/>
      <c r="N2408" s="166"/>
      <c r="O2408" s="166"/>
      <c r="P2408" s="166"/>
      <c r="Q2408" s="166"/>
      <c r="R2408" s="166"/>
      <c r="S2408" s="166"/>
      <c r="T2408" s="166"/>
      <c r="U2408" s="166"/>
      <c r="V2408" s="166"/>
      <c r="W2408" s="166"/>
      <c r="X2408" s="166"/>
      <c r="Y2408" s="166"/>
      <c r="Z2408" s="166"/>
      <c r="AA2408" s="166"/>
      <c r="AB2408" s="166"/>
      <c r="AC2408" s="166"/>
      <c r="AD2408" s="166"/>
      <c r="AE2408" s="166"/>
      <c r="AF2408" s="166"/>
      <c r="AG2408" s="166"/>
      <c r="AH2408" s="166"/>
      <c r="AI2408" s="166"/>
    </row>
    <row r="2409" spans="7:35" x14ac:dyDescent="0.25">
      <c r="G2409" s="165"/>
      <c r="H2409" s="166"/>
      <c r="I2409" s="167"/>
      <c r="J2409" s="167"/>
      <c r="K2409" s="166"/>
      <c r="L2409" s="166"/>
      <c r="M2409" s="166"/>
      <c r="N2409" s="166"/>
      <c r="O2409" s="166"/>
      <c r="P2409" s="166"/>
      <c r="Q2409" s="166"/>
      <c r="R2409" s="166"/>
      <c r="S2409" s="166"/>
      <c r="T2409" s="166"/>
      <c r="U2409" s="166"/>
      <c r="V2409" s="166"/>
      <c r="W2409" s="166"/>
      <c r="X2409" s="166"/>
      <c r="Y2409" s="166"/>
      <c r="Z2409" s="166"/>
      <c r="AA2409" s="166"/>
      <c r="AB2409" s="166"/>
      <c r="AC2409" s="166"/>
      <c r="AD2409" s="166"/>
      <c r="AE2409" s="166"/>
      <c r="AF2409" s="166"/>
      <c r="AG2409" s="166"/>
      <c r="AH2409" s="166"/>
      <c r="AI2409" s="166"/>
    </row>
    <row r="2410" spans="7:35" x14ac:dyDescent="0.25">
      <c r="G2410" s="165"/>
      <c r="H2410" s="166"/>
      <c r="I2410" s="167"/>
      <c r="J2410" s="167"/>
      <c r="K2410" s="166"/>
      <c r="L2410" s="166"/>
      <c r="M2410" s="166"/>
      <c r="N2410" s="166"/>
      <c r="O2410" s="166"/>
      <c r="P2410" s="166"/>
      <c r="Q2410" s="166"/>
      <c r="R2410" s="166"/>
      <c r="S2410" s="166"/>
      <c r="T2410" s="166"/>
      <c r="U2410" s="166"/>
      <c r="V2410" s="166"/>
      <c r="W2410" s="166"/>
      <c r="X2410" s="166"/>
      <c r="Y2410" s="166"/>
      <c r="Z2410" s="166"/>
      <c r="AA2410" s="166"/>
      <c r="AB2410" s="166"/>
      <c r="AC2410" s="166"/>
      <c r="AD2410" s="166"/>
      <c r="AE2410" s="166"/>
      <c r="AF2410" s="166"/>
      <c r="AG2410" s="166"/>
      <c r="AH2410" s="166"/>
      <c r="AI2410" s="166"/>
    </row>
    <row r="2411" spans="7:35" x14ac:dyDescent="0.25">
      <c r="G2411" s="165"/>
      <c r="H2411" s="166"/>
      <c r="I2411" s="167"/>
      <c r="J2411" s="167"/>
      <c r="K2411" s="166"/>
      <c r="L2411" s="166"/>
      <c r="M2411" s="166"/>
      <c r="N2411" s="166"/>
      <c r="O2411" s="166"/>
      <c r="P2411" s="166"/>
      <c r="Q2411" s="166"/>
      <c r="R2411" s="166"/>
      <c r="S2411" s="166"/>
      <c r="T2411" s="166"/>
      <c r="U2411" s="166"/>
      <c r="V2411" s="166"/>
      <c r="W2411" s="166"/>
      <c r="X2411" s="166"/>
      <c r="Y2411" s="166"/>
      <c r="Z2411" s="166"/>
      <c r="AA2411" s="166"/>
      <c r="AB2411" s="166"/>
      <c r="AC2411" s="166"/>
      <c r="AD2411" s="166"/>
      <c r="AE2411" s="166"/>
      <c r="AF2411" s="166"/>
      <c r="AG2411" s="166"/>
      <c r="AH2411" s="166"/>
      <c r="AI2411" s="166"/>
    </row>
    <row r="2412" spans="7:35" x14ac:dyDescent="0.25">
      <c r="G2412" s="165"/>
      <c r="H2412" s="166"/>
      <c r="I2412" s="167"/>
      <c r="J2412" s="167"/>
      <c r="K2412" s="166"/>
      <c r="L2412" s="166"/>
      <c r="M2412" s="166"/>
      <c r="N2412" s="166"/>
      <c r="O2412" s="166"/>
      <c r="P2412" s="166"/>
      <c r="Q2412" s="166"/>
      <c r="R2412" s="166"/>
      <c r="S2412" s="166"/>
      <c r="T2412" s="166"/>
      <c r="U2412" s="166"/>
      <c r="V2412" s="166"/>
      <c r="W2412" s="166"/>
      <c r="X2412" s="166"/>
      <c r="Y2412" s="166"/>
      <c r="Z2412" s="166"/>
      <c r="AA2412" s="166"/>
      <c r="AB2412" s="166"/>
      <c r="AC2412" s="166"/>
      <c r="AD2412" s="166"/>
      <c r="AE2412" s="166"/>
      <c r="AF2412" s="166"/>
      <c r="AG2412" s="166"/>
      <c r="AH2412" s="166"/>
      <c r="AI2412" s="166"/>
    </row>
    <row r="2413" spans="7:35" x14ac:dyDescent="0.25">
      <c r="G2413" s="165"/>
      <c r="H2413" s="166"/>
      <c r="I2413" s="167"/>
      <c r="J2413" s="167"/>
      <c r="K2413" s="166"/>
      <c r="L2413" s="166"/>
      <c r="M2413" s="166"/>
      <c r="N2413" s="166"/>
      <c r="O2413" s="166"/>
      <c r="P2413" s="166"/>
      <c r="Q2413" s="166"/>
      <c r="R2413" s="166"/>
      <c r="S2413" s="166"/>
      <c r="T2413" s="166"/>
      <c r="U2413" s="166"/>
      <c r="V2413" s="166"/>
      <c r="W2413" s="166"/>
      <c r="X2413" s="166"/>
      <c r="Y2413" s="166"/>
      <c r="Z2413" s="166"/>
      <c r="AA2413" s="166"/>
      <c r="AB2413" s="166"/>
      <c r="AC2413" s="166"/>
      <c r="AD2413" s="166"/>
      <c r="AE2413" s="166"/>
      <c r="AF2413" s="166"/>
      <c r="AG2413" s="166"/>
      <c r="AH2413" s="166"/>
      <c r="AI2413" s="166"/>
    </row>
    <row r="2414" spans="7:35" x14ac:dyDescent="0.25">
      <c r="G2414" s="165"/>
      <c r="H2414" s="166"/>
      <c r="I2414" s="167"/>
      <c r="J2414" s="167"/>
      <c r="K2414" s="166"/>
      <c r="L2414" s="166"/>
      <c r="M2414" s="166"/>
      <c r="N2414" s="166"/>
      <c r="O2414" s="166"/>
      <c r="P2414" s="166"/>
      <c r="Q2414" s="166"/>
      <c r="R2414" s="166"/>
      <c r="S2414" s="166"/>
      <c r="T2414" s="166"/>
      <c r="U2414" s="166"/>
      <c r="V2414" s="166"/>
      <c r="W2414" s="166"/>
      <c r="X2414" s="166"/>
      <c r="Y2414" s="166"/>
      <c r="Z2414" s="166"/>
      <c r="AA2414" s="166"/>
      <c r="AB2414" s="166"/>
      <c r="AC2414" s="166"/>
      <c r="AD2414" s="166"/>
      <c r="AE2414" s="166"/>
      <c r="AF2414" s="166"/>
      <c r="AG2414" s="166"/>
      <c r="AH2414" s="166"/>
      <c r="AI2414" s="166"/>
    </row>
    <row r="2415" spans="7:35" x14ac:dyDescent="0.25">
      <c r="G2415" s="165"/>
      <c r="H2415" s="166"/>
      <c r="I2415" s="167"/>
      <c r="J2415" s="167"/>
      <c r="K2415" s="166"/>
      <c r="L2415" s="166"/>
      <c r="M2415" s="166"/>
      <c r="N2415" s="166"/>
      <c r="O2415" s="166"/>
      <c r="P2415" s="166"/>
      <c r="Q2415" s="166"/>
      <c r="R2415" s="166"/>
      <c r="S2415" s="166"/>
      <c r="T2415" s="166"/>
      <c r="U2415" s="166"/>
      <c r="V2415" s="166"/>
      <c r="W2415" s="166"/>
      <c r="X2415" s="166"/>
      <c r="Y2415" s="166"/>
      <c r="Z2415" s="166"/>
      <c r="AA2415" s="166"/>
      <c r="AB2415" s="166"/>
      <c r="AC2415" s="166"/>
      <c r="AD2415" s="166"/>
      <c r="AE2415" s="166"/>
      <c r="AF2415" s="166"/>
      <c r="AG2415" s="166"/>
      <c r="AH2415" s="166"/>
      <c r="AI2415" s="166"/>
    </row>
    <row r="2416" spans="7:35" x14ac:dyDescent="0.25">
      <c r="G2416" s="165"/>
      <c r="H2416" s="166"/>
      <c r="I2416" s="167"/>
      <c r="J2416" s="167"/>
      <c r="K2416" s="166"/>
      <c r="L2416" s="166"/>
      <c r="M2416" s="166"/>
      <c r="N2416" s="166"/>
      <c r="O2416" s="166"/>
      <c r="P2416" s="166"/>
      <c r="Q2416" s="166"/>
      <c r="R2416" s="166"/>
      <c r="S2416" s="166"/>
      <c r="T2416" s="166"/>
      <c r="U2416" s="166"/>
      <c r="V2416" s="166"/>
      <c r="W2416" s="166"/>
      <c r="X2416" s="166"/>
      <c r="Y2416" s="166"/>
      <c r="Z2416" s="166"/>
      <c r="AA2416" s="166"/>
      <c r="AB2416" s="166"/>
      <c r="AC2416" s="166"/>
      <c r="AD2416" s="166"/>
      <c r="AE2416" s="166"/>
      <c r="AF2416" s="166"/>
      <c r="AG2416" s="166"/>
      <c r="AH2416" s="166"/>
      <c r="AI2416" s="166"/>
    </row>
    <row r="2417" spans="7:35" x14ac:dyDescent="0.25">
      <c r="G2417" s="165"/>
      <c r="H2417" s="166"/>
      <c r="I2417" s="167"/>
      <c r="J2417" s="167"/>
      <c r="K2417" s="166"/>
      <c r="L2417" s="166"/>
      <c r="M2417" s="166"/>
      <c r="N2417" s="166"/>
      <c r="O2417" s="166"/>
      <c r="P2417" s="166"/>
      <c r="Q2417" s="166"/>
      <c r="R2417" s="166"/>
      <c r="S2417" s="166"/>
      <c r="T2417" s="166"/>
      <c r="U2417" s="166"/>
      <c r="V2417" s="166"/>
      <c r="W2417" s="166"/>
      <c r="X2417" s="166"/>
      <c r="Y2417" s="166"/>
      <c r="Z2417" s="166"/>
      <c r="AA2417" s="166"/>
      <c r="AB2417" s="166"/>
      <c r="AC2417" s="166"/>
      <c r="AD2417" s="166"/>
      <c r="AE2417" s="166"/>
      <c r="AF2417" s="166"/>
      <c r="AG2417" s="166"/>
      <c r="AH2417" s="166"/>
      <c r="AI2417" s="166"/>
    </row>
    <row r="2418" spans="7:35" x14ac:dyDescent="0.25">
      <c r="G2418" s="165"/>
      <c r="H2418" s="166"/>
      <c r="I2418" s="167"/>
      <c r="J2418" s="167"/>
      <c r="K2418" s="166"/>
      <c r="L2418" s="166"/>
      <c r="M2418" s="166"/>
      <c r="N2418" s="166"/>
      <c r="O2418" s="166"/>
      <c r="P2418" s="166"/>
      <c r="Q2418" s="166"/>
      <c r="R2418" s="166"/>
      <c r="S2418" s="166"/>
      <c r="T2418" s="166"/>
      <c r="U2418" s="166"/>
      <c r="V2418" s="166"/>
      <c r="W2418" s="166"/>
      <c r="X2418" s="166"/>
      <c r="Y2418" s="166"/>
      <c r="Z2418" s="166"/>
      <c r="AA2418" s="166"/>
      <c r="AB2418" s="166"/>
      <c r="AC2418" s="166"/>
      <c r="AD2418" s="166"/>
      <c r="AE2418" s="166"/>
      <c r="AF2418" s="166"/>
      <c r="AG2418" s="166"/>
      <c r="AH2418" s="166"/>
      <c r="AI2418" s="166"/>
    </row>
    <row r="2419" spans="7:35" x14ac:dyDescent="0.25">
      <c r="G2419" s="165"/>
      <c r="H2419" s="166"/>
      <c r="I2419" s="167"/>
      <c r="J2419" s="167"/>
      <c r="K2419" s="166"/>
      <c r="L2419" s="166"/>
      <c r="M2419" s="166"/>
      <c r="N2419" s="166"/>
      <c r="O2419" s="166"/>
      <c r="P2419" s="166"/>
      <c r="Q2419" s="166"/>
      <c r="R2419" s="166"/>
      <c r="S2419" s="166"/>
      <c r="T2419" s="166"/>
      <c r="U2419" s="166"/>
      <c r="V2419" s="166"/>
      <c r="W2419" s="166"/>
      <c r="X2419" s="166"/>
      <c r="Y2419" s="166"/>
      <c r="Z2419" s="166"/>
      <c r="AA2419" s="166"/>
      <c r="AB2419" s="166"/>
      <c r="AC2419" s="166"/>
      <c r="AD2419" s="166"/>
      <c r="AE2419" s="166"/>
      <c r="AF2419" s="166"/>
      <c r="AG2419" s="166"/>
      <c r="AH2419" s="166"/>
      <c r="AI2419" s="166"/>
    </row>
    <row r="2420" spans="7:35" x14ac:dyDescent="0.25">
      <c r="G2420" s="165"/>
      <c r="H2420" s="166"/>
      <c r="I2420" s="167"/>
      <c r="J2420" s="167"/>
      <c r="K2420" s="166"/>
      <c r="L2420" s="166"/>
      <c r="M2420" s="166"/>
      <c r="N2420" s="166"/>
      <c r="O2420" s="166"/>
      <c r="P2420" s="166"/>
      <c r="Q2420" s="166"/>
      <c r="R2420" s="166"/>
      <c r="S2420" s="166"/>
      <c r="T2420" s="166"/>
      <c r="U2420" s="166"/>
      <c r="V2420" s="166"/>
      <c r="W2420" s="166"/>
      <c r="X2420" s="166"/>
      <c r="Y2420" s="166"/>
      <c r="Z2420" s="166"/>
      <c r="AA2420" s="166"/>
      <c r="AB2420" s="166"/>
      <c r="AC2420" s="166"/>
      <c r="AD2420" s="166"/>
      <c r="AE2420" s="166"/>
      <c r="AF2420" s="166"/>
      <c r="AG2420" s="166"/>
      <c r="AH2420" s="166"/>
      <c r="AI2420" s="166"/>
    </row>
    <row r="2421" spans="7:35" x14ac:dyDescent="0.25">
      <c r="G2421" s="165"/>
      <c r="H2421" s="166"/>
      <c r="I2421" s="167"/>
      <c r="J2421" s="167"/>
      <c r="K2421" s="166"/>
      <c r="L2421" s="166"/>
      <c r="M2421" s="166"/>
      <c r="N2421" s="166"/>
      <c r="O2421" s="166"/>
      <c r="P2421" s="166"/>
      <c r="Q2421" s="166"/>
      <c r="R2421" s="166"/>
      <c r="S2421" s="166"/>
      <c r="T2421" s="166"/>
      <c r="U2421" s="166"/>
      <c r="V2421" s="166"/>
      <c r="W2421" s="166"/>
      <c r="X2421" s="166"/>
      <c r="Y2421" s="166"/>
      <c r="Z2421" s="166"/>
      <c r="AA2421" s="166"/>
      <c r="AB2421" s="166"/>
      <c r="AC2421" s="166"/>
      <c r="AD2421" s="166"/>
      <c r="AE2421" s="166"/>
      <c r="AF2421" s="166"/>
      <c r="AG2421" s="166"/>
      <c r="AH2421" s="166"/>
      <c r="AI2421" s="166"/>
    </row>
    <row r="2422" spans="7:35" x14ac:dyDescent="0.25">
      <c r="G2422" s="165"/>
      <c r="H2422" s="166"/>
      <c r="I2422" s="167"/>
      <c r="J2422" s="167"/>
      <c r="K2422" s="166"/>
      <c r="L2422" s="166"/>
      <c r="M2422" s="166"/>
      <c r="N2422" s="166"/>
      <c r="O2422" s="166"/>
      <c r="P2422" s="166"/>
      <c r="Q2422" s="166"/>
      <c r="R2422" s="166"/>
      <c r="S2422" s="166"/>
      <c r="T2422" s="166"/>
      <c r="U2422" s="166"/>
      <c r="V2422" s="166"/>
      <c r="W2422" s="166"/>
      <c r="X2422" s="166"/>
      <c r="Y2422" s="166"/>
      <c r="Z2422" s="166"/>
      <c r="AA2422" s="166"/>
      <c r="AB2422" s="166"/>
      <c r="AC2422" s="166"/>
      <c r="AD2422" s="166"/>
      <c r="AE2422" s="166"/>
      <c r="AF2422" s="166"/>
      <c r="AG2422" s="166"/>
      <c r="AH2422" s="166"/>
      <c r="AI2422" s="166"/>
    </row>
    <row r="2423" spans="7:35" x14ac:dyDescent="0.25">
      <c r="G2423" s="165"/>
      <c r="H2423" s="166"/>
      <c r="I2423" s="167"/>
      <c r="J2423" s="167"/>
      <c r="K2423" s="166"/>
      <c r="L2423" s="166"/>
      <c r="M2423" s="166"/>
      <c r="N2423" s="166"/>
      <c r="O2423" s="166"/>
      <c r="P2423" s="166"/>
      <c r="Q2423" s="166"/>
      <c r="R2423" s="166"/>
      <c r="S2423" s="166"/>
      <c r="T2423" s="166"/>
      <c r="U2423" s="166"/>
      <c r="V2423" s="166"/>
      <c r="W2423" s="166"/>
      <c r="X2423" s="166"/>
      <c r="Y2423" s="166"/>
      <c r="Z2423" s="166"/>
      <c r="AA2423" s="166"/>
      <c r="AB2423" s="166"/>
      <c r="AC2423" s="166"/>
      <c r="AD2423" s="166"/>
      <c r="AE2423" s="166"/>
      <c r="AF2423" s="166"/>
      <c r="AG2423" s="166"/>
      <c r="AH2423" s="166"/>
      <c r="AI2423" s="166"/>
    </row>
    <row r="2424" spans="7:35" x14ac:dyDescent="0.25">
      <c r="G2424" s="165"/>
      <c r="H2424" s="166"/>
      <c r="I2424" s="167"/>
      <c r="J2424" s="167"/>
      <c r="K2424" s="166"/>
      <c r="L2424" s="166"/>
      <c r="M2424" s="166"/>
      <c r="N2424" s="166"/>
      <c r="O2424" s="166"/>
      <c r="P2424" s="166"/>
      <c r="Q2424" s="166"/>
      <c r="R2424" s="166"/>
      <c r="S2424" s="166"/>
      <c r="T2424" s="166"/>
      <c r="U2424" s="166"/>
      <c r="V2424" s="166"/>
      <c r="W2424" s="166"/>
      <c r="X2424" s="166"/>
      <c r="Y2424" s="166"/>
      <c r="Z2424" s="166"/>
      <c r="AA2424" s="166"/>
      <c r="AB2424" s="166"/>
      <c r="AC2424" s="166"/>
      <c r="AD2424" s="166"/>
      <c r="AE2424" s="166"/>
      <c r="AF2424" s="166"/>
      <c r="AG2424" s="166"/>
      <c r="AH2424" s="166"/>
      <c r="AI2424" s="166"/>
    </row>
    <row r="2425" spans="7:35" x14ac:dyDescent="0.25">
      <c r="G2425" s="165"/>
      <c r="H2425" s="166"/>
      <c r="I2425" s="167"/>
      <c r="J2425" s="167"/>
      <c r="K2425" s="166"/>
      <c r="L2425" s="166"/>
      <c r="M2425" s="166"/>
      <c r="N2425" s="166"/>
      <c r="O2425" s="166"/>
      <c r="P2425" s="166"/>
      <c r="Q2425" s="166"/>
      <c r="R2425" s="166"/>
      <c r="S2425" s="166"/>
      <c r="T2425" s="166"/>
      <c r="U2425" s="166"/>
      <c r="V2425" s="166"/>
      <c r="W2425" s="166"/>
      <c r="X2425" s="166"/>
      <c r="Y2425" s="166"/>
      <c r="Z2425" s="166"/>
      <c r="AA2425" s="166"/>
      <c r="AB2425" s="166"/>
      <c r="AC2425" s="166"/>
      <c r="AD2425" s="166"/>
      <c r="AE2425" s="166"/>
      <c r="AF2425" s="166"/>
      <c r="AG2425" s="166"/>
      <c r="AH2425" s="166"/>
      <c r="AI2425" s="166"/>
    </row>
    <row r="2426" spans="7:35" x14ac:dyDescent="0.25">
      <c r="G2426" s="165"/>
      <c r="H2426" s="166"/>
      <c r="I2426" s="167"/>
      <c r="J2426" s="167"/>
      <c r="K2426" s="166"/>
      <c r="L2426" s="166"/>
      <c r="M2426" s="166"/>
      <c r="N2426" s="166"/>
      <c r="O2426" s="166"/>
      <c r="P2426" s="166"/>
      <c r="Q2426" s="166"/>
      <c r="R2426" s="166"/>
      <c r="S2426" s="166"/>
      <c r="T2426" s="166"/>
      <c r="U2426" s="166"/>
      <c r="V2426" s="166"/>
      <c r="W2426" s="166"/>
      <c r="X2426" s="166"/>
      <c r="Y2426" s="166"/>
      <c r="Z2426" s="166"/>
      <c r="AA2426" s="166"/>
      <c r="AB2426" s="166"/>
      <c r="AC2426" s="166"/>
      <c r="AD2426" s="166"/>
      <c r="AE2426" s="166"/>
      <c r="AF2426" s="166"/>
      <c r="AG2426" s="166"/>
      <c r="AH2426" s="166"/>
      <c r="AI2426" s="166"/>
    </row>
    <row r="2427" spans="7:35" x14ac:dyDescent="0.25">
      <c r="G2427" s="165"/>
      <c r="H2427" s="166"/>
      <c r="I2427" s="167"/>
      <c r="J2427" s="167"/>
      <c r="K2427" s="166"/>
      <c r="L2427" s="166"/>
      <c r="M2427" s="166"/>
      <c r="N2427" s="166"/>
      <c r="O2427" s="166"/>
      <c r="P2427" s="166"/>
      <c r="Q2427" s="166"/>
      <c r="R2427" s="166"/>
      <c r="S2427" s="166"/>
      <c r="T2427" s="166"/>
      <c r="U2427" s="166"/>
      <c r="V2427" s="166"/>
      <c r="W2427" s="166"/>
      <c r="X2427" s="166"/>
      <c r="Y2427" s="166"/>
      <c r="Z2427" s="166"/>
      <c r="AA2427" s="166"/>
      <c r="AB2427" s="166"/>
      <c r="AC2427" s="166"/>
      <c r="AD2427" s="166"/>
      <c r="AE2427" s="166"/>
      <c r="AF2427" s="166"/>
      <c r="AG2427" s="166"/>
      <c r="AH2427" s="166"/>
      <c r="AI2427" s="166"/>
    </row>
    <row r="2428" spans="7:35" x14ac:dyDescent="0.25">
      <c r="G2428" s="165"/>
      <c r="H2428" s="166"/>
      <c r="I2428" s="167"/>
      <c r="J2428" s="167"/>
      <c r="K2428" s="166"/>
      <c r="L2428" s="166"/>
      <c r="M2428" s="166"/>
      <c r="N2428" s="166"/>
      <c r="O2428" s="166"/>
      <c r="P2428" s="166"/>
      <c r="Q2428" s="166"/>
      <c r="R2428" s="166"/>
      <c r="S2428" s="166"/>
      <c r="T2428" s="166"/>
      <c r="U2428" s="166"/>
      <c r="V2428" s="166"/>
      <c r="W2428" s="166"/>
      <c r="X2428" s="166"/>
      <c r="Y2428" s="166"/>
      <c r="Z2428" s="166"/>
      <c r="AA2428" s="166"/>
      <c r="AB2428" s="166"/>
      <c r="AC2428" s="166"/>
      <c r="AD2428" s="166"/>
      <c r="AE2428" s="166"/>
      <c r="AF2428" s="166"/>
      <c r="AG2428" s="166"/>
      <c r="AH2428" s="166"/>
      <c r="AI2428" s="166"/>
    </row>
    <row r="2429" spans="7:35" x14ac:dyDescent="0.25">
      <c r="G2429" s="165"/>
      <c r="H2429" s="166"/>
      <c r="I2429" s="167"/>
      <c r="J2429" s="167"/>
      <c r="K2429" s="166"/>
      <c r="L2429" s="166"/>
      <c r="M2429" s="166"/>
      <c r="N2429" s="166"/>
      <c r="O2429" s="166"/>
      <c r="P2429" s="166"/>
      <c r="Q2429" s="166"/>
      <c r="R2429" s="166"/>
      <c r="S2429" s="166"/>
      <c r="T2429" s="166"/>
      <c r="U2429" s="166"/>
      <c r="V2429" s="166"/>
      <c r="W2429" s="166"/>
      <c r="X2429" s="166"/>
      <c r="Y2429" s="166"/>
      <c r="Z2429" s="166"/>
      <c r="AA2429" s="166"/>
      <c r="AB2429" s="166"/>
      <c r="AC2429" s="166"/>
      <c r="AD2429" s="166"/>
      <c r="AE2429" s="166"/>
      <c r="AF2429" s="166"/>
      <c r="AG2429" s="166"/>
      <c r="AH2429" s="166"/>
      <c r="AI2429" s="166"/>
    </row>
    <row r="2430" spans="7:35" x14ac:dyDescent="0.25">
      <c r="G2430" s="165"/>
      <c r="H2430" s="166"/>
      <c r="I2430" s="167"/>
      <c r="J2430" s="167"/>
      <c r="K2430" s="166"/>
      <c r="L2430" s="166"/>
      <c r="M2430" s="166"/>
      <c r="N2430" s="166"/>
      <c r="O2430" s="166"/>
      <c r="P2430" s="166"/>
      <c r="Q2430" s="166"/>
      <c r="R2430" s="166"/>
      <c r="S2430" s="166"/>
      <c r="T2430" s="166"/>
      <c r="U2430" s="166"/>
      <c r="V2430" s="166"/>
      <c r="W2430" s="166"/>
      <c r="X2430" s="166"/>
      <c r="Y2430" s="166"/>
      <c r="Z2430" s="166"/>
      <c r="AA2430" s="166"/>
      <c r="AB2430" s="166"/>
      <c r="AC2430" s="166"/>
      <c r="AD2430" s="166"/>
      <c r="AE2430" s="166"/>
      <c r="AF2430" s="166"/>
      <c r="AG2430" s="166"/>
      <c r="AH2430" s="166"/>
      <c r="AI2430" s="166"/>
    </row>
    <row r="2431" spans="7:35" x14ac:dyDescent="0.25">
      <c r="G2431" s="165"/>
      <c r="H2431" s="166"/>
      <c r="I2431" s="167"/>
      <c r="J2431" s="167"/>
      <c r="K2431" s="166"/>
      <c r="L2431" s="166"/>
      <c r="M2431" s="166"/>
      <c r="N2431" s="166"/>
      <c r="O2431" s="166"/>
      <c r="P2431" s="166"/>
      <c r="Q2431" s="166"/>
      <c r="R2431" s="166"/>
      <c r="S2431" s="166"/>
      <c r="T2431" s="166"/>
      <c r="U2431" s="166"/>
      <c r="V2431" s="166"/>
      <c r="W2431" s="166"/>
      <c r="X2431" s="166"/>
      <c r="Y2431" s="166"/>
      <c r="Z2431" s="166"/>
      <c r="AA2431" s="166"/>
      <c r="AB2431" s="166"/>
      <c r="AC2431" s="166"/>
      <c r="AD2431" s="166"/>
      <c r="AE2431" s="166"/>
      <c r="AF2431" s="166"/>
      <c r="AG2431" s="166"/>
      <c r="AH2431" s="166"/>
      <c r="AI2431" s="166"/>
    </row>
    <row r="2432" spans="7:35" x14ac:dyDescent="0.25">
      <c r="G2432" s="165"/>
      <c r="H2432" s="166"/>
      <c r="I2432" s="167"/>
      <c r="J2432" s="167"/>
      <c r="K2432" s="166"/>
      <c r="L2432" s="166"/>
      <c r="M2432" s="166"/>
      <c r="N2432" s="166"/>
      <c r="O2432" s="166"/>
      <c r="P2432" s="166"/>
      <c r="Q2432" s="166"/>
      <c r="R2432" s="166"/>
      <c r="S2432" s="166"/>
      <c r="T2432" s="166"/>
      <c r="U2432" s="166"/>
      <c r="V2432" s="166"/>
      <c r="W2432" s="166"/>
      <c r="X2432" s="166"/>
      <c r="Y2432" s="166"/>
      <c r="Z2432" s="166"/>
      <c r="AA2432" s="166"/>
      <c r="AB2432" s="166"/>
      <c r="AC2432" s="166"/>
      <c r="AD2432" s="166"/>
      <c r="AE2432" s="166"/>
      <c r="AF2432" s="166"/>
      <c r="AG2432" s="166"/>
      <c r="AH2432" s="166"/>
      <c r="AI2432" s="166"/>
    </row>
    <row r="2433" spans="7:35" x14ac:dyDescent="0.25">
      <c r="G2433" s="165"/>
      <c r="H2433" s="166"/>
      <c r="I2433" s="167"/>
      <c r="J2433" s="167"/>
      <c r="K2433" s="166"/>
      <c r="L2433" s="166"/>
      <c r="M2433" s="166"/>
      <c r="N2433" s="166"/>
      <c r="O2433" s="166"/>
      <c r="P2433" s="166"/>
      <c r="Q2433" s="166"/>
      <c r="R2433" s="166"/>
      <c r="S2433" s="166"/>
      <c r="T2433" s="166"/>
      <c r="U2433" s="166"/>
      <c r="V2433" s="166"/>
      <c r="W2433" s="166"/>
      <c r="X2433" s="166"/>
      <c r="Y2433" s="166"/>
      <c r="Z2433" s="166"/>
      <c r="AA2433" s="166"/>
      <c r="AB2433" s="166"/>
      <c r="AC2433" s="166"/>
      <c r="AD2433" s="166"/>
      <c r="AE2433" s="166"/>
      <c r="AF2433" s="166"/>
      <c r="AG2433" s="166"/>
      <c r="AH2433" s="166"/>
      <c r="AI2433" s="166"/>
    </row>
    <row r="2434" spans="7:35" x14ac:dyDescent="0.25">
      <c r="G2434" s="165"/>
      <c r="H2434" s="166"/>
      <c r="I2434" s="167"/>
      <c r="J2434" s="167"/>
      <c r="K2434" s="166"/>
      <c r="L2434" s="166"/>
      <c r="M2434" s="166"/>
      <c r="N2434" s="166"/>
      <c r="O2434" s="166"/>
      <c r="P2434" s="166"/>
      <c r="Q2434" s="166"/>
      <c r="R2434" s="166"/>
      <c r="S2434" s="166"/>
      <c r="T2434" s="166"/>
      <c r="U2434" s="166"/>
      <c r="V2434" s="166"/>
      <c r="W2434" s="166"/>
      <c r="X2434" s="166"/>
      <c r="Y2434" s="166"/>
      <c r="Z2434" s="166"/>
      <c r="AA2434" s="166"/>
      <c r="AB2434" s="166"/>
      <c r="AC2434" s="166"/>
      <c r="AD2434" s="166"/>
      <c r="AE2434" s="166"/>
      <c r="AF2434" s="166"/>
      <c r="AG2434" s="166"/>
      <c r="AH2434" s="166"/>
      <c r="AI2434" s="166"/>
    </row>
    <row r="2435" spans="7:35" x14ac:dyDescent="0.25">
      <c r="G2435" s="165"/>
      <c r="H2435" s="166"/>
      <c r="I2435" s="167"/>
      <c r="J2435" s="167"/>
      <c r="K2435" s="166"/>
      <c r="L2435" s="166"/>
      <c r="M2435" s="166"/>
      <c r="N2435" s="166"/>
      <c r="O2435" s="166"/>
      <c r="P2435" s="166"/>
      <c r="Q2435" s="166"/>
      <c r="R2435" s="166"/>
      <c r="S2435" s="166"/>
      <c r="T2435" s="166"/>
      <c r="U2435" s="166"/>
      <c r="V2435" s="166"/>
      <c r="W2435" s="166"/>
      <c r="X2435" s="166"/>
      <c r="Y2435" s="166"/>
      <c r="Z2435" s="166"/>
      <c r="AA2435" s="166"/>
      <c r="AB2435" s="166"/>
      <c r="AC2435" s="166"/>
      <c r="AD2435" s="166"/>
      <c r="AE2435" s="166"/>
      <c r="AF2435" s="166"/>
      <c r="AG2435" s="166"/>
      <c r="AH2435" s="166"/>
      <c r="AI2435" s="166"/>
    </row>
    <row r="2436" spans="7:35" x14ac:dyDescent="0.25">
      <c r="G2436" s="165"/>
      <c r="H2436" s="166"/>
      <c r="I2436" s="167"/>
      <c r="J2436" s="167"/>
      <c r="K2436" s="166"/>
      <c r="L2436" s="166"/>
      <c r="M2436" s="166"/>
      <c r="N2436" s="166"/>
      <c r="O2436" s="166"/>
      <c r="P2436" s="166"/>
      <c r="Q2436" s="166"/>
      <c r="R2436" s="166"/>
      <c r="S2436" s="166"/>
      <c r="T2436" s="166"/>
      <c r="U2436" s="166"/>
      <c r="V2436" s="166"/>
      <c r="W2436" s="166"/>
      <c r="X2436" s="166"/>
      <c r="Y2436" s="166"/>
      <c r="Z2436" s="166"/>
      <c r="AA2436" s="166"/>
      <c r="AB2436" s="166"/>
      <c r="AC2436" s="166"/>
      <c r="AD2436" s="166"/>
      <c r="AE2436" s="166"/>
      <c r="AF2436" s="166"/>
      <c r="AG2436" s="166"/>
      <c r="AH2436" s="166"/>
      <c r="AI2436" s="166"/>
    </row>
    <row r="2437" spans="7:35" x14ac:dyDescent="0.25">
      <c r="G2437" s="165"/>
      <c r="H2437" s="166"/>
      <c r="I2437" s="167"/>
      <c r="J2437" s="167"/>
      <c r="K2437" s="166"/>
      <c r="L2437" s="166"/>
      <c r="M2437" s="166"/>
      <c r="N2437" s="166"/>
      <c r="O2437" s="166"/>
      <c r="P2437" s="166"/>
      <c r="Q2437" s="166"/>
      <c r="R2437" s="166"/>
      <c r="S2437" s="166"/>
      <c r="T2437" s="166"/>
      <c r="U2437" s="166"/>
      <c r="V2437" s="166"/>
      <c r="W2437" s="166"/>
      <c r="X2437" s="166"/>
      <c r="Y2437" s="166"/>
      <c r="Z2437" s="166"/>
      <c r="AA2437" s="166"/>
      <c r="AB2437" s="166"/>
      <c r="AC2437" s="166"/>
      <c r="AD2437" s="166"/>
      <c r="AE2437" s="166"/>
      <c r="AF2437" s="166"/>
      <c r="AG2437" s="166"/>
      <c r="AH2437" s="166"/>
      <c r="AI2437" s="166"/>
    </row>
    <row r="2438" spans="7:35" x14ac:dyDescent="0.25">
      <c r="G2438" s="165"/>
      <c r="H2438" s="166"/>
      <c r="I2438" s="167"/>
      <c r="J2438" s="167"/>
      <c r="K2438" s="166"/>
      <c r="L2438" s="166"/>
      <c r="M2438" s="166"/>
      <c r="N2438" s="166"/>
      <c r="O2438" s="166"/>
      <c r="P2438" s="166"/>
      <c r="Q2438" s="166"/>
      <c r="R2438" s="166"/>
      <c r="S2438" s="166"/>
      <c r="T2438" s="166"/>
      <c r="U2438" s="166"/>
      <c r="V2438" s="166"/>
      <c r="W2438" s="166"/>
      <c r="X2438" s="166"/>
      <c r="Y2438" s="166"/>
      <c r="Z2438" s="166"/>
      <c r="AA2438" s="166"/>
      <c r="AB2438" s="166"/>
      <c r="AC2438" s="166"/>
      <c r="AD2438" s="166"/>
      <c r="AE2438" s="166"/>
      <c r="AF2438" s="166"/>
      <c r="AG2438" s="166"/>
      <c r="AH2438" s="166"/>
      <c r="AI2438" s="166"/>
    </row>
    <row r="2439" spans="7:35" x14ac:dyDescent="0.25">
      <c r="G2439" s="165"/>
      <c r="H2439" s="166"/>
      <c r="I2439" s="167"/>
      <c r="J2439" s="167"/>
      <c r="K2439" s="166"/>
      <c r="L2439" s="166"/>
      <c r="M2439" s="166"/>
      <c r="N2439" s="166"/>
      <c r="O2439" s="166"/>
      <c r="P2439" s="166"/>
      <c r="Q2439" s="166"/>
      <c r="R2439" s="166"/>
      <c r="S2439" s="166"/>
      <c r="T2439" s="166"/>
      <c r="U2439" s="166"/>
      <c r="V2439" s="166"/>
      <c r="W2439" s="166"/>
      <c r="X2439" s="166"/>
      <c r="Y2439" s="166"/>
      <c r="Z2439" s="166"/>
      <c r="AA2439" s="166"/>
      <c r="AB2439" s="166"/>
      <c r="AC2439" s="166"/>
      <c r="AD2439" s="166"/>
      <c r="AE2439" s="166"/>
      <c r="AF2439" s="166"/>
      <c r="AG2439" s="166"/>
      <c r="AH2439" s="166"/>
      <c r="AI2439" s="166"/>
    </row>
    <row r="2440" spans="7:35" x14ac:dyDescent="0.25">
      <c r="G2440" s="165"/>
      <c r="H2440" s="166"/>
      <c r="I2440" s="167"/>
      <c r="J2440" s="167"/>
      <c r="K2440" s="166"/>
      <c r="L2440" s="166"/>
      <c r="M2440" s="166"/>
      <c r="N2440" s="166"/>
      <c r="O2440" s="166"/>
      <c r="P2440" s="166"/>
      <c r="Q2440" s="166"/>
      <c r="R2440" s="166"/>
      <c r="S2440" s="166"/>
      <c r="T2440" s="166"/>
      <c r="U2440" s="166"/>
      <c r="V2440" s="166"/>
      <c r="W2440" s="166"/>
      <c r="X2440" s="166"/>
      <c r="Y2440" s="166"/>
      <c r="Z2440" s="166"/>
      <c r="AA2440" s="166"/>
      <c r="AB2440" s="166"/>
      <c r="AC2440" s="166"/>
      <c r="AD2440" s="166"/>
      <c r="AE2440" s="166"/>
      <c r="AF2440" s="166"/>
      <c r="AG2440" s="166"/>
      <c r="AH2440" s="166"/>
      <c r="AI2440" s="166"/>
    </row>
    <row r="2441" spans="7:35" x14ac:dyDescent="0.25">
      <c r="G2441" s="165"/>
      <c r="H2441" s="166"/>
      <c r="I2441" s="167"/>
      <c r="J2441" s="167"/>
      <c r="K2441" s="166"/>
      <c r="L2441" s="166"/>
      <c r="M2441" s="166"/>
      <c r="N2441" s="166"/>
      <c r="O2441" s="166"/>
      <c r="P2441" s="166"/>
      <c r="Q2441" s="166"/>
      <c r="R2441" s="166"/>
      <c r="S2441" s="166"/>
      <c r="T2441" s="166"/>
      <c r="U2441" s="166"/>
      <c r="V2441" s="166"/>
      <c r="W2441" s="166"/>
      <c r="X2441" s="166"/>
      <c r="Y2441" s="166"/>
      <c r="Z2441" s="166"/>
      <c r="AA2441" s="166"/>
      <c r="AB2441" s="166"/>
      <c r="AC2441" s="166"/>
      <c r="AD2441" s="166"/>
      <c r="AE2441" s="166"/>
      <c r="AF2441" s="166"/>
      <c r="AG2441" s="166"/>
      <c r="AH2441" s="166"/>
      <c r="AI2441" s="166"/>
    </row>
    <row r="2442" spans="7:35" x14ac:dyDescent="0.25">
      <c r="G2442" s="165"/>
      <c r="H2442" s="166"/>
      <c r="I2442" s="167"/>
      <c r="J2442" s="167"/>
      <c r="K2442" s="166"/>
      <c r="L2442" s="166"/>
      <c r="M2442" s="166"/>
      <c r="N2442" s="166"/>
      <c r="O2442" s="166"/>
      <c r="P2442" s="166"/>
      <c r="Q2442" s="166"/>
      <c r="R2442" s="166"/>
      <c r="S2442" s="166"/>
      <c r="T2442" s="166"/>
      <c r="U2442" s="166"/>
      <c r="V2442" s="166"/>
      <c r="W2442" s="166"/>
      <c r="X2442" s="166"/>
      <c r="Y2442" s="166"/>
      <c r="Z2442" s="166"/>
      <c r="AA2442" s="166"/>
      <c r="AB2442" s="166"/>
      <c r="AC2442" s="166"/>
      <c r="AD2442" s="166"/>
      <c r="AE2442" s="166"/>
      <c r="AF2442" s="166"/>
      <c r="AG2442" s="166"/>
      <c r="AH2442" s="166"/>
      <c r="AI2442" s="166"/>
    </row>
    <row r="2443" spans="7:35" x14ac:dyDescent="0.25">
      <c r="G2443" s="165"/>
      <c r="H2443" s="166"/>
      <c r="I2443" s="167"/>
      <c r="J2443" s="167"/>
      <c r="K2443" s="166"/>
      <c r="L2443" s="166"/>
      <c r="M2443" s="166"/>
      <c r="N2443" s="166"/>
      <c r="O2443" s="166"/>
      <c r="P2443" s="166"/>
      <c r="Q2443" s="166"/>
      <c r="R2443" s="166"/>
      <c r="S2443" s="166"/>
      <c r="T2443" s="166"/>
      <c r="U2443" s="166"/>
      <c r="V2443" s="166"/>
      <c r="W2443" s="166"/>
      <c r="X2443" s="166"/>
      <c r="Y2443" s="166"/>
      <c r="Z2443" s="166"/>
      <c r="AA2443" s="166"/>
      <c r="AB2443" s="166"/>
      <c r="AC2443" s="166"/>
      <c r="AD2443" s="166"/>
      <c r="AE2443" s="166"/>
      <c r="AF2443" s="166"/>
      <c r="AG2443" s="166"/>
      <c r="AH2443" s="166"/>
      <c r="AI2443" s="166"/>
    </row>
    <row r="2444" spans="7:35" x14ac:dyDescent="0.25">
      <c r="G2444" s="165"/>
      <c r="H2444" s="166"/>
      <c r="I2444" s="167"/>
      <c r="J2444" s="167"/>
      <c r="K2444" s="166"/>
      <c r="L2444" s="166"/>
      <c r="M2444" s="166"/>
      <c r="N2444" s="166"/>
      <c r="O2444" s="166"/>
      <c r="P2444" s="166"/>
      <c r="Q2444" s="166"/>
      <c r="R2444" s="166"/>
      <c r="S2444" s="166"/>
      <c r="T2444" s="166"/>
      <c r="U2444" s="166"/>
      <c r="V2444" s="166"/>
      <c r="W2444" s="166"/>
      <c r="X2444" s="166"/>
      <c r="Y2444" s="166"/>
      <c r="Z2444" s="166"/>
      <c r="AA2444" s="166"/>
      <c r="AB2444" s="166"/>
      <c r="AC2444" s="166"/>
      <c r="AD2444" s="166"/>
      <c r="AE2444" s="166"/>
      <c r="AF2444" s="166"/>
      <c r="AG2444" s="166"/>
      <c r="AH2444" s="166"/>
      <c r="AI2444" s="166"/>
    </row>
    <row r="2445" spans="7:35" x14ac:dyDescent="0.25">
      <c r="G2445" s="165"/>
      <c r="H2445" s="166"/>
      <c r="I2445" s="167"/>
      <c r="J2445" s="167"/>
      <c r="K2445" s="166"/>
      <c r="L2445" s="166"/>
      <c r="M2445" s="166"/>
      <c r="N2445" s="166"/>
      <c r="O2445" s="166"/>
      <c r="P2445" s="166"/>
      <c r="Q2445" s="166"/>
      <c r="R2445" s="166"/>
      <c r="S2445" s="166"/>
      <c r="T2445" s="166"/>
      <c r="U2445" s="166"/>
      <c r="V2445" s="166"/>
      <c r="W2445" s="166"/>
      <c r="X2445" s="166"/>
      <c r="Y2445" s="166"/>
      <c r="Z2445" s="166"/>
      <c r="AA2445" s="166"/>
      <c r="AB2445" s="166"/>
      <c r="AC2445" s="166"/>
      <c r="AD2445" s="166"/>
      <c r="AE2445" s="166"/>
      <c r="AF2445" s="166"/>
      <c r="AG2445" s="166"/>
      <c r="AH2445" s="166"/>
      <c r="AI2445" s="166"/>
    </row>
    <row r="2446" spans="7:35" x14ac:dyDescent="0.25">
      <c r="G2446" s="165"/>
      <c r="H2446" s="166"/>
      <c r="I2446" s="167"/>
      <c r="J2446" s="167"/>
      <c r="K2446" s="166"/>
      <c r="L2446" s="166"/>
      <c r="M2446" s="166"/>
      <c r="N2446" s="166"/>
      <c r="O2446" s="166"/>
      <c r="P2446" s="166"/>
      <c r="Q2446" s="166"/>
      <c r="R2446" s="166"/>
      <c r="S2446" s="166"/>
      <c r="T2446" s="166"/>
      <c r="U2446" s="166"/>
      <c r="V2446" s="166"/>
      <c r="W2446" s="166"/>
      <c r="X2446" s="166"/>
      <c r="Y2446" s="166"/>
      <c r="Z2446" s="166"/>
      <c r="AA2446" s="166"/>
      <c r="AB2446" s="166"/>
      <c r="AC2446" s="166"/>
      <c r="AD2446" s="166"/>
      <c r="AE2446" s="166"/>
      <c r="AF2446" s="166"/>
      <c r="AG2446" s="166"/>
      <c r="AH2446" s="166"/>
      <c r="AI2446" s="166"/>
    </row>
    <row r="2447" spans="7:35" x14ac:dyDescent="0.25">
      <c r="G2447" s="165"/>
      <c r="H2447" s="166"/>
      <c r="I2447" s="167"/>
      <c r="J2447" s="167"/>
      <c r="K2447" s="166"/>
      <c r="L2447" s="166"/>
      <c r="M2447" s="166"/>
      <c r="N2447" s="166"/>
      <c r="O2447" s="166"/>
      <c r="P2447" s="166"/>
      <c r="Q2447" s="166"/>
      <c r="R2447" s="166"/>
      <c r="S2447" s="166"/>
      <c r="T2447" s="166"/>
      <c r="U2447" s="166"/>
      <c r="V2447" s="166"/>
      <c r="W2447" s="166"/>
      <c r="X2447" s="166"/>
      <c r="Y2447" s="166"/>
      <c r="Z2447" s="166"/>
      <c r="AA2447" s="166"/>
      <c r="AB2447" s="166"/>
      <c r="AC2447" s="166"/>
      <c r="AD2447" s="166"/>
      <c r="AE2447" s="166"/>
      <c r="AF2447" s="166"/>
      <c r="AG2447" s="166"/>
      <c r="AH2447" s="166"/>
      <c r="AI2447" s="166"/>
    </row>
    <row r="2448" spans="7:35" x14ac:dyDescent="0.25">
      <c r="G2448" s="165"/>
      <c r="H2448" s="166"/>
      <c r="I2448" s="167"/>
      <c r="J2448" s="167"/>
      <c r="K2448" s="166"/>
      <c r="L2448" s="166"/>
      <c r="M2448" s="166"/>
      <c r="N2448" s="166"/>
      <c r="O2448" s="166"/>
      <c r="P2448" s="166"/>
      <c r="Q2448" s="166"/>
      <c r="R2448" s="166"/>
      <c r="S2448" s="166"/>
      <c r="T2448" s="166"/>
      <c r="U2448" s="166"/>
      <c r="V2448" s="166"/>
      <c r="W2448" s="166"/>
      <c r="X2448" s="166"/>
      <c r="Y2448" s="166"/>
      <c r="Z2448" s="166"/>
      <c r="AA2448" s="166"/>
      <c r="AB2448" s="166"/>
      <c r="AC2448" s="166"/>
      <c r="AD2448" s="166"/>
      <c r="AE2448" s="166"/>
      <c r="AF2448" s="166"/>
      <c r="AG2448" s="166"/>
      <c r="AH2448" s="166"/>
      <c r="AI2448" s="166"/>
    </row>
    <row r="2449" spans="7:35" x14ac:dyDescent="0.25">
      <c r="G2449" s="165"/>
      <c r="H2449" s="166"/>
      <c r="I2449" s="167"/>
      <c r="J2449" s="167"/>
      <c r="K2449" s="166"/>
      <c r="L2449" s="166"/>
      <c r="M2449" s="166"/>
      <c r="N2449" s="166"/>
      <c r="O2449" s="166"/>
      <c r="P2449" s="166"/>
      <c r="Q2449" s="166"/>
      <c r="R2449" s="166"/>
      <c r="S2449" s="166"/>
      <c r="T2449" s="166"/>
      <c r="U2449" s="166"/>
      <c r="V2449" s="166"/>
      <c r="W2449" s="166"/>
      <c r="X2449" s="166"/>
      <c r="Y2449" s="166"/>
      <c r="Z2449" s="166"/>
      <c r="AA2449" s="166"/>
      <c r="AB2449" s="166"/>
      <c r="AC2449" s="166"/>
      <c r="AD2449" s="166"/>
      <c r="AE2449" s="166"/>
      <c r="AF2449" s="166"/>
      <c r="AG2449" s="166"/>
      <c r="AH2449" s="166"/>
      <c r="AI2449" s="166"/>
    </row>
    <row r="2450" spans="7:35" x14ac:dyDescent="0.25">
      <c r="G2450" s="165"/>
      <c r="H2450" s="166"/>
      <c r="I2450" s="167"/>
      <c r="J2450" s="167"/>
      <c r="K2450" s="166"/>
      <c r="L2450" s="166"/>
      <c r="M2450" s="166"/>
      <c r="N2450" s="166"/>
      <c r="O2450" s="166"/>
      <c r="P2450" s="166"/>
      <c r="Q2450" s="166"/>
      <c r="R2450" s="166"/>
      <c r="S2450" s="166"/>
      <c r="T2450" s="166"/>
      <c r="U2450" s="166"/>
      <c r="V2450" s="166"/>
      <c r="W2450" s="166"/>
      <c r="X2450" s="166"/>
      <c r="Y2450" s="166"/>
      <c r="Z2450" s="166"/>
      <c r="AA2450" s="166"/>
      <c r="AB2450" s="166"/>
      <c r="AC2450" s="166"/>
      <c r="AD2450" s="166"/>
      <c r="AE2450" s="166"/>
      <c r="AF2450" s="166"/>
      <c r="AG2450" s="166"/>
      <c r="AH2450" s="166"/>
      <c r="AI2450" s="166"/>
    </row>
    <row r="2451" spans="7:35" x14ac:dyDescent="0.25">
      <c r="G2451" s="165"/>
      <c r="H2451" s="166"/>
      <c r="I2451" s="167"/>
      <c r="J2451" s="167"/>
      <c r="K2451" s="166"/>
      <c r="L2451" s="166"/>
      <c r="M2451" s="166"/>
      <c r="N2451" s="166"/>
      <c r="O2451" s="166"/>
      <c r="P2451" s="166"/>
      <c r="Q2451" s="166"/>
      <c r="R2451" s="166"/>
      <c r="S2451" s="166"/>
      <c r="T2451" s="166"/>
      <c r="U2451" s="166"/>
      <c r="V2451" s="166"/>
      <c r="W2451" s="166"/>
      <c r="X2451" s="166"/>
      <c r="Y2451" s="166"/>
      <c r="Z2451" s="166"/>
      <c r="AA2451" s="166"/>
      <c r="AB2451" s="166"/>
      <c r="AC2451" s="166"/>
      <c r="AD2451" s="166"/>
      <c r="AE2451" s="166"/>
      <c r="AF2451" s="166"/>
      <c r="AG2451" s="166"/>
      <c r="AH2451" s="166"/>
      <c r="AI2451" s="166"/>
    </row>
    <row r="2452" spans="7:35" x14ac:dyDescent="0.25">
      <c r="G2452" s="165"/>
      <c r="H2452" s="166"/>
      <c r="I2452" s="167"/>
      <c r="J2452" s="167"/>
      <c r="K2452" s="166"/>
      <c r="L2452" s="166"/>
      <c r="M2452" s="166"/>
      <c r="N2452" s="166"/>
      <c r="O2452" s="166"/>
      <c r="P2452" s="166"/>
      <c r="Q2452" s="166"/>
      <c r="R2452" s="166"/>
      <c r="S2452" s="166"/>
      <c r="T2452" s="166"/>
      <c r="U2452" s="166"/>
      <c r="V2452" s="166"/>
      <c r="W2452" s="166"/>
      <c r="X2452" s="166"/>
      <c r="Y2452" s="166"/>
      <c r="Z2452" s="166"/>
      <c r="AA2452" s="166"/>
      <c r="AB2452" s="166"/>
      <c r="AC2452" s="166"/>
      <c r="AD2452" s="166"/>
      <c r="AE2452" s="166"/>
      <c r="AF2452" s="166"/>
      <c r="AG2452" s="166"/>
      <c r="AH2452" s="166"/>
      <c r="AI2452" s="166"/>
    </row>
    <row r="2453" spans="7:35" x14ac:dyDescent="0.25">
      <c r="G2453" s="165"/>
      <c r="H2453" s="166"/>
      <c r="I2453" s="167"/>
      <c r="J2453" s="167"/>
      <c r="K2453" s="166"/>
      <c r="L2453" s="166"/>
      <c r="M2453" s="166"/>
      <c r="N2453" s="166"/>
      <c r="O2453" s="166"/>
      <c r="P2453" s="166"/>
      <c r="Q2453" s="166"/>
      <c r="R2453" s="166"/>
      <c r="S2453" s="166"/>
      <c r="T2453" s="166"/>
      <c r="U2453" s="166"/>
      <c r="V2453" s="166"/>
      <c r="W2453" s="166"/>
      <c r="X2453" s="166"/>
      <c r="Y2453" s="166"/>
      <c r="Z2453" s="166"/>
      <c r="AA2453" s="166"/>
      <c r="AB2453" s="166"/>
      <c r="AC2453" s="166"/>
      <c r="AD2453" s="166"/>
      <c r="AE2453" s="166"/>
      <c r="AF2453" s="166"/>
      <c r="AG2453" s="166"/>
      <c r="AH2453" s="166"/>
      <c r="AI2453" s="166"/>
    </row>
    <row r="2454" spans="7:35" x14ac:dyDescent="0.25">
      <c r="G2454" s="165"/>
      <c r="H2454" s="166"/>
      <c r="I2454" s="167"/>
      <c r="J2454" s="167"/>
      <c r="K2454" s="166"/>
      <c r="L2454" s="166"/>
      <c r="M2454" s="166"/>
      <c r="N2454" s="166"/>
      <c r="O2454" s="166"/>
      <c r="P2454" s="166"/>
      <c r="Q2454" s="166"/>
      <c r="R2454" s="166"/>
      <c r="S2454" s="166"/>
      <c r="T2454" s="166"/>
      <c r="U2454" s="166"/>
      <c r="V2454" s="166"/>
      <c r="W2454" s="166"/>
      <c r="X2454" s="166"/>
      <c r="Y2454" s="166"/>
      <c r="Z2454" s="166"/>
      <c r="AA2454" s="166"/>
      <c r="AB2454" s="166"/>
      <c r="AC2454" s="166"/>
      <c r="AD2454" s="166"/>
      <c r="AE2454" s="166"/>
      <c r="AF2454" s="166"/>
      <c r="AG2454" s="166"/>
      <c r="AH2454" s="166"/>
      <c r="AI2454" s="166"/>
    </row>
    <row r="2455" spans="7:35" x14ac:dyDescent="0.25">
      <c r="G2455" s="165"/>
      <c r="H2455" s="166"/>
      <c r="I2455" s="167"/>
      <c r="J2455" s="167"/>
      <c r="K2455" s="166"/>
      <c r="L2455" s="166"/>
      <c r="M2455" s="166"/>
      <c r="N2455" s="166"/>
      <c r="O2455" s="166"/>
      <c r="P2455" s="166"/>
      <c r="Q2455" s="166"/>
      <c r="R2455" s="166"/>
      <c r="S2455" s="166"/>
      <c r="T2455" s="166"/>
      <c r="U2455" s="166"/>
      <c r="V2455" s="166"/>
      <c r="W2455" s="166"/>
      <c r="X2455" s="166"/>
      <c r="Y2455" s="166"/>
      <c r="Z2455" s="166"/>
      <c r="AA2455" s="166"/>
      <c r="AB2455" s="166"/>
      <c r="AC2455" s="166"/>
      <c r="AD2455" s="166"/>
      <c r="AE2455" s="166"/>
      <c r="AF2455" s="166"/>
      <c r="AG2455" s="166"/>
      <c r="AH2455" s="166"/>
      <c r="AI2455" s="166"/>
    </row>
    <row r="2456" spans="7:35" x14ac:dyDescent="0.25">
      <c r="G2456" s="165"/>
      <c r="H2456" s="166"/>
      <c r="I2456" s="167"/>
      <c r="J2456" s="167"/>
      <c r="K2456" s="166"/>
      <c r="L2456" s="166"/>
      <c r="M2456" s="166"/>
      <c r="N2456" s="166"/>
      <c r="O2456" s="166"/>
      <c r="P2456" s="166"/>
      <c r="Q2456" s="166"/>
      <c r="R2456" s="166"/>
      <c r="S2456" s="166"/>
      <c r="T2456" s="166"/>
      <c r="U2456" s="166"/>
      <c r="V2456" s="166"/>
      <c r="W2456" s="166"/>
      <c r="X2456" s="166"/>
      <c r="Y2456" s="166"/>
      <c r="Z2456" s="166"/>
      <c r="AA2456" s="166"/>
      <c r="AB2456" s="166"/>
      <c r="AC2456" s="166"/>
      <c r="AD2456" s="166"/>
      <c r="AE2456" s="166"/>
      <c r="AF2456" s="166"/>
      <c r="AG2456" s="166"/>
      <c r="AH2456" s="166"/>
      <c r="AI2456" s="166"/>
    </row>
    <row r="2457" spans="7:35" x14ac:dyDescent="0.25">
      <c r="G2457" s="165"/>
      <c r="H2457" s="166"/>
      <c r="I2457" s="167"/>
      <c r="J2457" s="167"/>
      <c r="K2457" s="166"/>
      <c r="L2457" s="166"/>
      <c r="M2457" s="166"/>
      <c r="N2457" s="166"/>
      <c r="O2457" s="166"/>
      <c r="P2457" s="166"/>
      <c r="Q2457" s="166"/>
      <c r="R2457" s="166"/>
      <c r="S2457" s="166"/>
      <c r="T2457" s="166"/>
      <c r="U2457" s="166"/>
      <c r="V2457" s="166"/>
      <c r="W2457" s="166"/>
      <c r="X2457" s="166"/>
      <c r="Y2457" s="166"/>
      <c r="Z2457" s="166"/>
      <c r="AA2457" s="166"/>
      <c r="AB2457" s="166"/>
      <c r="AC2457" s="166"/>
      <c r="AD2457" s="166"/>
      <c r="AE2457" s="166"/>
      <c r="AF2457" s="166"/>
      <c r="AG2457" s="166"/>
      <c r="AH2457" s="166"/>
      <c r="AI2457" s="166"/>
    </row>
    <row r="2458" spans="7:35" x14ac:dyDescent="0.25">
      <c r="G2458" s="165"/>
      <c r="H2458" s="166"/>
      <c r="I2458" s="167"/>
      <c r="J2458" s="167"/>
      <c r="K2458" s="166"/>
      <c r="L2458" s="166"/>
      <c r="M2458" s="166"/>
      <c r="N2458" s="166"/>
      <c r="O2458" s="166"/>
      <c r="P2458" s="166"/>
      <c r="Q2458" s="166"/>
      <c r="R2458" s="166"/>
      <c r="S2458" s="166"/>
      <c r="T2458" s="166"/>
      <c r="U2458" s="166"/>
      <c r="V2458" s="166"/>
      <c r="W2458" s="166"/>
      <c r="X2458" s="166"/>
      <c r="Y2458" s="166"/>
      <c r="Z2458" s="166"/>
      <c r="AA2458" s="166"/>
      <c r="AB2458" s="166"/>
      <c r="AC2458" s="166"/>
      <c r="AD2458" s="166"/>
      <c r="AE2458" s="166"/>
      <c r="AF2458" s="166"/>
      <c r="AG2458" s="166"/>
      <c r="AH2458" s="166"/>
      <c r="AI2458" s="166"/>
    </row>
    <row r="2459" spans="7:35" x14ac:dyDescent="0.25">
      <c r="G2459" s="165"/>
      <c r="H2459" s="166"/>
      <c r="I2459" s="167"/>
      <c r="J2459" s="167"/>
      <c r="K2459" s="166"/>
      <c r="L2459" s="166"/>
      <c r="M2459" s="166"/>
      <c r="N2459" s="166"/>
      <c r="O2459" s="166"/>
      <c r="P2459" s="166"/>
      <c r="Q2459" s="166"/>
      <c r="R2459" s="166"/>
      <c r="S2459" s="166"/>
      <c r="T2459" s="166"/>
      <c r="U2459" s="166"/>
      <c r="V2459" s="166"/>
      <c r="W2459" s="166"/>
      <c r="X2459" s="166"/>
      <c r="Y2459" s="166"/>
      <c r="Z2459" s="166"/>
      <c r="AA2459" s="166"/>
      <c r="AB2459" s="166"/>
      <c r="AC2459" s="166"/>
      <c r="AD2459" s="166"/>
      <c r="AE2459" s="166"/>
      <c r="AF2459" s="166"/>
      <c r="AG2459" s="166"/>
      <c r="AH2459" s="166"/>
      <c r="AI2459" s="166"/>
    </row>
    <row r="2460" spans="7:35" x14ac:dyDescent="0.25">
      <c r="G2460" s="165"/>
      <c r="H2460" s="166"/>
      <c r="I2460" s="167"/>
      <c r="J2460" s="167"/>
      <c r="K2460" s="166"/>
      <c r="L2460" s="166"/>
      <c r="M2460" s="166"/>
      <c r="N2460" s="166"/>
      <c r="O2460" s="166"/>
      <c r="P2460" s="166"/>
      <c r="Q2460" s="166"/>
      <c r="R2460" s="166"/>
      <c r="S2460" s="166"/>
      <c r="T2460" s="166"/>
      <c r="U2460" s="166"/>
      <c r="V2460" s="166"/>
      <c r="W2460" s="166"/>
      <c r="X2460" s="166"/>
      <c r="Y2460" s="166"/>
      <c r="Z2460" s="166"/>
      <c r="AA2460" s="166"/>
      <c r="AB2460" s="166"/>
      <c r="AC2460" s="166"/>
      <c r="AD2460" s="166"/>
      <c r="AE2460" s="166"/>
      <c r="AF2460" s="166"/>
      <c r="AG2460" s="166"/>
      <c r="AH2460" s="166"/>
      <c r="AI2460" s="166"/>
    </row>
    <row r="2461" spans="7:35" x14ac:dyDescent="0.25">
      <c r="G2461" s="165"/>
      <c r="H2461" s="166"/>
      <c r="I2461" s="167"/>
      <c r="J2461" s="167"/>
      <c r="K2461" s="166"/>
      <c r="L2461" s="166"/>
      <c r="M2461" s="166"/>
      <c r="N2461" s="166"/>
      <c r="O2461" s="166"/>
      <c r="P2461" s="166"/>
      <c r="Q2461" s="166"/>
      <c r="R2461" s="166"/>
      <c r="S2461" s="166"/>
      <c r="T2461" s="166"/>
      <c r="U2461" s="166"/>
      <c r="V2461" s="166"/>
      <c r="W2461" s="166"/>
      <c r="X2461" s="166"/>
      <c r="Y2461" s="166"/>
      <c r="Z2461" s="166"/>
      <c r="AA2461" s="166"/>
      <c r="AB2461" s="166"/>
      <c r="AC2461" s="166"/>
      <c r="AD2461" s="166"/>
      <c r="AE2461" s="166"/>
      <c r="AF2461" s="166"/>
      <c r="AG2461" s="166"/>
      <c r="AH2461" s="166"/>
      <c r="AI2461" s="166"/>
    </row>
    <row r="2462" spans="7:35" x14ac:dyDescent="0.25">
      <c r="G2462" s="165"/>
      <c r="H2462" s="166"/>
      <c r="I2462" s="167"/>
      <c r="J2462" s="167"/>
      <c r="K2462" s="166"/>
      <c r="L2462" s="166"/>
      <c r="M2462" s="166"/>
      <c r="N2462" s="166"/>
      <c r="O2462" s="166"/>
      <c r="P2462" s="166"/>
      <c r="Q2462" s="166"/>
      <c r="R2462" s="166"/>
      <c r="S2462" s="166"/>
      <c r="T2462" s="166"/>
      <c r="U2462" s="166"/>
      <c r="V2462" s="166"/>
      <c r="W2462" s="166"/>
      <c r="X2462" s="166"/>
      <c r="Y2462" s="166"/>
      <c r="Z2462" s="166"/>
      <c r="AA2462" s="166"/>
      <c r="AB2462" s="166"/>
      <c r="AC2462" s="166"/>
      <c r="AD2462" s="166"/>
      <c r="AE2462" s="166"/>
      <c r="AF2462" s="166"/>
      <c r="AG2462" s="166"/>
      <c r="AH2462" s="166"/>
      <c r="AI2462" s="166"/>
    </row>
    <row r="2463" spans="7:35" x14ac:dyDescent="0.25">
      <c r="G2463" s="165"/>
      <c r="H2463" s="166"/>
      <c r="I2463" s="167"/>
      <c r="J2463" s="167"/>
      <c r="K2463" s="166"/>
      <c r="L2463" s="166"/>
      <c r="M2463" s="166"/>
      <c r="N2463" s="166"/>
      <c r="O2463" s="166"/>
      <c r="P2463" s="166"/>
      <c r="Q2463" s="166"/>
      <c r="R2463" s="166"/>
      <c r="S2463" s="166"/>
      <c r="T2463" s="166"/>
      <c r="U2463" s="166"/>
      <c r="V2463" s="166"/>
      <c r="W2463" s="166"/>
      <c r="X2463" s="166"/>
      <c r="Y2463" s="166"/>
      <c r="Z2463" s="166"/>
      <c r="AA2463" s="166"/>
      <c r="AB2463" s="166"/>
      <c r="AC2463" s="166"/>
      <c r="AD2463" s="166"/>
      <c r="AE2463" s="166"/>
      <c r="AF2463" s="166"/>
      <c r="AG2463" s="166"/>
      <c r="AH2463" s="166"/>
      <c r="AI2463" s="166"/>
    </row>
    <row r="2464" spans="7:35" x14ac:dyDescent="0.25">
      <c r="G2464" s="165"/>
      <c r="H2464" s="166"/>
      <c r="I2464" s="167"/>
      <c r="J2464" s="167"/>
      <c r="K2464" s="166"/>
      <c r="L2464" s="166"/>
      <c r="M2464" s="166"/>
      <c r="N2464" s="166"/>
      <c r="O2464" s="166"/>
      <c r="P2464" s="166"/>
      <c r="Q2464" s="166"/>
      <c r="R2464" s="166"/>
      <c r="S2464" s="166"/>
      <c r="T2464" s="166"/>
      <c r="U2464" s="166"/>
      <c r="V2464" s="166"/>
      <c r="W2464" s="166"/>
      <c r="X2464" s="166"/>
      <c r="Y2464" s="166"/>
      <c r="Z2464" s="166"/>
      <c r="AA2464" s="166"/>
      <c r="AB2464" s="166"/>
      <c r="AC2464" s="166"/>
      <c r="AD2464" s="166"/>
      <c r="AE2464" s="166"/>
      <c r="AF2464" s="166"/>
      <c r="AG2464" s="166"/>
      <c r="AH2464" s="166"/>
      <c r="AI2464" s="166"/>
    </row>
    <row r="2465" spans="7:35" x14ac:dyDescent="0.25">
      <c r="G2465" s="165"/>
      <c r="H2465" s="166"/>
      <c r="I2465" s="167"/>
      <c r="J2465" s="167"/>
      <c r="K2465" s="166"/>
      <c r="L2465" s="166"/>
      <c r="M2465" s="166"/>
      <c r="N2465" s="166"/>
      <c r="O2465" s="166"/>
      <c r="P2465" s="166"/>
      <c r="Q2465" s="166"/>
      <c r="R2465" s="166"/>
      <c r="S2465" s="166"/>
      <c r="T2465" s="166"/>
      <c r="U2465" s="166"/>
      <c r="V2465" s="166"/>
      <c r="W2465" s="166"/>
      <c r="X2465" s="166"/>
      <c r="Y2465" s="166"/>
      <c r="Z2465" s="166"/>
      <c r="AA2465" s="166"/>
      <c r="AB2465" s="166"/>
      <c r="AC2465" s="166"/>
      <c r="AD2465" s="166"/>
      <c r="AE2465" s="166"/>
      <c r="AF2465" s="166"/>
      <c r="AG2465" s="166"/>
      <c r="AH2465" s="166"/>
      <c r="AI2465" s="166"/>
    </row>
    <row r="2466" spans="7:35" x14ac:dyDescent="0.25">
      <c r="G2466" s="165"/>
      <c r="H2466" s="166"/>
      <c r="I2466" s="167"/>
      <c r="J2466" s="167"/>
      <c r="K2466" s="166"/>
      <c r="L2466" s="166"/>
      <c r="M2466" s="166"/>
      <c r="N2466" s="166"/>
      <c r="O2466" s="166"/>
      <c r="P2466" s="166"/>
      <c r="Q2466" s="166"/>
      <c r="R2466" s="166"/>
      <c r="S2466" s="166"/>
      <c r="T2466" s="166"/>
      <c r="U2466" s="166"/>
      <c r="V2466" s="166"/>
      <c r="W2466" s="166"/>
      <c r="X2466" s="166"/>
      <c r="Y2466" s="166"/>
      <c r="Z2466" s="166"/>
      <c r="AA2466" s="166"/>
      <c r="AB2466" s="166"/>
      <c r="AC2466" s="166"/>
      <c r="AD2466" s="166"/>
      <c r="AE2466" s="166"/>
      <c r="AF2466" s="166"/>
      <c r="AG2466" s="166"/>
      <c r="AH2466" s="166"/>
      <c r="AI2466" s="166"/>
    </row>
    <row r="2467" spans="7:35" x14ac:dyDescent="0.25">
      <c r="G2467" s="165"/>
      <c r="H2467" s="166"/>
      <c r="I2467" s="167"/>
      <c r="J2467" s="167"/>
      <c r="K2467" s="166"/>
      <c r="L2467" s="166"/>
      <c r="M2467" s="166"/>
      <c r="N2467" s="166"/>
      <c r="O2467" s="166"/>
      <c r="P2467" s="166"/>
      <c r="Q2467" s="166"/>
      <c r="R2467" s="166"/>
      <c r="S2467" s="166"/>
      <c r="T2467" s="166"/>
      <c r="U2467" s="166"/>
      <c r="V2467" s="166"/>
      <c r="W2467" s="166"/>
      <c r="X2467" s="166"/>
      <c r="Y2467" s="166"/>
      <c r="Z2467" s="166"/>
      <c r="AA2467" s="166"/>
      <c r="AB2467" s="166"/>
      <c r="AC2467" s="166"/>
      <c r="AD2467" s="166"/>
      <c r="AE2467" s="166"/>
      <c r="AF2467" s="166"/>
      <c r="AG2467" s="166"/>
      <c r="AH2467" s="166"/>
      <c r="AI2467" s="166"/>
    </row>
    <row r="2468" spans="7:35" x14ac:dyDescent="0.25">
      <c r="G2468" s="165"/>
      <c r="H2468" s="166"/>
      <c r="I2468" s="167"/>
      <c r="J2468" s="167"/>
      <c r="K2468" s="166"/>
      <c r="L2468" s="166"/>
      <c r="M2468" s="166"/>
      <c r="N2468" s="166"/>
      <c r="O2468" s="166"/>
      <c r="P2468" s="166"/>
      <c r="Q2468" s="166"/>
      <c r="R2468" s="166"/>
      <c r="S2468" s="166"/>
      <c r="T2468" s="166"/>
      <c r="U2468" s="166"/>
      <c r="V2468" s="166"/>
      <c r="W2468" s="166"/>
      <c r="X2468" s="166"/>
      <c r="Y2468" s="166"/>
      <c r="Z2468" s="166"/>
      <c r="AA2468" s="166"/>
      <c r="AB2468" s="166"/>
      <c r="AC2468" s="166"/>
      <c r="AD2468" s="166"/>
      <c r="AE2468" s="166"/>
      <c r="AF2468" s="166"/>
      <c r="AG2468" s="166"/>
      <c r="AH2468" s="166"/>
      <c r="AI2468" s="166"/>
    </row>
    <row r="2469" spans="7:35" x14ac:dyDescent="0.25">
      <c r="G2469" s="165"/>
      <c r="H2469" s="166"/>
      <c r="I2469" s="167"/>
      <c r="J2469" s="167"/>
      <c r="K2469" s="166"/>
      <c r="L2469" s="166"/>
      <c r="M2469" s="166"/>
      <c r="N2469" s="166"/>
      <c r="O2469" s="166"/>
      <c r="P2469" s="166"/>
      <c r="Q2469" s="166"/>
      <c r="R2469" s="166"/>
      <c r="S2469" s="166"/>
      <c r="T2469" s="166"/>
      <c r="U2469" s="166"/>
      <c r="V2469" s="166"/>
      <c r="W2469" s="166"/>
      <c r="X2469" s="166"/>
      <c r="Y2469" s="166"/>
      <c r="Z2469" s="166"/>
      <c r="AA2469" s="166"/>
      <c r="AB2469" s="166"/>
      <c r="AC2469" s="166"/>
      <c r="AD2469" s="166"/>
      <c r="AE2469" s="166"/>
      <c r="AF2469" s="166"/>
      <c r="AG2469" s="166"/>
      <c r="AH2469" s="166"/>
      <c r="AI2469" s="166"/>
    </row>
    <row r="2470" spans="7:35" x14ac:dyDescent="0.25">
      <c r="G2470" s="165"/>
      <c r="H2470" s="166"/>
      <c r="I2470" s="167"/>
      <c r="J2470" s="167"/>
      <c r="K2470" s="166"/>
      <c r="L2470" s="166"/>
      <c r="M2470" s="166"/>
      <c r="N2470" s="166"/>
      <c r="O2470" s="166"/>
      <c r="P2470" s="166"/>
      <c r="Q2470" s="166"/>
      <c r="R2470" s="166"/>
      <c r="S2470" s="166"/>
      <c r="T2470" s="166"/>
      <c r="U2470" s="166"/>
      <c r="V2470" s="166"/>
      <c r="W2470" s="166"/>
      <c r="X2470" s="166"/>
      <c r="Y2470" s="166"/>
      <c r="Z2470" s="166"/>
      <c r="AA2470" s="166"/>
      <c r="AB2470" s="166"/>
      <c r="AC2470" s="166"/>
      <c r="AD2470" s="166"/>
      <c r="AE2470" s="166"/>
      <c r="AF2470" s="166"/>
      <c r="AG2470" s="166"/>
      <c r="AH2470" s="166"/>
      <c r="AI2470" s="166"/>
    </row>
    <row r="2471" spans="7:35" x14ac:dyDescent="0.25">
      <c r="G2471" s="165"/>
      <c r="H2471" s="166"/>
      <c r="I2471" s="167"/>
      <c r="J2471" s="167"/>
      <c r="K2471" s="166"/>
      <c r="L2471" s="166"/>
      <c r="M2471" s="166"/>
      <c r="N2471" s="166"/>
      <c r="O2471" s="166"/>
      <c r="P2471" s="166"/>
      <c r="Q2471" s="166"/>
      <c r="R2471" s="166"/>
      <c r="S2471" s="166"/>
      <c r="T2471" s="166"/>
      <c r="U2471" s="166"/>
      <c r="V2471" s="166"/>
      <c r="W2471" s="166"/>
      <c r="X2471" s="166"/>
      <c r="Y2471" s="166"/>
      <c r="Z2471" s="166"/>
      <c r="AA2471" s="166"/>
      <c r="AB2471" s="166"/>
      <c r="AC2471" s="166"/>
      <c r="AD2471" s="166"/>
      <c r="AE2471" s="166"/>
      <c r="AF2471" s="166"/>
      <c r="AG2471" s="166"/>
      <c r="AH2471" s="166"/>
      <c r="AI2471" s="166"/>
    </row>
    <row r="2472" spans="7:35" x14ac:dyDescent="0.25">
      <c r="G2472" s="165"/>
      <c r="H2472" s="166"/>
      <c r="I2472" s="167"/>
      <c r="J2472" s="167"/>
      <c r="K2472" s="166"/>
      <c r="L2472" s="166"/>
      <c r="M2472" s="166"/>
      <c r="N2472" s="166"/>
      <c r="O2472" s="166"/>
      <c r="P2472" s="166"/>
      <c r="Q2472" s="166"/>
      <c r="R2472" s="166"/>
      <c r="S2472" s="166"/>
      <c r="T2472" s="166"/>
      <c r="U2472" s="166"/>
      <c r="V2472" s="166"/>
      <c r="W2472" s="166"/>
      <c r="X2472" s="166"/>
      <c r="Y2472" s="166"/>
      <c r="Z2472" s="166"/>
      <c r="AA2472" s="166"/>
      <c r="AB2472" s="166"/>
      <c r="AC2472" s="166"/>
      <c r="AD2472" s="166"/>
      <c r="AE2472" s="166"/>
      <c r="AF2472" s="166"/>
      <c r="AG2472" s="166"/>
      <c r="AH2472" s="166"/>
      <c r="AI2472" s="166"/>
    </row>
    <row r="2473" spans="7:35" x14ac:dyDescent="0.25">
      <c r="G2473" s="165"/>
      <c r="H2473" s="166"/>
      <c r="I2473" s="167"/>
      <c r="J2473" s="167"/>
      <c r="K2473" s="166"/>
      <c r="L2473" s="166"/>
      <c r="M2473" s="166"/>
      <c r="N2473" s="166"/>
      <c r="O2473" s="166"/>
      <c r="P2473" s="166"/>
      <c r="Q2473" s="166"/>
      <c r="R2473" s="166"/>
      <c r="S2473" s="166"/>
      <c r="T2473" s="166"/>
      <c r="U2473" s="166"/>
      <c r="V2473" s="166"/>
      <c r="W2473" s="166"/>
      <c r="X2473" s="166"/>
      <c r="Y2473" s="166"/>
      <c r="Z2473" s="166"/>
      <c r="AA2473" s="166"/>
      <c r="AB2473" s="166"/>
      <c r="AC2473" s="166"/>
      <c r="AD2473" s="166"/>
      <c r="AE2473" s="166"/>
      <c r="AF2473" s="166"/>
      <c r="AG2473" s="166"/>
      <c r="AH2473" s="166"/>
      <c r="AI2473" s="166"/>
    </row>
    <row r="2474" spans="7:35" x14ac:dyDescent="0.25">
      <c r="G2474" s="165"/>
      <c r="H2474" s="166"/>
      <c r="I2474" s="167"/>
      <c r="J2474" s="167"/>
      <c r="K2474" s="166"/>
      <c r="L2474" s="166"/>
      <c r="M2474" s="166"/>
      <c r="N2474" s="166"/>
      <c r="O2474" s="166"/>
      <c r="P2474" s="166"/>
      <c r="Q2474" s="166"/>
      <c r="R2474" s="166"/>
      <c r="S2474" s="166"/>
      <c r="T2474" s="166"/>
      <c r="U2474" s="166"/>
      <c r="V2474" s="166"/>
      <c r="W2474" s="166"/>
      <c r="X2474" s="166"/>
      <c r="Y2474" s="166"/>
      <c r="Z2474" s="166"/>
      <c r="AA2474" s="166"/>
      <c r="AB2474" s="166"/>
      <c r="AC2474" s="166"/>
      <c r="AD2474" s="166"/>
      <c r="AE2474" s="166"/>
      <c r="AF2474" s="166"/>
      <c r="AG2474" s="166"/>
      <c r="AH2474" s="166"/>
      <c r="AI2474" s="166"/>
    </row>
    <row r="2475" spans="7:35" x14ac:dyDescent="0.25">
      <c r="G2475" s="165"/>
      <c r="H2475" s="166"/>
      <c r="I2475" s="167"/>
      <c r="J2475" s="167"/>
      <c r="K2475" s="166"/>
      <c r="L2475" s="166"/>
      <c r="M2475" s="166"/>
      <c r="N2475" s="166"/>
      <c r="O2475" s="166"/>
      <c r="P2475" s="166"/>
      <c r="Q2475" s="166"/>
      <c r="R2475" s="166"/>
      <c r="S2475" s="166"/>
      <c r="T2475" s="166"/>
      <c r="U2475" s="166"/>
      <c r="V2475" s="166"/>
      <c r="W2475" s="166"/>
      <c r="X2475" s="166"/>
      <c r="Y2475" s="166"/>
      <c r="Z2475" s="166"/>
      <c r="AA2475" s="166"/>
      <c r="AB2475" s="166"/>
      <c r="AC2475" s="166"/>
      <c r="AD2475" s="166"/>
      <c r="AE2475" s="166"/>
      <c r="AF2475" s="166"/>
      <c r="AG2475" s="166"/>
      <c r="AH2475" s="166"/>
      <c r="AI2475" s="166"/>
    </row>
    <row r="2476" spans="7:35" x14ac:dyDescent="0.25">
      <c r="G2476" s="165"/>
      <c r="H2476" s="166"/>
      <c r="I2476" s="167"/>
      <c r="J2476" s="167"/>
      <c r="K2476" s="166"/>
      <c r="L2476" s="166"/>
      <c r="M2476" s="166"/>
      <c r="N2476" s="166"/>
      <c r="O2476" s="166"/>
      <c r="P2476" s="166"/>
      <c r="Q2476" s="166"/>
      <c r="R2476" s="166"/>
      <c r="S2476" s="166"/>
      <c r="T2476" s="166"/>
      <c r="U2476" s="166"/>
      <c r="V2476" s="166"/>
      <c r="W2476" s="166"/>
      <c r="X2476" s="166"/>
      <c r="Y2476" s="166"/>
      <c r="Z2476" s="166"/>
      <c r="AA2476" s="166"/>
      <c r="AB2476" s="166"/>
      <c r="AC2476" s="166"/>
      <c r="AD2476" s="166"/>
      <c r="AE2476" s="166"/>
      <c r="AF2476" s="166"/>
      <c r="AG2476" s="166"/>
      <c r="AH2476" s="166"/>
      <c r="AI2476" s="166"/>
    </row>
    <row r="2477" spans="7:35" x14ac:dyDescent="0.25">
      <c r="G2477" s="165"/>
      <c r="H2477" s="166"/>
      <c r="I2477" s="167"/>
      <c r="J2477" s="167"/>
      <c r="K2477" s="166"/>
      <c r="L2477" s="166"/>
      <c r="M2477" s="166"/>
      <c r="N2477" s="166"/>
      <c r="O2477" s="166"/>
      <c r="P2477" s="166"/>
      <c r="Q2477" s="166"/>
      <c r="R2477" s="166"/>
      <c r="S2477" s="166"/>
      <c r="T2477" s="166"/>
      <c r="U2477" s="166"/>
      <c r="V2477" s="166"/>
      <c r="W2477" s="166"/>
      <c r="X2477" s="166"/>
      <c r="Y2477" s="166"/>
      <c r="Z2477" s="166"/>
      <c r="AA2477" s="166"/>
      <c r="AB2477" s="166"/>
      <c r="AC2477" s="166"/>
      <c r="AD2477" s="166"/>
      <c r="AE2477" s="166"/>
      <c r="AF2477" s="166"/>
      <c r="AG2477" s="166"/>
      <c r="AH2477" s="166"/>
      <c r="AI2477" s="166"/>
    </row>
    <row r="2478" spans="7:35" x14ac:dyDescent="0.25">
      <c r="G2478" s="165"/>
      <c r="H2478" s="166"/>
      <c r="I2478" s="167"/>
      <c r="J2478" s="167"/>
      <c r="K2478" s="166"/>
      <c r="L2478" s="166"/>
      <c r="M2478" s="166"/>
      <c r="N2478" s="166"/>
      <c r="O2478" s="166"/>
      <c r="P2478" s="166"/>
      <c r="Q2478" s="166"/>
      <c r="R2478" s="166"/>
      <c r="S2478" s="166"/>
      <c r="T2478" s="166"/>
      <c r="U2478" s="166"/>
      <c r="V2478" s="166"/>
      <c r="W2478" s="166"/>
      <c r="X2478" s="166"/>
      <c r="Y2478" s="166"/>
      <c r="Z2478" s="166"/>
      <c r="AA2478" s="166"/>
      <c r="AB2478" s="166"/>
      <c r="AC2478" s="166"/>
      <c r="AD2478" s="166"/>
      <c r="AE2478" s="166"/>
      <c r="AF2478" s="166"/>
      <c r="AG2478" s="166"/>
      <c r="AH2478" s="166"/>
      <c r="AI2478" s="166"/>
    </row>
    <row r="2479" spans="7:35" x14ac:dyDescent="0.25">
      <c r="G2479" s="165"/>
      <c r="H2479" s="166"/>
      <c r="I2479" s="167"/>
      <c r="J2479" s="167"/>
      <c r="K2479" s="166"/>
      <c r="L2479" s="166"/>
      <c r="M2479" s="166"/>
      <c r="N2479" s="166"/>
      <c r="O2479" s="166"/>
      <c r="P2479" s="166"/>
      <c r="Q2479" s="166"/>
      <c r="R2479" s="166"/>
      <c r="S2479" s="166"/>
      <c r="T2479" s="166"/>
      <c r="U2479" s="166"/>
      <c r="V2479" s="166"/>
      <c r="W2479" s="166"/>
      <c r="X2479" s="166"/>
      <c r="Y2479" s="166"/>
      <c r="Z2479" s="166"/>
      <c r="AA2479" s="166"/>
      <c r="AB2479" s="166"/>
      <c r="AC2479" s="166"/>
      <c r="AD2479" s="166"/>
      <c r="AE2479" s="166"/>
      <c r="AF2479" s="166"/>
      <c r="AG2479" s="166"/>
      <c r="AH2479" s="166"/>
      <c r="AI2479" s="166"/>
    </row>
    <row r="2480" spans="7:35" x14ac:dyDescent="0.25">
      <c r="G2480" s="165"/>
      <c r="H2480" s="166"/>
      <c r="I2480" s="167"/>
      <c r="J2480" s="167"/>
      <c r="K2480" s="166"/>
      <c r="L2480" s="166"/>
      <c r="M2480" s="166"/>
      <c r="N2480" s="166"/>
      <c r="O2480" s="166"/>
      <c r="P2480" s="166"/>
      <c r="Q2480" s="166"/>
      <c r="R2480" s="166"/>
      <c r="S2480" s="166"/>
      <c r="T2480" s="166"/>
      <c r="U2480" s="166"/>
      <c r="V2480" s="166"/>
      <c r="W2480" s="166"/>
      <c r="X2480" s="166"/>
      <c r="Y2480" s="166"/>
      <c r="Z2480" s="166"/>
      <c r="AA2480" s="166"/>
      <c r="AB2480" s="166"/>
      <c r="AC2480" s="166"/>
      <c r="AD2480" s="166"/>
      <c r="AE2480" s="166"/>
      <c r="AF2480" s="166"/>
      <c r="AG2480" s="166"/>
      <c r="AH2480" s="166"/>
      <c r="AI2480" s="166"/>
    </row>
    <row r="2481" spans="7:35" x14ac:dyDescent="0.25">
      <c r="G2481" s="165"/>
      <c r="H2481" s="166"/>
      <c r="I2481" s="167"/>
      <c r="J2481" s="167"/>
      <c r="K2481" s="166"/>
      <c r="L2481" s="166"/>
      <c r="M2481" s="166"/>
      <c r="N2481" s="166"/>
      <c r="O2481" s="166"/>
      <c r="P2481" s="166"/>
      <c r="Q2481" s="166"/>
      <c r="R2481" s="166"/>
      <c r="S2481" s="166"/>
      <c r="T2481" s="166"/>
      <c r="U2481" s="166"/>
      <c r="V2481" s="166"/>
      <c r="W2481" s="166"/>
      <c r="X2481" s="166"/>
      <c r="Y2481" s="166"/>
      <c r="Z2481" s="166"/>
      <c r="AA2481" s="166"/>
      <c r="AB2481" s="166"/>
      <c r="AC2481" s="166"/>
      <c r="AD2481" s="166"/>
      <c r="AE2481" s="166"/>
      <c r="AF2481" s="166"/>
      <c r="AG2481" s="166"/>
      <c r="AH2481" s="166"/>
      <c r="AI2481" s="166"/>
    </row>
    <row r="2482" spans="7:35" x14ac:dyDescent="0.25">
      <c r="G2482" s="165"/>
      <c r="H2482" s="166"/>
      <c r="I2482" s="167"/>
      <c r="J2482" s="167"/>
      <c r="K2482" s="166"/>
      <c r="L2482" s="166"/>
      <c r="M2482" s="166"/>
      <c r="N2482" s="166"/>
      <c r="O2482" s="166"/>
      <c r="P2482" s="166"/>
      <c r="Q2482" s="166"/>
      <c r="R2482" s="166"/>
      <c r="S2482" s="166"/>
      <c r="T2482" s="166"/>
      <c r="U2482" s="166"/>
      <c r="V2482" s="166"/>
      <c r="W2482" s="166"/>
      <c r="X2482" s="166"/>
      <c r="Y2482" s="166"/>
      <c r="Z2482" s="166"/>
      <c r="AA2482" s="166"/>
      <c r="AB2482" s="166"/>
      <c r="AC2482" s="166"/>
      <c r="AD2482" s="166"/>
      <c r="AE2482" s="166"/>
      <c r="AF2482" s="166"/>
      <c r="AG2482" s="166"/>
      <c r="AH2482" s="166"/>
      <c r="AI2482" s="166"/>
    </row>
    <row r="2483" spans="7:35" x14ac:dyDescent="0.25">
      <c r="G2483" s="165"/>
      <c r="H2483" s="166"/>
      <c r="I2483" s="167"/>
      <c r="J2483" s="167"/>
      <c r="K2483" s="166"/>
      <c r="L2483" s="166"/>
      <c r="M2483" s="166"/>
      <c r="N2483" s="166"/>
      <c r="O2483" s="166"/>
      <c r="P2483" s="166"/>
      <c r="Q2483" s="166"/>
      <c r="R2483" s="166"/>
      <c r="S2483" s="166"/>
      <c r="T2483" s="166"/>
      <c r="U2483" s="166"/>
      <c r="V2483" s="166"/>
      <c r="W2483" s="166"/>
      <c r="X2483" s="166"/>
      <c r="Y2483" s="166"/>
      <c r="Z2483" s="166"/>
      <c r="AA2483" s="166"/>
      <c r="AB2483" s="166"/>
      <c r="AC2483" s="166"/>
      <c r="AD2483" s="166"/>
      <c r="AE2483" s="166"/>
      <c r="AF2483" s="166"/>
      <c r="AG2483" s="166"/>
      <c r="AH2483" s="166"/>
      <c r="AI2483" s="166"/>
    </row>
    <row r="2484" spans="7:35" x14ac:dyDescent="0.25">
      <c r="G2484" s="165"/>
      <c r="H2484" s="166"/>
      <c r="I2484" s="167"/>
      <c r="J2484" s="167"/>
      <c r="K2484" s="166"/>
      <c r="L2484" s="166"/>
      <c r="M2484" s="166"/>
      <c r="N2484" s="166"/>
      <c r="O2484" s="166"/>
      <c r="P2484" s="166"/>
      <c r="Q2484" s="166"/>
      <c r="R2484" s="166"/>
      <c r="S2484" s="166"/>
      <c r="T2484" s="166"/>
      <c r="U2484" s="166"/>
      <c r="V2484" s="166"/>
      <c r="W2484" s="166"/>
      <c r="X2484" s="166"/>
      <c r="Y2484" s="166"/>
      <c r="Z2484" s="166"/>
      <c r="AA2484" s="166"/>
      <c r="AB2484" s="166"/>
      <c r="AC2484" s="166"/>
      <c r="AD2484" s="166"/>
      <c r="AE2484" s="166"/>
      <c r="AF2484" s="166"/>
      <c r="AG2484" s="166"/>
      <c r="AH2484" s="166"/>
      <c r="AI2484" s="166"/>
    </row>
    <row r="2485" spans="7:35" x14ac:dyDescent="0.25">
      <c r="G2485" s="165"/>
      <c r="H2485" s="166"/>
      <c r="I2485" s="167"/>
      <c r="J2485" s="167"/>
      <c r="K2485" s="166"/>
      <c r="L2485" s="166"/>
      <c r="M2485" s="166"/>
      <c r="N2485" s="166"/>
      <c r="O2485" s="166"/>
      <c r="P2485" s="166"/>
      <c r="Q2485" s="166"/>
      <c r="R2485" s="166"/>
      <c r="S2485" s="166"/>
      <c r="T2485" s="166"/>
      <c r="U2485" s="166"/>
      <c r="V2485" s="166"/>
      <c r="W2485" s="166"/>
      <c r="X2485" s="166"/>
      <c r="Y2485" s="166"/>
      <c r="Z2485" s="166"/>
      <c r="AA2485" s="166"/>
      <c r="AB2485" s="166"/>
      <c r="AC2485" s="166"/>
      <c r="AD2485" s="166"/>
      <c r="AE2485" s="166"/>
      <c r="AF2485" s="166"/>
      <c r="AG2485" s="166"/>
      <c r="AH2485" s="166"/>
      <c r="AI2485" s="166"/>
    </row>
    <row r="2486" spans="7:35" x14ac:dyDescent="0.25">
      <c r="G2486" s="165"/>
      <c r="H2486" s="166"/>
      <c r="I2486" s="167"/>
      <c r="J2486" s="167"/>
      <c r="K2486" s="166"/>
      <c r="L2486" s="166"/>
      <c r="M2486" s="166"/>
      <c r="N2486" s="166"/>
      <c r="O2486" s="166"/>
      <c r="P2486" s="166"/>
      <c r="Q2486" s="166"/>
      <c r="R2486" s="166"/>
      <c r="S2486" s="166"/>
      <c r="T2486" s="166"/>
      <c r="U2486" s="166"/>
      <c r="V2486" s="166"/>
      <c r="W2486" s="166"/>
      <c r="X2486" s="166"/>
      <c r="Y2486" s="166"/>
      <c r="Z2486" s="166"/>
      <c r="AA2486" s="166"/>
      <c r="AB2486" s="166"/>
      <c r="AC2486" s="166"/>
      <c r="AD2486" s="166"/>
      <c r="AE2486" s="166"/>
      <c r="AF2486" s="166"/>
      <c r="AG2486" s="166"/>
      <c r="AH2486" s="166"/>
      <c r="AI2486" s="166"/>
    </row>
    <row r="2487" spans="7:35" x14ac:dyDescent="0.25">
      <c r="G2487" s="165"/>
      <c r="H2487" s="166"/>
      <c r="I2487" s="167"/>
      <c r="J2487" s="167"/>
      <c r="K2487" s="166"/>
      <c r="L2487" s="166"/>
      <c r="M2487" s="166"/>
      <c r="N2487" s="166"/>
      <c r="O2487" s="166"/>
      <c r="P2487" s="166"/>
      <c r="Q2487" s="166"/>
      <c r="R2487" s="166"/>
      <c r="S2487" s="166"/>
      <c r="T2487" s="166"/>
      <c r="U2487" s="166"/>
      <c r="V2487" s="166"/>
      <c r="W2487" s="166"/>
      <c r="X2487" s="166"/>
      <c r="Y2487" s="166"/>
      <c r="Z2487" s="166"/>
      <c r="AA2487" s="166"/>
      <c r="AB2487" s="166"/>
      <c r="AC2487" s="166"/>
      <c r="AD2487" s="166"/>
      <c r="AE2487" s="166"/>
      <c r="AF2487" s="166"/>
      <c r="AG2487" s="166"/>
      <c r="AH2487" s="166"/>
      <c r="AI2487" s="166"/>
    </row>
    <row r="2488" spans="7:35" x14ac:dyDescent="0.25">
      <c r="G2488" s="165"/>
      <c r="H2488" s="166"/>
      <c r="I2488" s="167"/>
      <c r="J2488" s="167"/>
      <c r="K2488" s="166"/>
      <c r="L2488" s="166"/>
      <c r="M2488" s="166"/>
      <c r="N2488" s="166"/>
      <c r="O2488" s="166"/>
      <c r="P2488" s="166"/>
      <c r="Q2488" s="166"/>
      <c r="R2488" s="166"/>
      <c r="S2488" s="166"/>
      <c r="T2488" s="166"/>
      <c r="U2488" s="166"/>
      <c r="V2488" s="166"/>
      <c r="W2488" s="166"/>
      <c r="X2488" s="166"/>
      <c r="Y2488" s="166"/>
      <c r="Z2488" s="166"/>
      <c r="AA2488" s="166"/>
      <c r="AB2488" s="166"/>
      <c r="AC2488" s="166"/>
      <c r="AD2488" s="166"/>
      <c r="AE2488" s="166"/>
      <c r="AF2488" s="166"/>
      <c r="AG2488" s="166"/>
      <c r="AH2488" s="166"/>
      <c r="AI2488" s="166"/>
    </row>
    <row r="2489" spans="7:35" x14ac:dyDescent="0.25">
      <c r="G2489" s="165"/>
      <c r="H2489" s="166"/>
      <c r="I2489" s="167"/>
      <c r="J2489" s="167"/>
      <c r="K2489" s="166"/>
      <c r="L2489" s="166"/>
      <c r="M2489" s="166"/>
      <c r="N2489" s="166"/>
      <c r="O2489" s="166"/>
      <c r="P2489" s="166"/>
      <c r="Q2489" s="166"/>
      <c r="R2489" s="166"/>
      <c r="S2489" s="166"/>
      <c r="T2489" s="166"/>
      <c r="U2489" s="166"/>
      <c r="V2489" s="166"/>
      <c r="W2489" s="166"/>
      <c r="X2489" s="166"/>
      <c r="Y2489" s="166"/>
      <c r="Z2489" s="166"/>
      <c r="AA2489" s="166"/>
      <c r="AB2489" s="166"/>
      <c r="AC2489" s="166"/>
      <c r="AD2489" s="166"/>
      <c r="AE2489" s="166"/>
      <c r="AF2489" s="166"/>
      <c r="AG2489" s="166"/>
      <c r="AH2489" s="166"/>
      <c r="AI2489" s="166"/>
    </row>
    <row r="2490" spans="7:35" x14ac:dyDescent="0.25">
      <c r="G2490" s="165"/>
      <c r="H2490" s="166"/>
      <c r="I2490" s="167"/>
      <c r="J2490" s="167"/>
      <c r="K2490" s="166"/>
      <c r="L2490" s="166"/>
      <c r="M2490" s="166"/>
      <c r="N2490" s="166"/>
      <c r="O2490" s="166"/>
      <c r="P2490" s="166"/>
      <c r="Q2490" s="166"/>
      <c r="R2490" s="166"/>
      <c r="S2490" s="166"/>
      <c r="T2490" s="166"/>
      <c r="U2490" s="166"/>
      <c r="V2490" s="166"/>
      <c r="W2490" s="166"/>
      <c r="X2490" s="166"/>
      <c r="Y2490" s="166"/>
      <c r="Z2490" s="166"/>
      <c r="AA2490" s="166"/>
      <c r="AB2490" s="166"/>
      <c r="AC2490" s="166"/>
      <c r="AD2490" s="166"/>
      <c r="AE2490" s="166"/>
      <c r="AF2490" s="166"/>
      <c r="AG2490" s="166"/>
      <c r="AH2490" s="166"/>
      <c r="AI2490" s="166"/>
    </row>
    <row r="2491" spans="7:35" x14ac:dyDescent="0.25">
      <c r="G2491" s="165"/>
      <c r="H2491" s="166"/>
      <c r="I2491" s="167"/>
      <c r="J2491" s="167"/>
      <c r="K2491" s="166"/>
      <c r="L2491" s="166"/>
      <c r="M2491" s="166"/>
      <c r="N2491" s="166"/>
      <c r="O2491" s="166"/>
      <c r="P2491" s="166"/>
      <c r="Q2491" s="166"/>
      <c r="R2491" s="166"/>
      <c r="S2491" s="166"/>
      <c r="T2491" s="166"/>
      <c r="U2491" s="166"/>
      <c r="V2491" s="166"/>
      <c r="W2491" s="166"/>
      <c r="X2491" s="166"/>
      <c r="Y2491" s="166"/>
      <c r="Z2491" s="166"/>
      <c r="AA2491" s="166"/>
      <c r="AB2491" s="166"/>
      <c r="AC2491" s="166"/>
      <c r="AD2491" s="166"/>
      <c r="AE2491" s="166"/>
      <c r="AF2491" s="166"/>
      <c r="AG2491" s="166"/>
      <c r="AH2491" s="166"/>
      <c r="AI2491" s="166"/>
    </row>
    <row r="2492" spans="7:35" x14ac:dyDescent="0.25">
      <c r="G2492" s="165"/>
      <c r="H2492" s="166"/>
      <c r="I2492" s="167"/>
      <c r="J2492" s="167"/>
      <c r="K2492" s="166"/>
      <c r="L2492" s="166"/>
      <c r="M2492" s="166"/>
      <c r="N2492" s="166"/>
      <c r="O2492" s="166"/>
      <c r="P2492" s="166"/>
      <c r="Q2492" s="166"/>
      <c r="R2492" s="166"/>
      <c r="S2492" s="166"/>
      <c r="T2492" s="166"/>
      <c r="U2492" s="166"/>
      <c r="V2492" s="166"/>
      <c r="W2492" s="166"/>
      <c r="X2492" s="166"/>
      <c r="Y2492" s="166"/>
      <c r="Z2492" s="166"/>
      <c r="AA2492" s="166"/>
      <c r="AB2492" s="166"/>
      <c r="AC2492" s="166"/>
      <c r="AD2492" s="166"/>
      <c r="AE2492" s="166"/>
      <c r="AF2492" s="166"/>
      <c r="AG2492" s="166"/>
      <c r="AH2492" s="166"/>
      <c r="AI2492" s="166"/>
    </row>
    <row r="2493" spans="7:35" x14ac:dyDescent="0.25">
      <c r="G2493" s="165"/>
      <c r="H2493" s="166"/>
      <c r="I2493" s="167"/>
      <c r="J2493" s="167"/>
      <c r="K2493" s="166"/>
      <c r="L2493" s="166"/>
      <c r="M2493" s="166"/>
      <c r="N2493" s="166"/>
      <c r="O2493" s="166"/>
      <c r="P2493" s="166"/>
      <c r="Q2493" s="166"/>
      <c r="R2493" s="166"/>
      <c r="S2493" s="166"/>
      <c r="T2493" s="166"/>
      <c r="U2493" s="166"/>
      <c r="V2493" s="166"/>
      <c r="W2493" s="166"/>
      <c r="X2493" s="166"/>
      <c r="Y2493" s="166"/>
      <c r="Z2493" s="166"/>
      <c r="AA2493" s="166"/>
      <c r="AB2493" s="166"/>
      <c r="AC2493" s="166"/>
      <c r="AD2493" s="166"/>
      <c r="AE2493" s="166"/>
      <c r="AF2493" s="166"/>
      <c r="AG2493" s="166"/>
      <c r="AH2493" s="166"/>
      <c r="AI2493" s="166"/>
    </row>
    <row r="2494" spans="7:35" x14ac:dyDescent="0.25">
      <c r="G2494" s="165"/>
      <c r="H2494" s="166"/>
      <c r="I2494" s="167"/>
      <c r="J2494" s="167"/>
      <c r="K2494" s="166"/>
      <c r="L2494" s="166"/>
      <c r="M2494" s="166"/>
      <c r="N2494" s="166"/>
      <c r="O2494" s="166"/>
      <c r="P2494" s="166"/>
      <c r="Q2494" s="166"/>
      <c r="R2494" s="166"/>
      <c r="S2494" s="166"/>
      <c r="T2494" s="166"/>
      <c r="U2494" s="166"/>
      <c r="V2494" s="166"/>
      <c r="W2494" s="166"/>
      <c r="X2494" s="166"/>
      <c r="Y2494" s="166"/>
      <c r="Z2494" s="166"/>
      <c r="AA2494" s="166"/>
      <c r="AB2494" s="166"/>
      <c r="AC2494" s="166"/>
      <c r="AD2494" s="166"/>
      <c r="AE2494" s="166"/>
      <c r="AF2494" s="166"/>
      <c r="AG2494" s="166"/>
      <c r="AH2494" s="166"/>
      <c r="AI2494" s="166"/>
    </row>
    <row r="2495" spans="7:35" x14ac:dyDescent="0.25">
      <c r="G2495" s="165"/>
      <c r="H2495" s="166"/>
      <c r="I2495" s="167"/>
      <c r="J2495" s="167"/>
      <c r="K2495" s="166"/>
      <c r="L2495" s="166"/>
      <c r="M2495" s="166"/>
      <c r="N2495" s="166"/>
      <c r="O2495" s="166"/>
      <c r="P2495" s="166"/>
      <c r="Q2495" s="166"/>
      <c r="R2495" s="166"/>
      <c r="S2495" s="166"/>
      <c r="T2495" s="166"/>
      <c r="U2495" s="166"/>
      <c r="V2495" s="166"/>
      <c r="W2495" s="166"/>
      <c r="X2495" s="166"/>
      <c r="Y2495" s="166"/>
      <c r="Z2495" s="166"/>
      <c r="AA2495" s="166"/>
      <c r="AB2495" s="166"/>
      <c r="AC2495" s="166"/>
      <c r="AD2495" s="166"/>
      <c r="AE2495" s="166"/>
      <c r="AF2495" s="166"/>
      <c r="AG2495" s="166"/>
      <c r="AH2495" s="166"/>
      <c r="AI2495" s="166"/>
    </row>
    <row r="2496" spans="7:35" x14ac:dyDescent="0.25">
      <c r="G2496" s="165"/>
      <c r="H2496" s="166"/>
      <c r="I2496" s="167"/>
      <c r="J2496" s="167"/>
      <c r="K2496" s="166"/>
      <c r="L2496" s="166"/>
      <c r="M2496" s="166"/>
      <c r="N2496" s="166"/>
      <c r="O2496" s="166"/>
      <c r="P2496" s="166"/>
      <c r="Q2496" s="166"/>
      <c r="R2496" s="166"/>
      <c r="S2496" s="166"/>
      <c r="T2496" s="166"/>
      <c r="U2496" s="166"/>
      <c r="V2496" s="166"/>
      <c r="W2496" s="166"/>
      <c r="X2496" s="166"/>
      <c r="Y2496" s="166"/>
      <c r="Z2496" s="166"/>
      <c r="AA2496" s="166"/>
      <c r="AB2496" s="166"/>
      <c r="AC2496" s="166"/>
      <c r="AD2496" s="166"/>
      <c r="AE2496" s="166"/>
      <c r="AF2496" s="166"/>
      <c r="AG2496" s="166"/>
      <c r="AH2496" s="166"/>
      <c r="AI2496" s="166"/>
    </row>
    <row r="2497" spans="7:35" x14ac:dyDescent="0.25">
      <c r="G2497" s="165"/>
      <c r="H2497" s="166"/>
      <c r="I2497" s="167"/>
      <c r="J2497" s="167"/>
      <c r="K2497" s="166"/>
      <c r="L2497" s="166"/>
      <c r="M2497" s="166"/>
      <c r="N2497" s="166"/>
      <c r="O2497" s="166"/>
      <c r="P2497" s="166"/>
      <c r="Q2497" s="166"/>
      <c r="R2497" s="166"/>
      <c r="S2497" s="166"/>
      <c r="T2497" s="166"/>
      <c r="U2497" s="166"/>
      <c r="V2497" s="166"/>
      <c r="W2497" s="166"/>
      <c r="X2497" s="166"/>
      <c r="Y2497" s="166"/>
      <c r="Z2497" s="166"/>
      <c r="AA2497" s="166"/>
      <c r="AB2497" s="166"/>
      <c r="AC2497" s="166"/>
      <c r="AD2497" s="166"/>
      <c r="AE2497" s="166"/>
      <c r="AF2497" s="166"/>
      <c r="AG2497" s="166"/>
      <c r="AH2497" s="166"/>
      <c r="AI2497" s="166"/>
    </row>
    <row r="2498" spans="7:35" x14ac:dyDescent="0.25">
      <c r="G2498" s="165"/>
      <c r="H2498" s="166"/>
      <c r="I2498" s="167"/>
      <c r="J2498" s="167"/>
      <c r="K2498" s="166"/>
      <c r="L2498" s="166"/>
      <c r="M2498" s="166"/>
      <c r="N2498" s="166"/>
      <c r="O2498" s="166"/>
      <c r="P2498" s="166"/>
      <c r="Q2498" s="166"/>
      <c r="R2498" s="166"/>
      <c r="S2498" s="166"/>
      <c r="T2498" s="166"/>
      <c r="U2498" s="166"/>
      <c r="V2498" s="166"/>
      <c r="W2498" s="166"/>
      <c r="X2498" s="166"/>
      <c r="Y2498" s="166"/>
      <c r="Z2498" s="166"/>
      <c r="AA2498" s="166"/>
      <c r="AB2498" s="166"/>
      <c r="AC2498" s="166"/>
      <c r="AD2498" s="166"/>
      <c r="AE2498" s="166"/>
      <c r="AF2498" s="166"/>
      <c r="AG2498" s="166"/>
      <c r="AH2498" s="166"/>
      <c r="AI2498" s="166"/>
    </row>
    <row r="2499" spans="7:35" x14ac:dyDescent="0.25">
      <c r="G2499" s="165"/>
      <c r="H2499" s="166"/>
      <c r="I2499" s="167"/>
      <c r="J2499" s="167"/>
      <c r="K2499" s="166"/>
      <c r="L2499" s="166"/>
      <c r="M2499" s="166"/>
      <c r="N2499" s="166"/>
      <c r="O2499" s="166"/>
      <c r="P2499" s="166"/>
      <c r="Q2499" s="166"/>
      <c r="R2499" s="166"/>
      <c r="S2499" s="166"/>
      <c r="T2499" s="166"/>
      <c r="U2499" s="166"/>
      <c r="V2499" s="166"/>
      <c r="W2499" s="166"/>
      <c r="X2499" s="166"/>
      <c r="Y2499" s="166"/>
      <c r="Z2499" s="166"/>
      <c r="AA2499" s="166"/>
      <c r="AB2499" s="166"/>
      <c r="AC2499" s="166"/>
      <c r="AD2499" s="166"/>
      <c r="AE2499" s="166"/>
      <c r="AF2499" s="166"/>
      <c r="AG2499" s="166"/>
      <c r="AH2499" s="166"/>
      <c r="AI2499" s="166"/>
    </row>
    <row r="2500" spans="7:35" x14ac:dyDescent="0.25">
      <c r="G2500" s="165"/>
      <c r="H2500" s="166"/>
      <c r="I2500" s="167"/>
      <c r="J2500" s="167"/>
      <c r="K2500" s="166"/>
      <c r="L2500" s="166"/>
      <c r="M2500" s="166"/>
      <c r="N2500" s="166"/>
      <c r="O2500" s="166"/>
      <c r="P2500" s="166"/>
      <c r="Q2500" s="166"/>
      <c r="R2500" s="166"/>
      <c r="S2500" s="166"/>
      <c r="T2500" s="166"/>
      <c r="U2500" s="166"/>
      <c r="V2500" s="166"/>
      <c r="W2500" s="166"/>
      <c r="X2500" s="166"/>
      <c r="Y2500" s="166"/>
      <c r="Z2500" s="166"/>
      <c r="AA2500" s="166"/>
      <c r="AB2500" s="166"/>
      <c r="AC2500" s="166"/>
      <c r="AD2500" s="166"/>
      <c r="AE2500" s="166"/>
      <c r="AF2500" s="166"/>
      <c r="AG2500" s="166"/>
      <c r="AH2500" s="166"/>
      <c r="AI2500" s="166"/>
    </row>
    <row r="2501" spans="7:35" x14ac:dyDescent="0.25">
      <c r="G2501" s="165"/>
      <c r="H2501" s="166"/>
      <c r="I2501" s="167"/>
      <c r="J2501" s="167"/>
      <c r="K2501" s="166"/>
      <c r="L2501" s="166"/>
      <c r="M2501" s="166"/>
      <c r="N2501" s="166"/>
      <c r="O2501" s="166"/>
      <c r="P2501" s="166"/>
      <c r="Q2501" s="166"/>
      <c r="R2501" s="166"/>
      <c r="S2501" s="166"/>
      <c r="T2501" s="166"/>
      <c r="U2501" s="166"/>
      <c r="V2501" s="166"/>
      <c r="W2501" s="166"/>
      <c r="X2501" s="166"/>
      <c r="Y2501" s="166"/>
      <c r="Z2501" s="166"/>
      <c r="AA2501" s="166"/>
      <c r="AB2501" s="166"/>
      <c r="AC2501" s="166"/>
      <c r="AD2501" s="166"/>
      <c r="AE2501" s="166"/>
      <c r="AF2501" s="166"/>
      <c r="AG2501" s="166"/>
      <c r="AH2501" s="166"/>
      <c r="AI2501" s="166"/>
    </row>
    <row r="2502" spans="7:35" x14ac:dyDescent="0.25">
      <c r="G2502" s="165"/>
      <c r="H2502" s="166"/>
      <c r="I2502" s="167"/>
      <c r="J2502" s="167"/>
      <c r="K2502" s="166"/>
      <c r="L2502" s="166"/>
      <c r="M2502" s="166"/>
      <c r="N2502" s="166"/>
      <c r="O2502" s="166"/>
      <c r="P2502" s="166"/>
      <c r="Q2502" s="166"/>
      <c r="R2502" s="166"/>
      <c r="S2502" s="166"/>
      <c r="T2502" s="166"/>
      <c r="U2502" s="166"/>
      <c r="V2502" s="166"/>
      <c r="W2502" s="166"/>
      <c r="X2502" s="166"/>
      <c r="Y2502" s="166"/>
      <c r="Z2502" s="166"/>
      <c r="AA2502" s="166"/>
      <c r="AB2502" s="166"/>
      <c r="AC2502" s="166"/>
      <c r="AD2502" s="166"/>
      <c r="AE2502" s="166"/>
      <c r="AF2502" s="166"/>
      <c r="AG2502" s="166"/>
      <c r="AH2502" s="166"/>
      <c r="AI2502" s="166"/>
    </row>
    <row r="2503" spans="7:35" x14ac:dyDescent="0.25">
      <c r="G2503" s="165"/>
      <c r="H2503" s="166"/>
      <c r="I2503" s="167"/>
      <c r="J2503" s="167"/>
      <c r="K2503" s="166"/>
      <c r="L2503" s="166"/>
      <c r="M2503" s="166"/>
      <c r="N2503" s="166"/>
      <c r="O2503" s="166"/>
      <c r="P2503" s="166"/>
      <c r="Q2503" s="166"/>
      <c r="R2503" s="166"/>
      <c r="S2503" s="166"/>
      <c r="T2503" s="166"/>
      <c r="U2503" s="166"/>
      <c r="V2503" s="166"/>
      <c r="W2503" s="166"/>
      <c r="X2503" s="166"/>
      <c r="Y2503" s="166"/>
      <c r="Z2503" s="166"/>
      <c r="AA2503" s="166"/>
      <c r="AB2503" s="166"/>
      <c r="AC2503" s="166"/>
      <c r="AD2503" s="166"/>
      <c r="AE2503" s="166"/>
      <c r="AF2503" s="166"/>
      <c r="AG2503" s="166"/>
      <c r="AH2503" s="166"/>
      <c r="AI2503" s="166"/>
    </row>
    <row r="2504" spans="7:35" x14ac:dyDescent="0.25">
      <c r="G2504" s="165"/>
      <c r="H2504" s="166"/>
      <c r="I2504" s="167"/>
      <c r="J2504" s="167"/>
      <c r="K2504" s="166"/>
      <c r="L2504" s="166"/>
      <c r="M2504" s="166"/>
      <c r="N2504" s="166"/>
      <c r="O2504" s="166"/>
      <c r="P2504" s="166"/>
      <c r="Q2504" s="166"/>
      <c r="R2504" s="166"/>
      <c r="S2504" s="166"/>
      <c r="T2504" s="166"/>
      <c r="U2504" s="166"/>
      <c r="V2504" s="166"/>
      <c r="W2504" s="166"/>
      <c r="X2504" s="166"/>
      <c r="Y2504" s="166"/>
      <c r="Z2504" s="166"/>
      <c r="AA2504" s="166"/>
      <c r="AB2504" s="166"/>
      <c r="AC2504" s="166"/>
      <c r="AD2504" s="166"/>
      <c r="AE2504" s="166"/>
      <c r="AF2504" s="166"/>
      <c r="AG2504" s="166"/>
      <c r="AH2504" s="166"/>
      <c r="AI2504" s="166"/>
    </row>
    <row r="2505" spans="7:35" x14ac:dyDescent="0.25">
      <c r="G2505" s="165"/>
      <c r="H2505" s="166"/>
      <c r="I2505" s="167"/>
      <c r="J2505" s="167"/>
      <c r="K2505" s="166"/>
      <c r="L2505" s="166"/>
      <c r="M2505" s="166"/>
      <c r="N2505" s="166"/>
      <c r="O2505" s="166"/>
      <c r="P2505" s="166"/>
      <c r="Q2505" s="166"/>
      <c r="R2505" s="166"/>
      <c r="S2505" s="166"/>
      <c r="T2505" s="166"/>
      <c r="U2505" s="166"/>
      <c r="V2505" s="166"/>
      <c r="W2505" s="166"/>
      <c r="X2505" s="166"/>
      <c r="Y2505" s="166"/>
      <c r="Z2505" s="166"/>
      <c r="AA2505" s="166"/>
      <c r="AB2505" s="166"/>
      <c r="AC2505" s="166"/>
      <c r="AD2505" s="166"/>
      <c r="AE2505" s="166"/>
      <c r="AF2505" s="166"/>
      <c r="AG2505" s="166"/>
      <c r="AH2505" s="166"/>
      <c r="AI2505" s="166"/>
    </row>
    <row r="2506" spans="7:35" x14ac:dyDescent="0.25">
      <c r="G2506" s="165"/>
      <c r="H2506" s="166"/>
      <c r="I2506" s="167"/>
      <c r="J2506" s="167"/>
      <c r="K2506" s="166"/>
      <c r="L2506" s="166"/>
      <c r="M2506" s="166"/>
      <c r="N2506" s="166"/>
      <c r="O2506" s="166"/>
      <c r="P2506" s="166"/>
      <c r="Q2506" s="166"/>
      <c r="R2506" s="166"/>
      <c r="S2506" s="166"/>
      <c r="T2506" s="166"/>
      <c r="U2506" s="166"/>
      <c r="V2506" s="166"/>
      <c r="W2506" s="166"/>
      <c r="X2506" s="166"/>
      <c r="Y2506" s="166"/>
      <c r="Z2506" s="166"/>
      <c r="AA2506" s="166"/>
      <c r="AB2506" s="166"/>
      <c r="AC2506" s="166"/>
      <c r="AD2506" s="166"/>
      <c r="AE2506" s="166"/>
      <c r="AF2506" s="166"/>
      <c r="AG2506" s="166"/>
      <c r="AH2506" s="166"/>
      <c r="AI2506" s="166"/>
    </row>
    <row r="2507" spans="7:35" x14ac:dyDescent="0.25">
      <c r="G2507" s="165"/>
      <c r="H2507" s="166"/>
      <c r="I2507" s="167"/>
      <c r="J2507" s="167"/>
      <c r="K2507" s="166"/>
      <c r="L2507" s="166"/>
      <c r="M2507" s="166"/>
      <c r="N2507" s="166"/>
      <c r="O2507" s="166"/>
      <c r="P2507" s="166"/>
      <c r="Q2507" s="166"/>
      <c r="R2507" s="166"/>
      <c r="S2507" s="166"/>
      <c r="T2507" s="166"/>
      <c r="U2507" s="166"/>
      <c r="V2507" s="166"/>
      <c r="W2507" s="166"/>
      <c r="X2507" s="166"/>
      <c r="Y2507" s="166"/>
      <c r="Z2507" s="166"/>
      <c r="AA2507" s="166"/>
      <c r="AB2507" s="166"/>
      <c r="AC2507" s="166"/>
      <c r="AD2507" s="166"/>
      <c r="AE2507" s="166"/>
      <c r="AF2507" s="166"/>
      <c r="AG2507" s="166"/>
      <c r="AH2507" s="166"/>
      <c r="AI2507" s="166"/>
    </row>
    <row r="2508" spans="7:35" x14ac:dyDescent="0.25">
      <c r="G2508" s="165"/>
      <c r="H2508" s="166"/>
      <c r="I2508" s="167"/>
      <c r="J2508" s="167"/>
      <c r="K2508" s="166"/>
      <c r="L2508" s="166"/>
      <c r="M2508" s="166"/>
      <c r="N2508" s="166"/>
      <c r="O2508" s="166"/>
      <c r="P2508" s="166"/>
      <c r="Q2508" s="166"/>
      <c r="R2508" s="166"/>
      <c r="S2508" s="166"/>
      <c r="T2508" s="166"/>
      <c r="U2508" s="166"/>
      <c r="V2508" s="166"/>
      <c r="W2508" s="166"/>
      <c r="X2508" s="166"/>
      <c r="Y2508" s="166"/>
      <c r="Z2508" s="166"/>
      <c r="AA2508" s="166"/>
      <c r="AB2508" s="166"/>
      <c r="AC2508" s="166"/>
      <c r="AD2508" s="166"/>
      <c r="AE2508" s="166"/>
      <c r="AF2508" s="166"/>
      <c r="AG2508" s="166"/>
      <c r="AH2508" s="166"/>
      <c r="AI2508" s="166"/>
    </row>
    <row r="2509" spans="7:35" x14ac:dyDescent="0.25">
      <c r="G2509" s="165"/>
      <c r="H2509" s="166"/>
      <c r="I2509" s="167"/>
      <c r="J2509" s="167"/>
      <c r="K2509" s="166"/>
      <c r="L2509" s="166"/>
      <c r="M2509" s="166"/>
      <c r="N2509" s="166"/>
      <c r="O2509" s="166"/>
      <c r="P2509" s="166"/>
      <c r="Q2509" s="166"/>
      <c r="R2509" s="166"/>
      <c r="S2509" s="166"/>
      <c r="T2509" s="166"/>
      <c r="U2509" s="166"/>
      <c r="V2509" s="166"/>
      <c r="W2509" s="166"/>
      <c r="X2509" s="166"/>
      <c r="Y2509" s="166"/>
      <c r="Z2509" s="166"/>
      <c r="AA2509" s="166"/>
      <c r="AB2509" s="166"/>
      <c r="AC2509" s="166"/>
      <c r="AD2509" s="166"/>
      <c r="AE2509" s="166"/>
      <c r="AF2509" s="166"/>
      <c r="AG2509" s="166"/>
      <c r="AH2509" s="166"/>
      <c r="AI2509" s="166"/>
    </row>
    <row r="2510" spans="7:35" x14ac:dyDescent="0.25">
      <c r="G2510" s="165"/>
      <c r="H2510" s="166"/>
      <c r="I2510" s="167"/>
      <c r="J2510" s="167"/>
      <c r="K2510" s="166"/>
      <c r="L2510" s="166"/>
      <c r="M2510" s="166"/>
      <c r="N2510" s="166"/>
      <c r="O2510" s="166"/>
      <c r="P2510" s="166"/>
      <c r="Q2510" s="166"/>
      <c r="R2510" s="166"/>
      <c r="S2510" s="166"/>
      <c r="T2510" s="166"/>
      <c r="U2510" s="166"/>
      <c r="V2510" s="166"/>
      <c r="W2510" s="166"/>
      <c r="X2510" s="166"/>
      <c r="Y2510" s="166"/>
      <c r="Z2510" s="166"/>
      <c r="AA2510" s="166"/>
      <c r="AB2510" s="166"/>
      <c r="AC2510" s="166"/>
      <c r="AD2510" s="166"/>
      <c r="AE2510" s="166"/>
      <c r="AF2510" s="166"/>
      <c r="AG2510" s="166"/>
      <c r="AH2510" s="166"/>
      <c r="AI2510" s="166"/>
    </row>
    <row r="2511" spans="7:35" x14ac:dyDescent="0.25">
      <c r="G2511" s="165"/>
      <c r="H2511" s="166"/>
      <c r="I2511" s="167"/>
      <c r="J2511" s="167"/>
      <c r="K2511" s="166"/>
      <c r="L2511" s="166"/>
      <c r="M2511" s="166"/>
      <c r="N2511" s="166"/>
      <c r="O2511" s="166"/>
      <c r="P2511" s="166"/>
      <c r="Q2511" s="166"/>
      <c r="R2511" s="166"/>
      <c r="S2511" s="166"/>
      <c r="T2511" s="166"/>
      <c r="U2511" s="166"/>
      <c r="V2511" s="166"/>
      <c r="W2511" s="166"/>
      <c r="X2511" s="166"/>
      <c r="Y2511" s="166"/>
      <c r="Z2511" s="166"/>
      <c r="AA2511" s="166"/>
      <c r="AB2511" s="166"/>
      <c r="AC2511" s="166"/>
      <c r="AD2511" s="166"/>
      <c r="AE2511" s="166"/>
      <c r="AF2511" s="166"/>
      <c r="AG2511" s="166"/>
      <c r="AH2511" s="166"/>
      <c r="AI2511" s="166"/>
    </row>
    <row r="2512" spans="7:35" x14ac:dyDescent="0.25">
      <c r="G2512" s="165"/>
      <c r="H2512" s="166"/>
      <c r="I2512" s="167"/>
      <c r="J2512" s="167"/>
      <c r="K2512" s="166"/>
      <c r="L2512" s="166"/>
      <c r="M2512" s="166"/>
      <c r="N2512" s="166"/>
      <c r="O2512" s="166"/>
      <c r="P2512" s="166"/>
      <c r="Q2512" s="166"/>
      <c r="R2512" s="166"/>
      <c r="S2512" s="166"/>
      <c r="T2512" s="166"/>
      <c r="U2512" s="166"/>
      <c r="V2512" s="166"/>
      <c r="W2512" s="166"/>
      <c r="X2512" s="166"/>
      <c r="Y2512" s="166"/>
      <c r="Z2512" s="166"/>
      <c r="AA2512" s="166"/>
      <c r="AB2512" s="166"/>
      <c r="AC2512" s="166"/>
      <c r="AD2512" s="166"/>
      <c r="AE2512" s="166"/>
      <c r="AF2512" s="166"/>
      <c r="AG2512" s="166"/>
      <c r="AH2512" s="166"/>
      <c r="AI2512" s="166"/>
    </row>
    <row r="2513" spans="7:35" x14ac:dyDescent="0.25">
      <c r="G2513" s="165"/>
      <c r="H2513" s="166"/>
      <c r="I2513" s="167"/>
      <c r="J2513" s="167"/>
      <c r="K2513" s="166"/>
      <c r="L2513" s="166"/>
      <c r="M2513" s="166"/>
      <c r="N2513" s="166"/>
      <c r="O2513" s="166"/>
      <c r="P2513" s="166"/>
      <c r="Q2513" s="166"/>
      <c r="R2513" s="166"/>
      <c r="S2513" s="166"/>
      <c r="T2513" s="166"/>
      <c r="U2513" s="166"/>
      <c r="V2513" s="166"/>
      <c r="W2513" s="166"/>
      <c r="X2513" s="166"/>
      <c r="Y2513" s="166"/>
      <c r="Z2513" s="166"/>
      <c r="AA2513" s="166"/>
      <c r="AB2513" s="166"/>
      <c r="AC2513" s="166"/>
      <c r="AD2513" s="166"/>
      <c r="AE2513" s="166"/>
      <c r="AF2513" s="166"/>
      <c r="AG2513" s="166"/>
      <c r="AH2513" s="166"/>
      <c r="AI2513" s="166"/>
    </row>
    <row r="2514" spans="7:35" x14ac:dyDescent="0.25">
      <c r="G2514" s="165"/>
      <c r="H2514" s="166"/>
      <c r="I2514" s="167"/>
      <c r="J2514" s="167"/>
      <c r="K2514" s="166"/>
      <c r="L2514" s="166"/>
      <c r="M2514" s="166"/>
      <c r="N2514" s="166"/>
      <c r="O2514" s="166"/>
      <c r="P2514" s="166"/>
      <c r="Q2514" s="166"/>
      <c r="R2514" s="166"/>
      <c r="S2514" s="166"/>
      <c r="T2514" s="166"/>
      <c r="U2514" s="166"/>
      <c r="V2514" s="166"/>
      <c r="W2514" s="166"/>
      <c r="X2514" s="166"/>
      <c r="Y2514" s="166"/>
      <c r="Z2514" s="166"/>
      <c r="AA2514" s="166"/>
      <c r="AB2514" s="166"/>
      <c r="AC2514" s="166"/>
      <c r="AD2514" s="166"/>
      <c r="AE2514" s="166"/>
      <c r="AF2514" s="166"/>
      <c r="AG2514" s="166"/>
      <c r="AH2514" s="166"/>
      <c r="AI2514" s="166"/>
    </row>
    <row r="2515" spans="7:35" x14ac:dyDescent="0.25">
      <c r="G2515" s="165"/>
      <c r="H2515" s="166"/>
      <c r="I2515" s="167"/>
      <c r="J2515" s="167"/>
      <c r="K2515" s="166"/>
      <c r="L2515" s="166"/>
      <c r="M2515" s="166"/>
      <c r="N2515" s="166"/>
      <c r="O2515" s="166"/>
      <c r="P2515" s="166"/>
      <c r="Q2515" s="166"/>
      <c r="R2515" s="166"/>
      <c r="S2515" s="166"/>
      <c r="T2515" s="166"/>
      <c r="U2515" s="166"/>
      <c r="V2515" s="166"/>
      <c r="W2515" s="166"/>
      <c r="X2515" s="166"/>
      <c r="Y2515" s="166"/>
      <c r="Z2515" s="166"/>
      <c r="AA2515" s="166"/>
      <c r="AB2515" s="166"/>
      <c r="AC2515" s="166"/>
      <c r="AD2515" s="166"/>
      <c r="AE2515" s="166"/>
      <c r="AF2515" s="166"/>
      <c r="AG2515" s="166"/>
      <c r="AH2515" s="166"/>
      <c r="AI2515" s="166"/>
    </row>
    <row r="2516" spans="7:35" x14ac:dyDescent="0.25">
      <c r="G2516" s="165"/>
      <c r="H2516" s="166"/>
      <c r="I2516" s="167"/>
      <c r="J2516" s="167"/>
      <c r="K2516" s="166"/>
      <c r="L2516" s="166"/>
      <c r="M2516" s="166"/>
      <c r="N2516" s="166"/>
      <c r="O2516" s="166"/>
      <c r="P2516" s="166"/>
      <c r="Q2516" s="166"/>
      <c r="R2516" s="166"/>
      <c r="S2516" s="166"/>
      <c r="T2516" s="166"/>
      <c r="U2516" s="166"/>
      <c r="V2516" s="166"/>
      <c r="W2516" s="166"/>
      <c r="X2516" s="166"/>
      <c r="Y2516" s="166"/>
      <c r="Z2516" s="166"/>
      <c r="AA2516" s="166"/>
      <c r="AB2516" s="166"/>
      <c r="AC2516" s="166"/>
      <c r="AD2516" s="166"/>
      <c r="AE2516" s="166"/>
      <c r="AF2516" s="166"/>
      <c r="AG2516" s="166"/>
      <c r="AH2516" s="166"/>
      <c r="AI2516" s="166"/>
    </row>
    <row r="2517" spans="7:35" x14ac:dyDescent="0.25">
      <c r="G2517" s="165"/>
      <c r="H2517" s="166"/>
      <c r="I2517" s="167"/>
      <c r="J2517" s="167"/>
      <c r="K2517" s="166"/>
      <c r="L2517" s="166"/>
      <c r="M2517" s="166"/>
      <c r="N2517" s="166"/>
      <c r="O2517" s="166"/>
      <c r="P2517" s="166"/>
      <c r="Q2517" s="166"/>
      <c r="R2517" s="166"/>
      <c r="S2517" s="166"/>
      <c r="T2517" s="166"/>
      <c r="U2517" s="166"/>
      <c r="V2517" s="166"/>
      <c r="W2517" s="166"/>
      <c r="X2517" s="166"/>
      <c r="Y2517" s="166"/>
      <c r="Z2517" s="166"/>
      <c r="AA2517" s="166"/>
      <c r="AB2517" s="166"/>
      <c r="AC2517" s="166"/>
      <c r="AD2517" s="166"/>
      <c r="AE2517" s="166"/>
      <c r="AF2517" s="166"/>
      <c r="AG2517" s="166"/>
      <c r="AH2517" s="166"/>
      <c r="AI2517" s="166"/>
    </row>
    <row r="2518" spans="7:35" x14ac:dyDescent="0.25">
      <c r="G2518" s="165"/>
      <c r="H2518" s="166"/>
      <c r="I2518" s="167"/>
      <c r="J2518" s="167"/>
      <c r="K2518" s="166"/>
      <c r="L2518" s="166"/>
      <c r="M2518" s="166"/>
      <c r="N2518" s="166"/>
      <c r="O2518" s="166"/>
      <c r="P2518" s="166"/>
      <c r="Q2518" s="166"/>
      <c r="R2518" s="166"/>
      <c r="S2518" s="166"/>
      <c r="T2518" s="166"/>
      <c r="U2518" s="166"/>
      <c r="V2518" s="166"/>
      <c r="W2518" s="166"/>
      <c r="X2518" s="166"/>
      <c r="Y2518" s="166"/>
      <c r="Z2518" s="166"/>
      <c r="AA2518" s="166"/>
      <c r="AB2518" s="166"/>
      <c r="AC2518" s="166"/>
      <c r="AD2518" s="166"/>
      <c r="AE2518" s="166"/>
      <c r="AF2518" s="166"/>
      <c r="AG2518" s="166"/>
      <c r="AH2518" s="166"/>
      <c r="AI2518" s="166"/>
    </row>
    <row r="2519" spans="7:35" x14ac:dyDescent="0.25">
      <c r="G2519" s="165"/>
      <c r="H2519" s="166"/>
      <c r="I2519" s="167"/>
      <c r="J2519" s="167"/>
      <c r="K2519" s="166"/>
      <c r="L2519" s="166"/>
      <c r="M2519" s="166"/>
      <c r="N2519" s="166"/>
      <c r="O2519" s="166"/>
      <c r="P2519" s="166"/>
      <c r="Q2519" s="166"/>
      <c r="R2519" s="166"/>
      <c r="S2519" s="166"/>
      <c r="T2519" s="166"/>
      <c r="U2519" s="166"/>
      <c r="V2519" s="166"/>
      <c r="W2519" s="166"/>
      <c r="X2519" s="166"/>
      <c r="Y2519" s="166"/>
      <c r="Z2519" s="166"/>
      <c r="AA2519" s="166"/>
      <c r="AB2519" s="166"/>
      <c r="AC2519" s="166"/>
      <c r="AD2519" s="166"/>
      <c r="AE2519" s="166"/>
      <c r="AF2519" s="166"/>
      <c r="AG2519" s="166"/>
      <c r="AH2519" s="166"/>
      <c r="AI2519" s="166"/>
    </row>
    <row r="2520" spans="7:35" x14ac:dyDescent="0.25">
      <c r="G2520" s="165"/>
      <c r="H2520" s="166"/>
      <c r="I2520" s="167"/>
      <c r="J2520" s="167"/>
      <c r="K2520" s="166"/>
      <c r="L2520" s="166"/>
      <c r="M2520" s="166"/>
      <c r="N2520" s="166"/>
      <c r="O2520" s="166"/>
      <c r="P2520" s="166"/>
      <c r="Q2520" s="166"/>
      <c r="R2520" s="166"/>
      <c r="S2520" s="166"/>
      <c r="T2520" s="166"/>
      <c r="U2520" s="166"/>
      <c r="V2520" s="166"/>
      <c r="W2520" s="166"/>
      <c r="X2520" s="166"/>
      <c r="Y2520" s="166"/>
      <c r="Z2520" s="166"/>
      <c r="AA2520" s="166"/>
      <c r="AB2520" s="166"/>
      <c r="AC2520" s="166"/>
      <c r="AD2520" s="166"/>
      <c r="AE2520" s="166"/>
      <c r="AF2520" s="166"/>
      <c r="AG2520" s="166"/>
      <c r="AH2520" s="166"/>
      <c r="AI2520" s="166"/>
    </row>
    <row r="2521" spans="7:35" x14ac:dyDescent="0.25">
      <c r="G2521" s="165"/>
      <c r="H2521" s="166"/>
      <c r="I2521" s="167"/>
      <c r="J2521" s="167"/>
      <c r="K2521" s="166"/>
      <c r="L2521" s="166"/>
      <c r="M2521" s="166"/>
      <c r="N2521" s="166"/>
      <c r="O2521" s="166"/>
      <c r="P2521" s="166"/>
      <c r="Q2521" s="166"/>
      <c r="R2521" s="166"/>
      <c r="S2521" s="166"/>
      <c r="T2521" s="166"/>
      <c r="U2521" s="166"/>
      <c r="V2521" s="166"/>
      <c r="W2521" s="166"/>
      <c r="X2521" s="166"/>
      <c r="Y2521" s="166"/>
      <c r="Z2521" s="166"/>
      <c r="AA2521" s="166"/>
      <c r="AB2521" s="166"/>
      <c r="AC2521" s="166"/>
      <c r="AD2521" s="166"/>
      <c r="AE2521" s="166"/>
      <c r="AF2521" s="166"/>
      <c r="AG2521" s="166"/>
      <c r="AH2521" s="166"/>
      <c r="AI2521" s="166"/>
    </row>
    <row r="2522" spans="7:35" x14ac:dyDescent="0.25">
      <c r="G2522" s="165"/>
      <c r="H2522" s="166"/>
      <c r="I2522" s="167"/>
      <c r="J2522" s="167"/>
      <c r="K2522" s="166"/>
      <c r="L2522" s="166"/>
      <c r="M2522" s="166"/>
      <c r="N2522" s="166"/>
      <c r="O2522" s="166"/>
      <c r="P2522" s="166"/>
      <c r="Q2522" s="166"/>
      <c r="R2522" s="166"/>
      <c r="S2522" s="166"/>
      <c r="T2522" s="166"/>
      <c r="U2522" s="166"/>
      <c r="V2522" s="166"/>
      <c r="W2522" s="166"/>
      <c r="X2522" s="166"/>
      <c r="Y2522" s="166"/>
      <c r="Z2522" s="166"/>
      <c r="AA2522" s="166"/>
      <c r="AB2522" s="166"/>
      <c r="AC2522" s="166"/>
      <c r="AD2522" s="166"/>
      <c r="AE2522" s="166"/>
      <c r="AF2522" s="166"/>
      <c r="AG2522" s="166"/>
      <c r="AH2522" s="166"/>
      <c r="AI2522" s="166"/>
    </row>
    <row r="2523" spans="7:35" x14ac:dyDescent="0.25">
      <c r="G2523" s="165"/>
      <c r="H2523" s="166"/>
      <c r="I2523" s="167"/>
      <c r="J2523" s="167"/>
      <c r="K2523" s="166"/>
      <c r="L2523" s="166"/>
      <c r="M2523" s="166"/>
      <c r="N2523" s="166"/>
      <c r="O2523" s="166"/>
      <c r="P2523" s="166"/>
      <c r="Q2523" s="166"/>
      <c r="R2523" s="166"/>
      <c r="S2523" s="166"/>
      <c r="T2523" s="166"/>
      <c r="U2523" s="166"/>
      <c r="V2523" s="166"/>
      <c r="W2523" s="166"/>
      <c r="X2523" s="166"/>
      <c r="Y2523" s="166"/>
      <c r="Z2523" s="166"/>
      <c r="AA2523" s="166"/>
      <c r="AB2523" s="166"/>
      <c r="AC2523" s="166"/>
      <c r="AD2523" s="166"/>
      <c r="AE2523" s="166"/>
      <c r="AF2523" s="166"/>
      <c r="AG2523" s="166"/>
      <c r="AH2523" s="166"/>
      <c r="AI2523" s="166"/>
    </row>
    <row r="2524" spans="7:35" x14ac:dyDescent="0.25">
      <c r="G2524" s="165"/>
      <c r="H2524" s="166"/>
      <c r="I2524" s="167"/>
      <c r="J2524" s="167"/>
      <c r="K2524" s="166"/>
      <c r="L2524" s="166"/>
      <c r="M2524" s="166"/>
      <c r="N2524" s="166"/>
      <c r="O2524" s="166"/>
      <c r="P2524" s="166"/>
      <c r="Q2524" s="166"/>
      <c r="R2524" s="166"/>
      <c r="S2524" s="166"/>
      <c r="T2524" s="166"/>
      <c r="U2524" s="166"/>
      <c r="V2524" s="166"/>
      <c r="W2524" s="166"/>
      <c r="X2524" s="166"/>
      <c r="Y2524" s="166"/>
      <c r="Z2524" s="166"/>
      <c r="AA2524" s="166"/>
      <c r="AB2524" s="166"/>
      <c r="AC2524" s="166"/>
      <c r="AD2524" s="166"/>
      <c r="AE2524" s="166"/>
      <c r="AF2524" s="166"/>
      <c r="AG2524" s="166"/>
      <c r="AH2524" s="166"/>
      <c r="AI2524" s="166"/>
    </row>
    <row r="2525" spans="7:35" x14ac:dyDescent="0.25">
      <c r="G2525" s="165"/>
      <c r="H2525" s="166"/>
      <c r="I2525" s="167"/>
      <c r="J2525" s="167"/>
      <c r="K2525" s="166"/>
      <c r="L2525" s="166"/>
      <c r="M2525" s="166"/>
      <c r="N2525" s="166"/>
      <c r="O2525" s="166"/>
      <c r="P2525" s="166"/>
      <c r="Q2525" s="166"/>
      <c r="R2525" s="166"/>
      <c r="S2525" s="166"/>
      <c r="T2525" s="166"/>
      <c r="U2525" s="166"/>
      <c r="V2525" s="166"/>
      <c r="W2525" s="166"/>
      <c r="X2525" s="166"/>
      <c r="Y2525" s="166"/>
      <c r="Z2525" s="166"/>
      <c r="AA2525" s="166"/>
      <c r="AB2525" s="166"/>
      <c r="AC2525" s="166"/>
      <c r="AD2525" s="166"/>
      <c r="AE2525" s="166"/>
      <c r="AF2525" s="166"/>
      <c r="AG2525" s="166"/>
      <c r="AH2525" s="166"/>
      <c r="AI2525" s="166"/>
    </row>
    <row r="2526" spans="7:35" x14ac:dyDescent="0.25">
      <c r="G2526" s="165"/>
      <c r="H2526" s="166"/>
      <c r="I2526" s="167"/>
      <c r="J2526" s="167"/>
      <c r="K2526" s="166"/>
      <c r="L2526" s="166"/>
      <c r="M2526" s="166"/>
      <c r="N2526" s="166"/>
      <c r="O2526" s="166"/>
      <c r="P2526" s="166"/>
      <c r="Q2526" s="166"/>
      <c r="R2526" s="166"/>
      <c r="S2526" s="166"/>
      <c r="T2526" s="166"/>
      <c r="U2526" s="166"/>
      <c r="V2526" s="166"/>
      <c r="W2526" s="166"/>
      <c r="X2526" s="166"/>
      <c r="Y2526" s="166"/>
      <c r="Z2526" s="166"/>
      <c r="AA2526" s="166"/>
      <c r="AB2526" s="166"/>
      <c r="AC2526" s="166"/>
      <c r="AD2526" s="166"/>
      <c r="AE2526" s="166"/>
      <c r="AF2526" s="166"/>
      <c r="AG2526" s="166"/>
      <c r="AH2526" s="166"/>
      <c r="AI2526" s="166"/>
    </row>
    <row r="2527" spans="7:35" x14ac:dyDescent="0.25">
      <c r="G2527" s="165"/>
      <c r="H2527" s="166"/>
      <c r="I2527" s="167"/>
      <c r="J2527" s="167"/>
      <c r="K2527" s="166"/>
      <c r="L2527" s="166"/>
      <c r="M2527" s="166"/>
      <c r="N2527" s="166"/>
      <c r="O2527" s="166"/>
      <c r="P2527" s="166"/>
      <c r="Q2527" s="166"/>
      <c r="R2527" s="166"/>
      <c r="S2527" s="166"/>
      <c r="T2527" s="166"/>
      <c r="U2527" s="166"/>
      <c r="V2527" s="166"/>
      <c r="W2527" s="166"/>
      <c r="X2527" s="166"/>
      <c r="Y2527" s="166"/>
      <c r="Z2527" s="166"/>
      <c r="AA2527" s="166"/>
      <c r="AB2527" s="166"/>
      <c r="AC2527" s="166"/>
      <c r="AD2527" s="166"/>
      <c r="AE2527" s="166"/>
      <c r="AF2527" s="166"/>
      <c r="AG2527" s="166"/>
      <c r="AH2527" s="166"/>
      <c r="AI2527" s="166"/>
    </row>
    <row r="2528" spans="7:35" x14ac:dyDescent="0.25">
      <c r="G2528" s="165"/>
      <c r="H2528" s="166"/>
      <c r="I2528" s="167"/>
      <c r="J2528" s="167"/>
      <c r="K2528" s="166"/>
      <c r="L2528" s="166"/>
      <c r="M2528" s="166"/>
      <c r="N2528" s="166"/>
      <c r="O2528" s="166"/>
      <c r="P2528" s="166"/>
      <c r="Q2528" s="166"/>
      <c r="R2528" s="166"/>
      <c r="S2528" s="166"/>
      <c r="T2528" s="166"/>
      <c r="U2528" s="166"/>
      <c r="V2528" s="166"/>
      <c r="W2528" s="166"/>
      <c r="X2528" s="166"/>
      <c r="Y2528" s="166"/>
      <c r="Z2528" s="166"/>
      <c r="AA2528" s="166"/>
      <c r="AB2528" s="166"/>
      <c r="AC2528" s="166"/>
      <c r="AD2528" s="166"/>
      <c r="AE2528" s="166"/>
      <c r="AF2528" s="166"/>
      <c r="AG2528" s="166"/>
      <c r="AH2528" s="166"/>
      <c r="AI2528" s="166"/>
    </row>
    <row r="2529" spans="7:35" x14ac:dyDescent="0.25">
      <c r="G2529" s="165"/>
      <c r="H2529" s="166"/>
      <c r="I2529" s="167"/>
      <c r="J2529" s="167"/>
      <c r="K2529" s="166"/>
      <c r="L2529" s="166"/>
      <c r="M2529" s="166"/>
      <c r="N2529" s="166"/>
      <c r="O2529" s="166"/>
      <c r="P2529" s="166"/>
      <c r="Q2529" s="166"/>
      <c r="R2529" s="166"/>
      <c r="S2529" s="166"/>
      <c r="T2529" s="166"/>
      <c r="U2529" s="166"/>
      <c r="V2529" s="166"/>
      <c r="W2529" s="166"/>
      <c r="X2529" s="166"/>
      <c r="Y2529" s="166"/>
      <c r="Z2529" s="166"/>
      <c r="AA2529" s="166"/>
      <c r="AB2529" s="166"/>
      <c r="AC2529" s="166"/>
      <c r="AD2529" s="166"/>
      <c r="AE2529" s="166"/>
      <c r="AF2529" s="166"/>
      <c r="AG2529" s="166"/>
      <c r="AH2529" s="166"/>
      <c r="AI2529" s="166"/>
    </row>
    <row r="2530" spans="7:35" x14ac:dyDescent="0.25">
      <c r="G2530" s="165"/>
      <c r="H2530" s="166"/>
      <c r="I2530" s="167"/>
      <c r="J2530" s="167"/>
      <c r="K2530" s="166"/>
      <c r="L2530" s="166"/>
      <c r="M2530" s="166"/>
      <c r="N2530" s="166"/>
      <c r="O2530" s="166"/>
      <c r="P2530" s="166"/>
      <c r="Q2530" s="166"/>
      <c r="R2530" s="166"/>
      <c r="S2530" s="166"/>
      <c r="T2530" s="166"/>
      <c r="U2530" s="166"/>
      <c r="V2530" s="166"/>
      <c r="W2530" s="166"/>
      <c r="X2530" s="166"/>
      <c r="Y2530" s="166"/>
      <c r="Z2530" s="166"/>
      <c r="AA2530" s="166"/>
      <c r="AB2530" s="166"/>
      <c r="AC2530" s="166"/>
      <c r="AD2530" s="166"/>
      <c r="AE2530" s="166"/>
      <c r="AF2530" s="166"/>
      <c r="AG2530" s="166"/>
      <c r="AH2530" s="166"/>
      <c r="AI2530" s="166"/>
    </row>
    <row r="2531" spans="7:35" x14ac:dyDescent="0.25">
      <c r="G2531" s="165"/>
      <c r="H2531" s="166"/>
      <c r="I2531" s="167"/>
      <c r="J2531" s="167"/>
      <c r="K2531" s="166"/>
      <c r="L2531" s="166"/>
      <c r="M2531" s="166"/>
      <c r="N2531" s="166"/>
      <c r="O2531" s="166"/>
      <c r="P2531" s="166"/>
      <c r="Q2531" s="166"/>
      <c r="R2531" s="166"/>
      <c r="S2531" s="166"/>
      <c r="T2531" s="166"/>
      <c r="U2531" s="166"/>
      <c r="V2531" s="166"/>
      <c r="W2531" s="166"/>
      <c r="X2531" s="166"/>
      <c r="Y2531" s="166"/>
      <c r="Z2531" s="166"/>
      <c r="AA2531" s="166"/>
      <c r="AB2531" s="166"/>
      <c r="AC2531" s="166"/>
      <c r="AD2531" s="166"/>
      <c r="AE2531" s="166"/>
      <c r="AF2531" s="166"/>
      <c r="AG2531" s="166"/>
      <c r="AH2531" s="166"/>
      <c r="AI2531" s="166"/>
    </row>
    <row r="2532" spans="7:35" x14ac:dyDescent="0.25">
      <c r="G2532" s="165"/>
      <c r="H2532" s="166"/>
      <c r="I2532" s="167"/>
      <c r="J2532" s="167"/>
      <c r="K2532" s="166"/>
      <c r="L2532" s="166"/>
      <c r="M2532" s="166"/>
      <c r="N2532" s="166"/>
      <c r="O2532" s="166"/>
      <c r="P2532" s="166"/>
      <c r="Q2532" s="166"/>
      <c r="R2532" s="166"/>
      <c r="S2532" s="166"/>
      <c r="T2532" s="166"/>
      <c r="U2532" s="166"/>
      <c r="V2532" s="166"/>
      <c r="W2532" s="166"/>
      <c r="X2532" s="166"/>
      <c r="Y2532" s="166"/>
      <c r="Z2532" s="166"/>
      <c r="AA2532" s="166"/>
      <c r="AB2532" s="166"/>
      <c r="AC2532" s="166"/>
      <c r="AD2532" s="166"/>
      <c r="AE2532" s="166"/>
      <c r="AF2532" s="166"/>
      <c r="AG2532" s="166"/>
      <c r="AH2532" s="166"/>
      <c r="AI2532" s="166"/>
    </row>
    <row r="2533" spans="7:35" x14ac:dyDescent="0.25">
      <c r="G2533" s="165"/>
      <c r="H2533" s="166"/>
      <c r="I2533" s="167"/>
      <c r="J2533" s="167"/>
      <c r="K2533" s="166"/>
      <c r="L2533" s="166"/>
      <c r="M2533" s="166"/>
      <c r="N2533" s="166"/>
      <c r="O2533" s="166"/>
      <c r="P2533" s="166"/>
      <c r="Q2533" s="166"/>
      <c r="R2533" s="166"/>
      <c r="S2533" s="166"/>
      <c r="T2533" s="166"/>
      <c r="U2533" s="166"/>
      <c r="V2533" s="166"/>
      <c r="W2533" s="166"/>
      <c r="X2533" s="166"/>
      <c r="Y2533" s="166"/>
      <c r="Z2533" s="166"/>
      <c r="AA2533" s="166"/>
      <c r="AB2533" s="166"/>
      <c r="AC2533" s="166"/>
      <c r="AD2533" s="166"/>
      <c r="AE2533" s="166"/>
      <c r="AF2533" s="166"/>
      <c r="AG2533" s="166"/>
      <c r="AH2533" s="166"/>
      <c r="AI2533" s="166"/>
    </row>
    <row r="2534" spans="7:35" x14ac:dyDescent="0.25">
      <c r="G2534" s="165"/>
      <c r="H2534" s="166"/>
      <c r="I2534" s="167"/>
      <c r="J2534" s="167"/>
      <c r="K2534" s="166"/>
      <c r="L2534" s="166"/>
      <c r="M2534" s="166"/>
      <c r="N2534" s="166"/>
      <c r="O2534" s="166"/>
      <c r="P2534" s="166"/>
      <c r="Q2534" s="166"/>
      <c r="R2534" s="166"/>
      <c r="S2534" s="166"/>
      <c r="T2534" s="166"/>
      <c r="U2534" s="166"/>
      <c r="V2534" s="166"/>
      <c r="W2534" s="166"/>
      <c r="X2534" s="166"/>
      <c r="Y2534" s="166"/>
      <c r="Z2534" s="166"/>
      <c r="AA2534" s="166"/>
      <c r="AB2534" s="166"/>
      <c r="AC2534" s="166"/>
      <c r="AD2534" s="166"/>
      <c r="AE2534" s="166"/>
      <c r="AF2534" s="166"/>
      <c r="AG2534" s="166"/>
      <c r="AH2534" s="166"/>
      <c r="AI2534" s="166"/>
    </row>
    <row r="2535" spans="7:35" x14ac:dyDescent="0.25">
      <c r="G2535" s="165"/>
      <c r="H2535" s="166"/>
      <c r="I2535" s="167"/>
      <c r="J2535" s="167"/>
      <c r="K2535" s="166"/>
      <c r="L2535" s="166"/>
      <c r="M2535" s="166"/>
      <c r="N2535" s="166"/>
      <c r="O2535" s="166"/>
      <c r="P2535" s="166"/>
      <c r="Q2535" s="166"/>
      <c r="R2535" s="166"/>
      <c r="S2535" s="166"/>
      <c r="T2535" s="166"/>
      <c r="U2535" s="166"/>
      <c r="V2535" s="166"/>
      <c r="W2535" s="166"/>
      <c r="X2535" s="166"/>
      <c r="Y2535" s="166"/>
      <c r="Z2535" s="166"/>
      <c r="AA2535" s="166"/>
      <c r="AB2535" s="166"/>
      <c r="AC2535" s="166"/>
      <c r="AD2535" s="166"/>
      <c r="AE2535" s="166"/>
      <c r="AF2535" s="166"/>
      <c r="AG2535" s="166"/>
      <c r="AH2535" s="166"/>
      <c r="AI2535" s="166"/>
    </row>
    <row r="2536" spans="7:35" x14ac:dyDescent="0.25">
      <c r="G2536" s="165"/>
      <c r="H2536" s="166"/>
      <c r="I2536" s="167"/>
      <c r="J2536" s="167"/>
      <c r="K2536" s="166"/>
      <c r="L2536" s="166"/>
      <c r="M2536" s="166"/>
      <c r="N2536" s="166"/>
      <c r="O2536" s="166"/>
      <c r="P2536" s="166"/>
      <c r="Q2536" s="166"/>
      <c r="R2536" s="166"/>
      <c r="S2536" s="166"/>
      <c r="T2536" s="166"/>
      <c r="U2536" s="166"/>
      <c r="V2536" s="166"/>
      <c r="W2536" s="166"/>
      <c r="X2536" s="166"/>
      <c r="Y2536" s="166"/>
      <c r="Z2536" s="166"/>
      <c r="AA2536" s="166"/>
      <c r="AB2536" s="166"/>
      <c r="AC2536" s="166"/>
      <c r="AD2536" s="166"/>
      <c r="AE2536" s="166"/>
      <c r="AF2536" s="166"/>
      <c r="AG2536" s="166"/>
      <c r="AH2536" s="166"/>
      <c r="AI2536" s="166"/>
    </row>
    <row r="2537" spans="7:35" x14ac:dyDescent="0.25">
      <c r="G2537" s="165"/>
      <c r="H2537" s="166"/>
      <c r="I2537" s="167"/>
      <c r="J2537" s="167"/>
      <c r="K2537" s="166"/>
      <c r="L2537" s="166"/>
      <c r="M2537" s="166"/>
      <c r="N2537" s="166"/>
      <c r="O2537" s="166"/>
      <c r="P2537" s="166"/>
      <c r="Q2537" s="166"/>
      <c r="R2537" s="166"/>
      <c r="S2537" s="166"/>
      <c r="T2537" s="166"/>
      <c r="U2537" s="166"/>
      <c r="V2537" s="166"/>
      <c r="W2537" s="166"/>
      <c r="X2537" s="166"/>
      <c r="Y2537" s="166"/>
      <c r="Z2537" s="166"/>
      <c r="AA2537" s="166"/>
      <c r="AB2537" s="166"/>
      <c r="AC2537" s="166"/>
      <c r="AD2537" s="166"/>
      <c r="AE2537" s="166"/>
      <c r="AF2537" s="166"/>
      <c r="AG2537" s="166"/>
      <c r="AH2537" s="166"/>
      <c r="AI2537" s="166"/>
    </row>
    <row r="2538" spans="7:35" x14ac:dyDescent="0.25">
      <c r="G2538" s="165"/>
      <c r="H2538" s="166"/>
      <c r="I2538" s="167"/>
      <c r="J2538" s="167"/>
      <c r="K2538" s="166"/>
      <c r="L2538" s="166"/>
      <c r="M2538" s="166"/>
      <c r="N2538" s="166"/>
      <c r="O2538" s="166"/>
      <c r="P2538" s="166"/>
      <c r="Q2538" s="166"/>
      <c r="R2538" s="166"/>
      <c r="S2538" s="166"/>
      <c r="T2538" s="166"/>
      <c r="U2538" s="166"/>
      <c r="V2538" s="166"/>
      <c r="W2538" s="166"/>
      <c r="X2538" s="166"/>
      <c r="Y2538" s="166"/>
      <c r="Z2538" s="166"/>
      <c r="AA2538" s="166"/>
      <c r="AB2538" s="166"/>
      <c r="AC2538" s="166"/>
      <c r="AD2538" s="166"/>
      <c r="AE2538" s="166"/>
      <c r="AF2538" s="166"/>
      <c r="AG2538" s="166"/>
      <c r="AH2538" s="166"/>
      <c r="AI2538" s="166"/>
    </row>
    <row r="2539" spans="7:35" x14ac:dyDescent="0.25">
      <c r="G2539" s="165"/>
      <c r="H2539" s="166"/>
      <c r="I2539" s="167"/>
      <c r="J2539" s="167"/>
      <c r="K2539" s="166"/>
      <c r="L2539" s="166"/>
      <c r="M2539" s="166"/>
      <c r="N2539" s="166"/>
      <c r="O2539" s="166"/>
      <c r="P2539" s="166"/>
      <c r="Q2539" s="166"/>
      <c r="R2539" s="166"/>
      <c r="S2539" s="166"/>
      <c r="T2539" s="166"/>
      <c r="U2539" s="166"/>
      <c r="V2539" s="166"/>
      <c r="W2539" s="166"/>
      <c r="X2539" s="166"/>
      <c r="Y2539" s="166"/>
      <c r="Z2539" s="166"/>
      <c r="AA2539" s="166"/>
      <c r="AB2539" s="166"/>
      <c r="AC2539" s="166"/>
      <c r="AD2539" s="166"/>
      <c r="AE2539" s="166"/>
      <c r="AF2539" s="166"/>
      <c r="AG2539" s="166"/>
      <c r="AH2539" s="166"/>
      <c r="AI2539" s="166"/>
    </row>
    <row r="2540" spans="7:35" x14ac:dyDescent="0.25">
      <c r="G2540" s="165"/>
      <c r="H2540" s="166"/>
      <c r="I2540" s="167"/>
      <c r="J2540" s="167"/>
      <c r="K2540" s="166"/>
      <c r="L2540" s="166"/>
      <c r="M2540" s="166"/>
      <c r="N2540" s="166"/>
      <c r="O2540" s="166"/>
      <c r="P2540" s="166"/>
      <c r="Q2540" s="166"/>
      <c r="R2540" s="166"/>
      <c r="S2540" s="166"/>
      <c r="T2540" s="166"/>
      <c r="U2540" s="166"/>
      <c r="V2540" s="166"/>
      <c r="W2540" s="166"/>
      <c r="X2540" s="166"/>
      <c r="Y2540" s="166"/>
      <c r="Z2540" s="166"/>
      <c r="AA2540" s="166"/>
      <c r="AB2540" s="166"/>
      <c r="AC2540" s="166"/>
      <c r="AD2540" s="166"/>
      <c r="AE2540" s="166"/>
      <c r="AF2540" s="166"/>
      <c r="AG2540" s="166"/>
      <c r="AH2540" s="166"/>
      <c r="AI2540" s="166"/>
    </row>
    <row r="2541" spans="7:35" x14ac:dyDescent="0.25">
      <c r="G2541" s="165"/>
      <c r="H2541" s="166"/>
      <c r="I2541" s="167"/>
      <c r="J2541" s="167"/>
      <c r="K2541" s="166"/>
      <c r="L2541" s="166"/>
      <c r="M2541" s="166"/>
      <c r="N2541" s="166"/>
      <c r="O2541" s="166"/>
      <c r="P2541" s="166"/>
      <c r="Q2541" s="166"/>
      <c r="R2541" s="166"/>
      <c r="S2541" s="166"/>
      <c r="T2541" s="166"/>
      <c r="U2541" s="166"/>
      <c r="V2541" s="166"/>
      <c r="W2541" s="166"/>
      <c r="X2541" s="166"/>
      <c r="Y2541" s="166"/>
      <c r="Z2541" s="166"/>
      <c r="AA2541" s="166"/>
      <c r="AB2541" s="166"/>
      <c r="AC2541" s="166"/>
      <c r="AD2541" s="166"/>
      <c r="AE2541" s="166"/>
      <c r="AF2541" s="166"/>
      <c r="AG2541" s="166"/>
      <c r="AH2541" s="166"/>
      <c r="AI2541" s="166"/>
    </row>
    <row r="2542" spans="7:35" x14ac:dyDescent="0.25">
      <c r="G2542" s="165"/>
      <c r="H2542" s="166"/>
      <c r="I2542" s="167"/>
      <c r="J2542" s="167"/>
      <c r="K2542" s="166"/>
      <c r="L2542" s="166"/>
      <c r="M2542" s="166"/>
      <c r="N2542" s="166"/>
      <c r="O2542" s="166"/>
      <c r="P2542" s="166"/>
      <c r="Q2542" s="166"/>
      <c r="R2542" s="166"/>
      <c r="S2542" s="166"/>
      <c r="T2542" s="166"/>
      <c r="U2542" s="166"/>
      <c r="V2542" s="166"/>
      <c r="W2542" s="166"/>
      <c r="X2542" s="166"/>
      <c r="Y2542" s="166"/>
      <c r="Z2542" s="166"/>
      <c r="AA2542" s="166"/>
      <c r="AB2542" s="166"/>
      <c r="AC2542" s="166"/>
      <c r="AD2542" s="166"/>
      <c r="AE2542" s="166"/>
      <c r="AF2542" s="166"/>
      <c r="AG2542" s="166"/>
      <c r="AH2542" s="166"/>
      <c r="AI2542" s="166"/>
    </row>
    <row r="2543" spans="7:35" x14ac:dyDescent="0.25">
      <c r="G2543" s="165"/>
      <c r="H2543" s="166"/>
      <c r="I2543" s="167"/>
      <c r="J2543" s="167"/>
      <c r="K2543" s="166"/>
      <c r="L2543" s="166"/>
      <c r="M2543" s="166"/>
      <c r="N2543" s="166"/>
      <c r="O2543" s="166"/>
      <c r="P2543" s="166"/>
      <c r="Q2543" s="166"/>
      <c r="R2543" s="166"/>
      <c r="S2543" s="166"/>
      <c r="T2543" s="166"/>
      <c r="U2543" s="166"/>
      <c r="V2543" s="166"/>
      <c r="W2543" s="166"/>
      <c r="X2543" s="166"/>
      <c r="Y2543" s="166"/>
      <c r="Z2543" s="166"/>
      <c r="AA2543" s="166"/>
      <c r="AB2543" s="166"/>
      <c r="AC2543" s="166"/>
      <c r="AD2543" s="166"/>
      <c r="AE2543" s="166"/>
      <c r="AF2543" s="166"/>
      <c r="AG2543" s="166"/>
      <c r="AH2543" s="166"/>
      <c r="AI2543" s="166"/>
    </row>
    <row r="2544" spans="7:35" x14ac:dyDescent="0.25">
      <c r="G2544" s="165"/>
      <c r="H2544" s="166"/>
      <c r="I2544" s="167"/>
      <c r="J2544" s="167"/>
      <c r="K2544" s="166"/>
      <c r="L2544" s="166"/>
      <c r="M2544" s="166"/>
      <c r="N2544" s="166"/>
      <c r="O2544" s="166"/>
      <c r="P2544" s="166"/>
      <c r="Q2544" s="166"/>
      <c r="R2544" s="166"/>
      <c r="S2544" s="166"/>
      <c r="T2544" s="166"/>
      <c r="U2544" s="166"/>
      <c r="V2544" s="166"/>
      <c r="W2544" s="166"/>
      <c r="X2544" s="166"/>
      <c r="Y2544" s="166"/>
      <c r="Z2544" s="166"/>
      <c r="AA2544" s="166"/>
      <c r="AB2544" s="166"/>
      <c r="AC2544" s="166"/>
      <c r="AD2544" s="166"/>
      <c r="AE2544" s="166"/>
      <c r="AF2544" s="166"/>
      <c r="AG2544" s="166"/>
      <c r="AH2544" s="166"/>
      <c r="AI2544" s="166"/>
    </row>
    <row r="2545" spans="7:35" x14ac:dyDescent="0.25">
      <c r="G2545" s="165"/>
      <c r="H2545" s="166"/>
      <c r="I2545" s="167"/>
      <c r="J2545" s="167"/>
      <c r="K2545" s="166"/>
      <c r="L2545" s="166"/>
      <c r="M2545" s="166"/>
      <c r="N2545" s="166"/>
      <c r="O2545" s="166"/>
      <c r="P2545" s="166"/>
      <c r="Q2545" s="166"/>
      <c r="R2545" s="166"/>
      <c r="S2545" s="166"/>
      <c r="T2545" s="166"/>
      <c r="U2545" s="166"/>
      <c r="V2545" s="166"/>
      <c r="W2545" s="166"/>
      <c r="X2545" s="166"/>
      <c r="Y2545" s="166"/>
      <c r="Z2545" s="166"/>
      <c r="AA2545" s="166"/>
      <c r="AB2545" s="166"/>
      <c r="AC2545" s="166"/>
      <c r="AD2545" s="166"/>
      <c r="AE2545" s="166"/>
      <c r="AF2545" s="166"/>
      <c r="AG2545" s="166"/>
      <c r="AH2545" s="166"/>
      <c r="AI2545" s="166"/>
    </row>
    <row r="2546" spans="7:35" x14ac:dyDescent="0.25">
      <c r="G2546" s="165"/>
      <c r="H2546" s="166"/>
      <c r="I2546" s="167"/>
      <c r="J2546" s="167"/>
      <c r="K2546" s="166"/>
      <c r="L2546" s="166"/>
      <c r="M2546" s="166"/>
      <c r="N2546" s="166"/>
      <c r="O2546" s="166"/>
      <c r="P2546" s="166"/>
      <c r="Q2546" s="166"/>
      <c r="R2546" s="166"/>
      <c r="S2546" s="166"/>
      <c r="T2546" s="166"/>
      <c r="U2546" s="166"/>
      <c r="V2546" s="166"/>
      <c r="W2546" s="166"/>
      <c r="X2546" s="166"/>
      <c r="Y2546" s="166"/>
      <c r="Z2546" s="166"/>
      <c r="AA2546" s="166"/>
      <c r="AB2546" s="166"/>
      <c r="AC2546" s="166"/>
      <c r="AD2546" s="166"/>
      <c r="AE2546" s="166"/>
      <c r="AF2546" s="166"/>
      <c r="AG2546" s="166"/>
      <c r="AH2546" s="166"/>
      <c r="AI2546" s="166"/>
    </row>
    <row r="2547" spans="7:35" x14ac:dyDescent="0.25">
      <c r="G2547" s="165"/>
      <c r="H2547" s="166"/>
      <c r="I2547" s="167"/>
      <c r="J2547" s="167"/>
      <c r="K2547" s="166"/>
      <c r="L2547" s="166"/>
      <c r="M2547" s="166"/>
      <c r="N2547" s="166"/>
      <c r="O2547" s="166"/>
      <c r="P2547" s="166"/>
      <c r="Q2547" s="166"/>
      <c r="R2547" s="166"/>
      <c r="S2547" s="166"/>
      <c r="T2547" s="166"/>
      <c r="U2547" s="166"/>
      <c r="V2547" s="166"/>
      <c r="W2547" s="166"/>
      <c r="X2547" s="166"/>
      <c r="Y2547" s="166"/>
      <c r="Z2547" s="166"/>
      <c r="AA2547" s="166"/>
      <c r="AB2547" s="166"/>
      <c r="AC2547" s="166"/>
      <c r="AD2547" s="166"/>
      <c r="AE2547" s="166"/>
      <c r="AF2547" s="166"/>
      <c r="AG2547" s="166"/>
      <c r="AH2547" s="166"/>
      <c r="AI2547" s="166"/>
    </row>
    <row r="2548" spans="7:35" x14ac:dyDescent="0.25">
      <c r="G2548" s="165"/>
      <c r="H2548" s="166"/>
      <c r="I2548" s="167"/>
      <c r="J2548" s="167"/>
      <c r="K2548" s="166"/>
      <c r="L2548" s="166"/>
      <c r="M2548" s="166"/>
      <c r="N2548" s="166"/>
      <c r="O2548" s="166"/>
      <c r="P2548" s="166"/>
      <c r="Q2548" s="166"/>
      <c r="R2548" s="166"/>
      <c r="S2548" s="166"/>
      <c r="T2548" s="166"/>
      <c r="U2548" s="166"/>
      <c r="V2548" s="166"/>
      <c r="W2548" s="166"/>
      <c r="X2548" s="166"/>
      <c r="Y2548" s="166"/>
      <c r="Z2548" s="166"/>
      <c r="AA2548" s="166"/>
      <c r="AB2548" s="166"/>
      <c r="AC2548" s="166"/>
      <c r="AD2548" s="166"/>
      <c r="AE2548" s="166"/>
      <c r="AF2548" s="166"/>
      <c r="AG2548" s="166"/>
      <c r="AH2548" s="166"/>
      <c r="AI2548" s="166"/>
    </row>
    <row r="2549" spans="7:35" x14ac:dyDescent="0.25">
      <c r="G2549" s="165"/>
      <c r="H2549" s="166"/>
      <c r="I2549" s="167"/>
      <c r="J2549" s="167"/>
      <c r="K2549" s="166"/>
      <c r="L2549" s="166"/>
      <c r="M2549" s="166"/>
      <c r="N2549" s="166"/>
      <c r="O2549" s="166"/>
      <c r="P2549" s="166"/>
      <c r="Q2549" s="166"/>
      <c r="R2549" s="166"/>
      <c r="S2549" s="166"/>
      <c r="T2549" s="166"/>
      <c r="U2549" s="166"/>
      <c r="V2549" s="166"/>
      <c r="W2549" s="166"/>
      <c r="X2549" s="166"/>
      <c r="Y2549" s="166"/>
      <c r="Z2549" s="166"/>
      <c r="AA2549" s="166"/>
      <c r="AB2549" s="166"/>
      <c r="AC2549" s="166"/>
      <c r="AD2549" s="166"/>
      <c r="AE2549" s="166"/>
      <c r="AF2549" s="166"/>
      <c r="AG2549" s="166"/>
      <c r="AH2549" s="166"/>
      <c r="AI2549" s="166"/>
    </row>
    <row r="2550" spans="7:35" x14ac:dyDescent="0.25">
      <c r="G2550" s="165"/>
      <c r="H2550" s="166"/>
      <c r="I2550" s="167"/>
      <c r="J2550" s="167"/>
      <c r="K2550" s="166"/>
      <c r="L2550" s="166"/>
      <c r="M2550" s="166"/>
      <c r="N2550" s="166"/>
      <c r="O2550" s="166"/>
      <c r="P2550" s="166"/>
      <c r="Q2550" s="166"/>
      <c r="R2550" s="166"/>
      <c r="S2550" s="166"/>
      <c r="T2550" s="166"/>
      <c r="U2550" s="166"/>
      <c r="V2550" s="166"/>
      <c r="W2550" s="166"/>
      <c r="X2550" s="166"/>
      <c r="Y2550" s="166"/>
      <c r="Z2550" s="166"/>
      <c r="AA2550" s="166"/>
      <c r="AB2550" s="166"/>
      <c r="AC2550" s="166"/>
      <c r="AD2550" s="166"/>
      <c r="AE2550" s="166"/>
      <c r="AF2550" s="166"/>
      <c r="AG2550" s="166"/>
      <c r="AH2550" s="166"/>
      <c r="AI2550" s="166"/>
    </row>
    <row r="2551" spans="7:35" x14ac:dyDescent="0.25">
      <c r="G2551" s="165"/>
      <c r="H2551" s="166"/>
      <c r="I2551" s="167"/>
      <c r="J2551" s="167"/>
      <c r="K2551" s="166"/>
      <c r="L2551" s="166"/>
      <c r="M2551" s="166"/>
      <c r="N2551" s="166"/>
      <c r="O2551" s="166"/>
      <c r="P2551" s="166"/>
      <c r="Q2551" s="166"/>
      <c r="R2551" s="166"/>
      <c r="S2551" s="166"/>
      <c r="T2551" s="166"/>
      <c r="U2551" s="166"/>
      <c r="V2551" s="166"/>
      <c r="W2551" s="166"/>
      <c r="X2551" s="166"/>
      <c r="Y2551" s="166"/>
      <c r="Z2551" s="166"/>
      <c r="AA2551" s="166"/>
      <c r="AB2551" s="166"/>
      <c r="AC2551" s="166"/>
      <c r="AD2551" s="166"/>
      <c r="AE2551" s="166"/>
      <c r="AF2551" s="166"/>
      <c r="AG2551" s="166"/>
      <c r="AH2551" s="166"/>
      <c r="AI2551" s="166"/>
    </row>
    <row r="2552" spans="7:35" x14ac:dyDescent="0.25">
      <c r="G2552" s="165"/>
      <c r="H2552" s="166"/>
      <c r="I2552" s="167"/>
      <c r="J2552" s="167"/>
      <c r="K2552" s="166"/>
      <c r="L2552" s="166"/>
      <c r="M2552" s="166"/>
      <c r="N2552" s="166"/>
      <c r="O2552" s="166"/>
      <c r="P2552" s="166"/>
      <c r="Q2552" s="166"/>
      <c r="R2552" s="166"/>
      <c r="S2552" s="166"/>
      <c r="T2552" s="166"/>
      <c r="U2552" s="166"/>
      <c r="V2552" s="166"/>
      <c r="W2552" s="166"/>
      <c r="X2552" s="166"/>
      <c r="Y2552" s="166"/>
      <c r="Z2552" s="166"/>
      <c r="AA2552" s="166"/>
      <c r="AB2552" s="166"/>
      <c r="AC2552" s="166"/>
      <c r="AD2552" s="166"/>
      <c r="AE2552" s="166"/>
      <c r="AF2552" s="166"/>
      <c r="AG2552" s="166"/>
      <c r="AH2552" s="166"/>
      <c r="AI2552" s="166"/>
    </row>
    <row r="2553" spans="7:35" x14ac:dyDescent="0.25">
      <c r="G2553" s="165"/>
      <c r="H2553" s="166"/>
      <c r="I2553" s="167"/>
      <c r="J2553" s="167"/>
      <c r="K2553" s="166"/>
      <c r="L2553" s="166"/>
      <c r="M2553" s="166"/>
      <c r="N2553" s="166"/>
      <c r="O2553" s="166"/>
      <c r="P2553" s="166"/>
      <c r="Q2553" s="166"/>
      <c r="R2553" s="166"/>
      <c r="S2553" s="166"/>
      <c r="T2553" s="166"/>
      <c r="U2553" s="166"/>
      <c r="V2553" s="166"/>
      <c r="W2553" s="166"/>
      <c r="X2553" s="166"/>
      <c r="Y2553" s="166"/>
      <c r="Z2553" s="166"/>
      <c r="AA2553" s="166"/>
      <c r="AB2553" s="166"/>
      <c r="AC2553" s="166"/>
      <c r="AD2553" s="166"/>
      <c r="AE2553" s="166"/>
      <c r="AF2553" s="166"/>
      <c r="AG2553" s="166"/>
      <c r="AH2553" s="166"/>
      <c r="AI2553" s="166"/>
    </row>
    <row r="2554" spans="7:35" x14ac:dyDescent="0.25">
      <c r="G2554" s="165"/>
      <c r="H2554" s="166"/>
      <c r="I2554" s="167"/>
      <c r="J2554" s="167"/>
      <c r="K2554" s="166"/>
      <c r="L2554" s="166"/>
      <c r="M2554" s="166"/>
      <c r="N2554" s="166"/>
      <c r="O2554" s="166"/>
      <c r="P2554" s="166"/>
      <c r="Q2554" s="166"/>
      <c r="R2554" s="166"/>
      <c r="S2554" s="166"/>
      <c r="T2554" s="166"/>
      <c r="U2554" s="166"/>
      <c r="V2554" s="166"/>
      <c r="W2554" s="166"/>
      <c r="X2554" s="166"/>
      <c r="Y2554" s="166"/>
      <c r="Z2554" s="166"/>
      <c r="AA2554" s="166"/>
      <c r="AB2554" s="166"/>
      <c r="AC2554" s="166"/>
      <c r="AD2554" s="166"/>
      <c r="AE2554" s="166"/>
      <c r="AF2554" s="166"/>
      <c r="AG2554" s="166"/>
      <c r="AH2554" s="166"/>
      <c r="AI2554" s="166"/>
    </row>
    <row r="2555" spans="7:35" x14ac:dyDescent="0.25">
      <c r="G2555" s="165"/>
      <c r="H2555" s="166"/>
      <c r="I2555" s="167"/>
      <c r="J2555" s="167"/>
      <c r="K2555" s="166"/>
      <c r="L2555" s="166"/>
      <c r="M2555" s="166"/>
      <c r="N2555" s="166"/>
      <c r="O2555" s="166"/>
      <c r="P2555" s="166"/>
      <c r="Q2555" s="166"/>
      <c r="R2555" s="166"/>
      <c r="S2555" s="166"/>
      <c r="T2555" s="166"/>
      <c r="U2555" s="166"/>
      <c r="V2555" s="166"/>
      <c r="W2555" s="166"/>
      <c r="X2555" s="166"/>
      <c r="Y2555" s="166"/>
      <c r="Z2555" s="166"/>
      <c r="AA2555" s="166"/>
      <c r="AB2555" s="166"/>
      <c r="AC2555" s="166"/>
      <c r="AD2555" s="166"/>
      <c r="AE2555" s="166"/>
      <c r="AF2555" s="166"/>
      <c r="AG2555" s="166"/>
      <c r="AH2555" s="166"/>
      <c r="AI2555" s="166"/>
    </row>
    <row r="2556" spans="7:35" x14ac:dyDescent="0.25">
      <c r="G2556" s="165"/>
      <c r="H2556" s="166"/>
      <c r="I2556" s="167"/>
      <c r="J2556" s="167"/>
      <c r="K2556" s="166"/>
      <c r="L2556" s="166"/>
      <c r="M2556" s="166"/>
      <c r="N2556" s="166"/>
      <c r="O2556" s="166"/>
      <c r="P2556" s="166"/>
      <c r="Q2556" s="166"/>
      <c r="R2556" s="166"/>
      <c r="S2556" s="166"/>
      <c r="T2556" s="166"/>
      <c r="U2556" s="166"/>
      <c r="V2556" s="166"/>
      <c r="W2556" s="166"/>
      <c r="X2556" s="166"/>
      <c r="Y2556" s="166"/>
      <c r="Z2556" s="166"/>
      <c r="AA2556" s="166"/>
      <c r="AB2556" s="166"/>
      <c r="AC2556" s="166"/>
      <c r="AD2556" s="166"/>
      <c r="AE2556" s="166"/>
      <c r="AF2556" s="166"/>
      <c r="AG2556" s="166"/>
      <c r="AH2556" s="166"/>
      <c r="AI2556" s="166"/>
    </row>
    <row r="2557" spans="7:35" x14ac:dyDescent="0.25">
      <c r="G2557" s="165"/>
      <c r="H2557" s="166"/>
      <c r="I2557" s="167"/>
      <c r="J2557" s="167"/>
      <c r="K2557" s="166"/>
      <c r="L2557" s="166"/>
      <c r="M2557" s="166"/>
      <c r="N2557" s="166"/>
      <c r="O2557" s="166"/>
      <c r="P2557" s="166"/>
      <c r="Q2557" s="166"/>
      <c r="R2557" s="166"/>
      <c r="S2557" s="166"/>
      <c r="T2557" s="166"/>
      <c r="U2557" s="166"/>
      <c r="V2557" s="166"/>
      <c r="W2557" s="166"/>
      <c r="X2557" s="166"/>
      <c r="Y2557" s="166"/>
      <c r="Z2557" s="166"/>
      <c r="AA2557" s="166"/>
      <c r="AB2557" s="166"/>
      <c r="AC2557" s="166"/>
      <c r="AD2557" s="166"/>
      <c r="AE2557" s="166"/>
      <c r="AF2557" s="166"/>
      <c r="AG2557" s="166"/>
      <c r="AH2557" s="166"/>
      <c r="AI2557" s="166"/>
    </row>
    <row r="2558" spans="7:35" x14ac:dyDescent="0.25">
      <c r="G2558" s="165"/>
      <c r="H2558" s="166"/>
      <c r="I2558" s="167"/>
      <c r="J2558" s="167"/>
      <c r="K2558" s="166"/>
      <c r="L2558" s="166"/>
      <c r="M2558" s="166"/>
      <c r="N2558" s="166"/>
      <c r="O2558" s="166"/>
      <c r="P2558" s="166"/>
      <c r="Q2558" s="166"/>
      <c r="R2558" s="166"/>
      <c r="S2558" s="166"/>
      <c r="T2558" s="166"/>
      <c r="U2558" s="166"/>
      <c r="V2558" s="166"/>
      <c r="W2558" s="166"/>
      <c r="X2558" s="166"/>
      <c r="Y2558" s="166"/>
      <c r="Z2558" s="166"/>
      <c r="AA2558" s="166"/>
      <c r="AB2558" s="166"/>
      <c r="AC2558" s="166"/>
      <c r="AD2558" s="166"/>
      <c r="AE2558" s="166"/>
      <c r="AF2558" s="166"/>
      <c r="AG2558" s="166"/>
      <c r="AH2558" s="166"/>
      <c r="AI2558" s="166"/>
    </row>
    <row r="2559" spans="7:35" x14ac:dyDescent="0.25">
      <c r="G2559" s="165"/>
      <c r="H2559" s="166"/>
      <c r="I2559" s="167"/>
      <c r="J2559" s="167"/>
      <c r="K2559" s="166"/>
      <c r="L2559" s="166"/>
      <c r="M2559" s="166"/>
      <c r="N2559" s="166"/>
      <c r="O2559" s="166"/>
      <c r="P2559" s="166"/>
      <c r="Q2559" s="166"/>
      <c r="R2559" s="166"/>
      <c r="S2559" s="166"/>
      <c r="T2559" s="166"/>
      <c r="U2559" s="166"/>
      <c r="V2559" s="166"/>
      <c r="W2559" s="166"/>
      <c r="X2559" s="166"/>
      <c r="Y2559" s="166"/>
      <c r="Z2559" s="166"/>
      <c r="AA2559" s="166"/>
      <c r="AB2559" s="166"/>
      <c r="AC2559" s="166"/>
      <c r="AD2559" s="166"/>
      <c r="AE2559" s="166"/>
      <c r="AF2559" s="166"/>
      <c r="AG2559" s="166"/>
      <c r="AH2559" s="166"/>
      <c r="AI2559" s="166"/>
    </row>
    <row r="2560" spans="7:35" x14ac:dyDescent="0.25">
      <c r="G2560" s="165"/>
      <c r="H2560" s="166"/>
      <c r="I2560" s="167"/>
      <c r="J2560" s="167"/>
      <c r="K2560" s="166"/>
      <c r="L2560" s="166"/>
      <c r="M2560" s="166"/>
      <c r="N2560" s="166"/>
      <c r="O2560" s="166"/>
      <c r="P2560" s="166"/>
      <c r="Q2560" s="166"/>
      <c r="R2560" s="166"/>
      <c r="S2560" s="166"/>
      <c r="T2560" s="166"/>
      <c r="U2560" s="166"/>
      <c r="V2560" s="166"/>
      <c r="W2560" s="166"/>
      <c r="X2560" s="166"/>
      <c r="Y2560" s="166"/>
      <c r="Z2560" s="166"/>
      <c r="AA2560" s="166"/>
      <c r="AB2560" s="166"/>
      <c r="AC2560" s="166"/>
      <c r="AD2560" s="166"/>
      <c r="AE2560" s="166"/>
      <c r="AF2560" s="166"/>
      <c r="AG2560" s="166"/>
      <c r="AH2560" s="166"/>
      <c r="AI2560" s="166"/>
    </row>
    <row r="2561" spans="7:35" x14ac:dyDescent="0.25">
      <c r="G2561" s="165"/>
      <c r="H2561" s="166"/>
      <c r="I2561" s="167"/>
      <c r="J2561" s="167"/>
      <c r="K2561" s="166"/>
      <c r="L2561" s="166"/>
      <c r="M2561" s="166"/>
      <c r="N2561" s="166"/>
      <c r="O2561" s="166"/>
      <c r="P2561" s="166"/>
      <c r="Q2561" s="166"/>
      <c r="R2561" s="166"/>
      <c r="S2561" s="166"/>
      <c r="T2561" s="166"/>
      <c r="U2561" s="166"/>
      <c r="V2561" s="166"/>
      <c r="W2561" s="166"/>
      <c r="X2561" s="166"/>
      <c r="Y2561" s="166"/>
      <c r="Z2561" s="166"/>
      <c r="AA2561" s="166"/>
      <c r="AB2561" s="166"/>
      <c r="AC2561" s="166"/>
      <c r="AD2561" s="166"/>
      <c r="AE2561" s="166"/>
      <c r="AF2561" s="166"/>
      <c r="AG2561" s="166"/>
      <c r="AH2561" s="166"/>
      <c r="AI2561" s="166"/>
    </row>
    <row r="2562" spans="7:35" x14ac:dyDescent="0.25">
      <c r="G2562" s="165"/>
      <c r="H2562" s="166"/>
      <c r="I2562" s="167"/>
      <c r="J2562" s="167"/>
      <c r="K2562" s="166"/>
      <c r="L2562" s="166"/>
      <c r="M2562" s="166"/>
      <c r="N2562" s="166"/>
      <c r="O2562" s="166"/>
      <c r="P2562" s="166"/>
      <c r="Q2562" s="166"/>
      <c r="R2562" s="166"/>
      <c r="S2562" s="166"/>
      <c r="T2562" s="166"/>
      <c r="U2562" s="166"/>
      <c r="V2562" s="166"/>
      <c r="W2562" s="166"/>
      <c r="X2562" s="166"/>
      <c r="Y2562" s="166"/>
      <c r="Z2562" s="166"/>
      <c r="AA2562" s="166"/>
      <c r="AB2562" s="166"/>
      <c r="AC2562" s="166"/>
      <c r="AD2562" s="166"/>
      <c r="AE2562" s="166"/>
      <c r="AF2562" s="166"/>
      <c r="AG2562" s="166"/>
      <c r="AH2562" s="166"/>
      <c r="AI2562" s="166"/>
    </row>
    <row r="2563" spans="7:35" x14ac:dyDescent="0.25">
      <c r="G2563" s="165"/>
      <c r="H2563" s="166"/>
      <c r="I2563" s="167"/>
      <c r="J2563" s="167"/>
      <c r="K2563" s="166"/>
      <c r="L2563" s="166"/>
      <c r="M2563" s="166"/>
      <c r="N2563" s="166"/>
      <c r="O2563" s="166"/>
      <c r="P2563" s="166"/>
      <c r="Q2563" s="166"/>
      <c r="R2563" s="166"/>
      <c r="S2563" s="166"/>
      <c r="T2563" s="166"/>
      <c r="U2563" s="166"/>
      <c r="V2563" s="166"/>
      <c r="W2563" s="166"/>
      <c r="X2563" s="166"/>
      <c r="Y2563" s="166"/>
      <c r="Z2563" s="166"/>
      <c r="AA2563" s="166"/>
      <c r="AB2563" s="166"/>
      <c r="AC2563" s="166"/>
      <c r="AD2563" s="166"/>
      <c r="AE2563" s="166"/>
      <c r="AF2563" s="166"/>
      <c r="AG2563" s="166"/>
      <c r="AH2563" s="166"/>
      <c r="AI2563" s="166"/>
    </row>
    <row r="2564" spans="7:35" x14ac:dyDescent="0.25">
      <c r="G2564" s="165"/>
      <c r="H2564" s="166"/>
      <c r="I2564" s="167"/>
      <c r="J2564" s="167"/>
      <c r="K2564" s="166"/>
      <c r="L2564" s="166"/>
      <c r="M2564" s="166"/>
      <c r="N2564" s="166"/>
      <c r="O2564" s="166"/>
      <c r="P2564" s="166"/>
      <c r="Q2564" s="166"/>
      <c r="R2564" s="166"/>
      <c r="S2564" s="166"/>
      <c r="T2564" s="166"/>
      <c r="U2564" s="166"/>
      <c r="V2564" s="166"/>
      <c r="W2564" s="166"/>
      <c r="X2564" s="166"/>
      <c r="Y2564" s="166"/>
      <c r="Z2564" s="166"/>
      <c r="AA2564" s="166"/>
      <c r="AB2564" s="166"/>
      <c r="AC2564" s="166"/>
      <c r="AD2564" s="166"/>
      <c r="AE2564" s="166"/>
      <c r="AF2564" s="166"/>
      <c r="AG2564" s="166"/>
      <c r="AH2564" s="166"/>
      <c r="AI2564" s="166"/>
    </row>
    <row r="2565" spans="7:35" x14ac:dyDescent="0.25">
      <c r="G2565" s="165"/>
      <c r="H2565" s="166"/>
      <c r="I2565" s="167"/>
      <c r="J2565" s="167"/>
      <c r="K2565" s="166"/>
      <c r="L2565" s="166"/>
      <c r="M2565" s="166"/>
      <c r="N2565" s="166"/>
      <c r="O2565" s="166"/>
      <c r="P2565" s="166"/>
      <c r="Q2565" s="166"/>
      <c r="R2565" s="166"/>
      <c r="S2565" s="166"/>
      <c r="T2565" s="166"/>
      <c r="U2565" s="166"/>
      <c r="V2565" s="166"/>
      <c r="W2565" s="166"/>
      <c r="X2565" s="166"/>
      <c r="Y2565" s="166"/>
      <c r="Z2565" s="166"/>
      <c r="AA2565" s="166"/>
      <c r="AB2565" s="166"/>
      <c r="AC2565" s="166"/>
      <c r="AD2565" s="166"/>
      <c r="AE2565" s="166"/>
      <c r="AF2565" s="166"/>
      <c r="AG2565" s="166"/>
      <c r="AH2565" s="166"/>
      <c r="AI2565" s="166"/>
    </row>
    <row r="2566" spans="7:35" x14ac:dyDescent="0.25">
      <c r="G2566" s="165"/>
      <c r="H2566" s="166"/>
      <c r="I2566" s="167"/>
      <c r="J2566" s="167"/>
      <c r="K2566" s="166"/>
      <c r="L2566" s="166"/>
      <c r="M2566" s="166"/>
      <c r="N2566" s="166"/>
      <c r="O2566" s="166"/>
      <c r="P2566" s="166"/>
      <c r="Q2566" s="166"/>
      <c r="R2566" s="166"/>
      <c r="S2566" s="166"/>
      <c r="T2566" s="166"/>
      <c r="U2566" s="166"/>
      <c r="V2566" s="166"/>
      <c r="W2566" s="166"/>
      <c r="X2566" s="166"/>
      <c r="Y2566" s="166"/>
      <c r="Z2566" s="166"/>
      <c r="AA2566" s="166"/>
      <c r="AB2566" s="166"/>
      <c r="AC2566" s="166"/>
      <c r="AD2566" s="166"/>
      <c r="AE2566" s="166"/>
      <c r="AF2566" s="166"/>
      <c r="AG2566" s="166"/>
      <c r="AH2566" s="166"/>
      <c r="AI2566" s="166"/>
    </row>
    <row r="2567" spans="7:35" x14ac:dyDescent="0.25">
      <c r="G2567" s="165"/>
      <c r="H2567" s="166"/>
      <c r="I2567" s="167"/>
      <c r="J2567" s="167"/>
      <c r="K2567" s="166"/>
      <c r="L2567" s="166"/>
      <c r="M2567" s="166"/>
      <c r="N2567" s="166"/>
      <c r="O2567" s="166"/>
      <c r="P2567" s="166"/>
      <c r="Q2567" s="166"/>
      <c r="R2567" s="166"/>
      <c r="S2567" s="166"/>
      <c r="T2567" s="166"/>
      <c r="U2567" s="166"/>
      <c r="V2567" s="166"/>
      <c r="W2567" s="166"/>
      <c r="X2567" s="166"/>
      <c r="Y2567" s="166"/>
      <c r="Z2567" s="166"/>
      <c r="AA2567" s="166"/>
      <c r="AB2567" s="166"/>
      <c r="AC2567" s="166"/>
      <c r="AD2567" s="166"/>
      <c r="AE2567" s="166"/>
      <c r="AF2567" s="166"/>
      <c r="AG2567" s="166"/>
      <c r="AH2567" s="166"/>
      <c r="AI2567" s="166"/>
    </row>
    <row r="2568" spans="7:35" x14ac:dyDescent="0.25">
      <c r="G2568" s="165"/>
      <c r="H2568" s="166"/>
      <c r="I2568" s="167"/>
      <c r="J2568" s="167"/>
      <c r="K2568" s="166"/>
      <c r="L2568" s="166"/>
      <c r="M2568" s="166"/>
      <c r="N2568" s="166"/>
      <c r="O2568" s="166"/>
      <c r="P2568" s="166"/>
      <c r="Q2568" s="166"/>
      <c r="R2568" s="166"/>
      <c r="S2568" s="166"/>
      <c r="T2568" s="166"/>
      <c r="U2568" s="166"/>
      <c r="V2568" s="166"/>
      <c r="W2568" s="166"/>
      <c r="X2568" s="166"/>
      <c r="Y2568" s="166"/>
      <c r="Z2568" s="166"/>
      <c r="AA2568" s="166"/>
      <c r="AB2568" s="166"/>
      <c r="AC2568" s="166"/>
      <c r="AD2568" s="166"/>
      <c r="AE2568" s="166"/>
      <c r="AF2568" s="166"/>
      <c r="AG2568" s="166"/>
      <c r="AH2568" s="166"/>
      <c r="AI2568" s="166"/>
    </row>
    <row r="2569" spans="7:35" x14ac:dyDescent="0.25">
      <c r="G2569" s="165"/>
      <c r="H2569" s="166"/>
      <c r="I2569" s="167"/>
      <c r="J2569" s="167"/>
      <c r="K2569" s="166"/>
      <c r="L2569" s="166"/>
      <c r="M2569" s="166"/>
      <c r="N2569" s="166"/>
      <c r="O2569" s="166"/>
      <c r="P2569" s="166"/>
      <c r="Q2569" s="166"/>
      <c r="R2569" s="166"/>
      <c r="S2569" s="166"/>
      <c r="T2569" s="166"/>
      <c r="U2569" s="166"/>
      <c r="V2569" s="166"/>
      <c r="W2569" s="166"/>
      <c r="X2569" s="166"/>
      <c r="Y2569" s="166"/>
      <c r="Z2569" s="166"/>
      <c r="AA2569" s="166"/>
      <c r="AB2569" s="166"/>
      <c r="AC2569" s="166"/>
      <c r="AD2569" s="166"/>
      <c r="AE2569" s="166"/>
      <c r="AF2569" s="166"/>
      <c r="AG2569" s="166"/>
      <c r="AH2569" s="166"/>
      <c r="AI2569" s="166"/>
    </row>
    <row r="2570" spans="7:35" x14ac:dyDescent="0.25">
      <c r="G2570" s="165"/>
      <c r="H2570" s="166"/>
      <c r="I2570" s="167"/>
      <c r="J2570" s="167"/>
      <c r="K2570" s="166"/>
      <c r="L2570" s="166"/>
      <c r="M2570" s="166"/>
      <c r="N2570" s="166"/>
      <c r="O2570" s="166"/>
      <c r="P2570" s="166"/>
      <c r="Q2570" s="166"/>
      <c r="R2570" s="166"/>
      <c r="S2570" s="166"/>
      <c r="T2570" s="166"/>
      <c r="U2570" s="166"/>
      <c r="V2570" s="166"/>
      <c r="W2570" s="166"/>
      <c r="X2570" s="166"/>
      <c r="Y2570" s="166"/>
      <c r="Z2570" s="166"/>
      <c r="AA2570" s="166"/>
      <c r="AB2570" s="166"/>
      <c r="AC2570" s="166"/>
      <c r="AD2570" s="166"/>
      <c r="AE2570" s="166"/>
      <c r="AF2570" s="166"/>
      <c r="AG2570" s="166"/>
      <c r="AH2570" s="166"/>
      <c r="AI2570" s="166"/>
    </row>
    <row r="2571" spans="7:35" x14ac:dyDescent="0.25">
      <c r="G2571" s="165"/>
      <c r="H2571" s="166"/>
      <c r="I2571" s="167"/>
      <c r="J2571" s="167"/>
      <c r="K2571" s="166"/>
      <c r="L2571" s="166"/>
      <c r="M2571" s="166"/>
      <c r="N2571" s="166"/>
      <c r="O2571" s="166"/>
      <c r="P2571" s="166"/>
      <c r="Q2571" s="166"/>
      <c r="R2571" s="166"/>
      <c r="S2571" s="166"/>
      <c r="T2571" s="166"/>
      <c r="U2571" s="166"/>
      <c r="V2571" s="166"/>
      <c r="W2571" s="166"/>
      <c r="X2571" s="166"/>
      <c r="Y2571" s="166"/>
      <c r="Z2571" s="166"/>
      <c r="AA2571" s="166"/>
      <c r="AB2571" s="166"/>
      <c r="AC2571" s="166"/>
      <c r="AD2571" s="166"/>
      <c r="AE2571" s="166"/>
      <c r="AF2571" s="166"/>
      <c r="AG2571" s="166"/>
      <c r="AH2571" s="166"/>
      <c r="AI2571" s="166"/>
    </row>
    <row r="2572" spans="7:35" x14ac:dyDescent="0.25">
      <c r="G2572" s="165"/>
      <c r="H2572" s="166"/>
      <c r="I2572" s="167"/>
      <c r="J2572" s="167"/>
      <c r="K2572" s="166"/>
      <c r="L2572" s="166"/>
      <c r="M2572" s="166"/>
      <c r="N2572" s="166"/>
      <c r="O2572" s="166"/>
      <c r="P2572" s="166"/>
      <c r="Q2572" s="166"/>
      <c r="R2572" s="166"/>
      <c r="S2572" s="166"/>
      <c r="T2572" s="166"/>
      <c r="U2572" s="166"/>
      <c r="V2572" s="166"/>
      <c r="W2572" s="166"/>
      <c r="X2572" s="166"/>
      <c r="Y2572" s="166"/>
      <c r="Z2572" s="166"/>
      <c r="AA2572" s="166"/>
      <c r="AB2572" s="166"/>
      <c r="AC2572" s="166"/>
      <c r="AD2572" s="166"/>
      <c r="AE2572" s="166"/>
      <c r="AF2572" s="166"/>
      <c r="AG2572" s="166"/>
      <c r="AH2572" s="166"/>
      <c r="AI2572" s="166"/>
    </row>
    <row r="2573" spans="7:35" x14ac:dyDescent="0.25">
      <c r="G2573" s="165"/>
      <c r="H2573" s="166"/>
      <c r="I2573" s="167"/>
      <c r="J2573" s="167"/>
      <c r="K2573" s="166"/>
      <c r="L2573" s="166"/>
      <c r="M2573" s="166"/>
      <c r="N2573" s="166"/>
      <c r="O2573" s="166"/>
      <c r="P2573" s="166"/>
      <c r="Q2573" s="166"/>
      <c r="R2573" s="166"/>
      <c r="S2573" s="166"/>
      <c r="T2573" s="166"/>
      <c r="U2573" s="166"/>
      <c r="V2573" s="166"/>
      <c r="W2573" s="166"/>
      <c r="X2573" s="166"/>
      <c r="Y2573" s="166"/>
      <c r="Z2573" s="166"/>
      <c r="AA2573" s="166"/>
      <c r="AB2573" s="166"/>
      <c r="AC2573" s="166"/>
      <c r="AD2573" s="166"/>
      <c r="AE2573" s="166"/>
      <c r="AF2573" s="166"/>
      <c r="AG2573" s="166"/>
      <c r="AH2573" s="166"/>
      <c r="AI2573" s="166"/>
    </row>
    <row r="2574" spans="7:35" x14ac:dyDescent="0.25">
      <c r="G2574" s="165"/>
      <c r="H2574" s="166"/>
      <c r="I2574" s="167"/>
      <c r="J2574" s="167"/>
      <c r="K2574" s="166"/>
      <c r="L2574" s="166"/>
      <c r="M2574" s="166"/>
      <c r="N2574" s="166"/>
      <c r="O2574" s="166"/>
      <c r="P2574" s="166"/>
      <c r="Q2574" s="166"/>
      <c r="R2574" s="166"/>
      <c r="S2574" s="166"/>
      <c r="T2574" s="166"/>
      <c r="U2574" s="166"/>
      <c r="V2574" s="166"/>
      <c r="W2574" s="166"/>
      <c r="X2574" s="166"/>
      <c r="Y2574" s="166"/>
      <c r="Z2574" s="166"/>
      <c r="AA2574" s="166"/>
      <c r="AB2574" s="166"/>
      <c r="AC2574" s="166"/>
      <c r="AD2574" s="166"/>
      <c r="AE2574" s="166"/>
      <c r="AF2574" s="166"/>
      <c r="AG2574" s="166"/>
      <c r="AH2574" s="166"/>
      <c r="AI2574" s="166"/>
    </row>
    <row r="2575" spans="7:35" x14ac:dyDescent="0.25">
      <c r="G2575" s="165"/>
      <c r="H2575" s="166"/>
      <c r="I2575" s="167"/>
      <c r="J2575" s="167"/>
      <c r="K2575" s="166"/>
      <c r="L2575" s="166"/>
      <c r="M2575" s="166"/>
      <c r="N2575" s="166"/>
      <c r="O2575" s="166"/>
      <c r="P2575" s="166"/>
      <c r="Q2575" s="166"/>
      <c r="R2575" s="166"/>
      <c r="S2575" s="166"/>
      <c r="T2575" s="166"/>
      <c r="U2575" s="166"/>
      <c r="V2575" s="166"/>
      <c r="W2575" s="166"/>
      <c r="X2575" s="166"/>
      <c r="Y2575" s="166"/>
      <c r="Z2575" s="166"/>
      <c r="AA2575" s="166"/>
      <c r="AB2575" s="166"/>
      <c r="AC2575" s="166"/>
      <c r="AD2575" s="166"/>
      <c r="AE2575" s="166"/>
      <c r="AF2575" s="166"/>
      <c r="AG2575" s="166"/>
      <c r="AH2575" s="166"/>
      <c r="AI2575" s="166"/>
    </row>
    <row r="2576" spans="7:35" x14ac:dyDescent="0.25">
      <c r="G2576" s="165"/>
      <c r="H2576" s="166"/>
      <c r="I2576" s="167"/>
      <c r="J2576" s="167"/>
      <c r="K2576" s="166"/>
      <c r="L2576" s="166"/>
      <c r="M2576" s="166"/>
      <c r="N2576" s="166"/>
      <c r="O2576" s="166"/>
      <c r="P2576" s="166"/>
      <c r="Q2576" s="166"/>
      <c r="R2576" s="166"/>
      <c r="S2576" s="166"/>
      <c r="T2576" s="166"/>
      <c r="U2576" s="166"/>
      <c r="V2576" s="166"/>
      <c r="W2576" s="166"/>
      <c r="X2576" s="166"/>
      <c r="Y2576" s="166"/>
      <c r="Z2576" s="166"/>
      <c r="AA2576" s="166"/>
      <c r="AB2576" s="166"/>
      <c r="AC2576" s="166"/>
      <c r="AD2576" s="166"/>
      <c r="AE2576" s="166"/>
      <c r="AF2576" s="166"/>
      <c r="AG2576" s="166"/>
      <c r="AH2576" s="166"/>
      <c r="AI2576" s="166"/>
    </row>
    <row r="2577" spans="7:35" x14ac:dyDescent="0.25">
      <c r="G2577" s="165"/>
      <c r="H2577" s="166"/>
      <c r="I2577" s="167"/>
      <c r="J2577" s="167"/>
      <c r="K2577" s="166"/>
      <c r="L2577" s="166"/>
      <c r="M2577" s="166"/>
      <c r="N2577" s="166"/>
      <c r="O2577" s="166"/>
      <c r="P2577" s="166"/>
      <c r="Q2577" s="166"/>
      <c r="R2577" s="166"/>
      <c r="S2577" s="166"/>
      <c r="T2577" s="166"/>
      <c r="U2577" s="166"/>
      <c r="V2577" s="166"/>
      <c r="W2577" s="166"/>
      <c r="X2577" s="166"/>
      <c r="Y2577" s="166"/>
      <c r="Z2577" s="166"/>
      <c r="AA2577" s="166"/>
      <c r="AB2577" s="166"/>
      <c r="AC2577" s="166"/>
      <c r="AD2577" s="166"/>
      <c r="AE2577" s="166"/>
      <c r="AF2577" s="166"/>
      <c r="AG2577" s="166"/>
      <c r="AH2577" s="166"/>
      <c r="AI2577" s="166"/>
    </row>
    <row r="2578" spans="7:35" x14ac:dyDescent="0.25">
      <c r="G2578" s="165"/>
      <c r="H2578" s="166"/>
      <c r="I2578" s="167"/>
      <c r="J2578" s="167"/>
      <c r="K2578" s="166"/>
      <c r="L2578" s="166"/>
      <c r="M2578" s="166"/>
      <c r="N2578" s="166"/>
      <c r="O2578" s="166"/>
      <c r="P2578" s="166"/>
      <c r="Q2578" s="166"/>
      <c r="R2578" s="166"/>
      <c r="S2578" s="166"/>
      <c r="T2578" s="166"/>
      <c r="U2578" s="166"/>
      <c r="V2578" s="166"/>
      <c r="W2578" s="166"/>
      <c r="X2578" s="166"/>
      <c r="Y2578" s="166"/>
      <c r="Z2578" s="166"/>
      <c r="AA2578" s="166"/>
      <c r="AB2578" s="166"/>
      <c r="AC2578" s="166"/>
      <c r="AD2578" s="166"/>
      <c r="AE2578" s="166"/>
      <c r="AF2578" s="166"/>
      <c r="AG2578" s="166"/>
      <c r="AH2578" s="166"/>
      <c r="AI2578" s="166"/>
    </row>
    <row r="2579" spans="7:35" x14ac:dyDescent="0.25">
      <c r="G2579" s="165"/>
      <c r="H2579" s="166"/>
      <c r="I2579" s="167"/>
      <c r="J2579" s="167"/>
      <c r="K2579" s="166"/>
      <c r="L2579" s="166"/>
      <c r="M2579" s="166"/>
      <c r="N2579" s="166"/>
      <c r="O2579" s="166"/>
      <c r="P2579" s="166"/>
      <c r="Q2579" s="166"/>
      <c r="R2579" s="166"/>
      <c r="S2579" s="166"/>
      <c r="T2579" s="166"/>
      <c r="U2579" s="166"/>
      <c r="V2579" s="166"/>
      <c r="W2579" s="166"/>
      <c r="X2579" s="166"/>
      <c r="Y2579" s="166"/>
      <c r="Z2579" s="166"/>
      <c r="AA2579" s="166"/>
      <c r="AB2579" s="166"/>
      <c r="AC2579" s="166"/>
      <c r="AD2579" s="166"/>
      <c r="AE2579" s="166"/>
      <c r="AF2579" s="166"/>
      <c r="AG2579" s="166"/>
      <c r="AH2579" s="166"/>
      <c r="AI2579" s="166"/>
    </row>
    <row r="2580" spans="7:35" x14ac:dyDescent="0.25">
      <c r="G2580" s="165"/>
      <c r="H2580" s="166"/>
      <c r="I2580" s="167"/>
      <c r="J2580" s="167"/>
      <c r="K2580" s="166"/>
      <c r="L2580" s="166"/>
      <c r="M2580" s="166"/>
      <c r="N2580" s="166"/>
      <c r="O2580" s="166"/>
      <c r="P2580" s="166"/>
      <c r="Q2580" s="166"/>
      <c r="R2580" s="166"/>
      <c r="S2580" s="166"/>
      <c r="T2580" s="166"/>
      <c r="U2580" s="166"/>
      <c r="V2580" s="166"/>
      <c r="W2580" s="166"/>
      <c r="X2580" s="166"/>
      <c r="Y2580" s="166"/>
      <c r="Z2580" s="166"/>
      <c r="AA2580" s="166"/>
      <c r="AB2580" s="166"/>
      <c r="AC2580" s="166"/>
      <c r="AD2580" s="166"/>
      <c r="AE2580" s="166"/>
      <c r="AF2580" s="166"/>
      <c r="AG2580" s="166"/>
      <c r="AH2580" s="166"/>
      <c r="AI2580" s="166"/>
    </row>
    <row r="2581" spans="7:35" x14ac:dyDescent="0.25">
      <c r="G2581" s="165"/>
      <c r="H2581" s="166"/>
      <c r="I2581" s="167"/>
      <c r="J2581" s="167"/>
      <c r="K2581" s="166"/>
      <c r="L2581" s="166"/>
      <c r="M2581" s="166"/>
      <c r="N2581" s="166"/>
      <c r="O2581" s="166"/>
      <c r="P2581" s="166"/>
      <c r="Q2581" s="166"/>
      <c r="R2581" s="166"/>
      <c r="S2581" s="166"/>
      <c r="T2581" s="166"/>
      <c r="U2581" s="166"/>
      <c r="V2581" s="166"/>
      <c r="W2581" s="166"/>
      <c r="X2581" s="166"/>
      <c r="Y2581" s="166"/>
      <c r="Z2581" s="166"/>
      <c r="AA2581" s="166"/>
      <c r="AB2581" s="166"/>
      <c r="AC2581" s="166"/>
      <c r="AD2581" s="166"/>
      <c r="AE2581" s="166"/>
      <c r="AF2581" s="166"/>
      <c r="AG2581" s="166"/>
      <c r="AH2581" s="166"/>
      <c r="AI2581" s="166"/>
    </row>
    <row r="2582" spans="7:35" x14ac:dyDescent="0.25">
      <c r="G2582" s="165"/>
      <c r="H2582" s="166"/>
      <c r="I2582" s="167"/>
      <c r="J2582" s="167"/>
      <c r="K2582" s="166"/>
      <c r="L2582" s="166"/>
      <c r="M2582" s="166"/>
      <c r="N2582" s="166"/>
      <c r="O2582" s="166"/>
      <c r="P2582" s="166"/>
      <c r="Q2582" s="166"/>
      <c r="R2582" s="166"/>
      <c r="S2582" s="166"/>
      <c r="T2582" s="166"/>
      <c r="U2582" s="166"/>
      <c r="V2582" s="166"/>
      <c r="W2582" s="166"/>
      <c r="X2582" s="166"/>
      <c r="Y2582" s="166"/>
      <c r="Z2582" s="166"/>
      <c r="AA2582" s="166"/>
      <c r="AB2582" s="166"/>
      <c r="AC2582" s="166"/>
      <c r="AD2582" s="166"/>
      <c r="AE2582" s="166"/>
      <c r="AF2582" s="166"/>
      <c r="AG2582" s="166"/>
      <c r="AH2582" s="166"/>
      <c r="AI2582" s="166"/>
    </row>
    <row r="2583" spans="7:35" x14ac:dyDescent="0.25">
      <c r="G2583" s="165"/>
      <c r="H2583" s="166"/>
      <c r="I2583" s="167"/>
      <c r="J2583" s="167"/>
      <c r="K2583" s="166"/>
      <c r="L2583" s="166"/>
      <c r="M2583" s="166"/>
      <c r="N2583" s="166"/>
      <c r="O2583" s="166"/>
      <c r="P2583" s="166"/>
      <c r="Q2583" s="166"/>
      <c r="R2583" s="166"/>
      <c r="S2583" s="166"/>
      <c r="T2583" s="166"/>
      <c r="U2583" s="166"/>
      <c r="V2583" s="166"/>
      <c r="W2583" s="166"/>
      <c r="X2583" s="166"/>
      <c r="Y2583" s="166"/>
      <c r="Z2583" s="166"/>
      <c r="AA2583" s="166"/>
      <c r="AB2583" s="166"/>
      <c r="AC2583" s="166"/>
      <c r="AD2583" s="166"/>
      <c r="AE2583" s="166"/>
      <c r="AF2583" s="166"/>
      <c r="AG2583" s="166"/>
      <c r="AH2583" s="166"/>
      <c r="AI2583" s="166"/>
    </row>
    <row r="2584" spans="7:35" x14ac:dyDescent="0.25">
      <c r="G2584" s="165"/>
      <c r="H2584" s="166"/>
      <c r="I2584" s="167"/>
      <c r="J2584" s="167"/>
      <c r="K2584" s="166"/>
      <c r="L2584" s="166"/>
      <c r="M2584" s="166"/>
      <c r="N2584" s="166"/>
      <c r="O2584" s="166"/>
      <c r="P2584" s="166"/>
      <c r="Q2584" s="166"/>
      <c r="R2584" s="166"/>
      <c r="S2584" s="166"/>
      <c r="T2584" s="166"/>
      <c r="U2584" s="166"/>
      <c r="V2584" s="166"/>
      <c r="W2584" s="166"/>
      <c r="X2584" s="166"/>
      <c r="Y2584" s="166"/>
      <c r="Z2584" s="166"/>
      <c r="AA2584" s="166"/>
      <c r="AB2584" s="166"/>
      <c r="AC2584" s="166"/>
      <c r="AD2584" s="166"/>
      <c r="AE2584" s="166"/>
      <c r="AF2584" s="166"/>
      <c r="AG2584" s="166"/>
      <c r="AH2584" s="166"/>
      <c r="AI2584" s="166"/>
    </row>
    <row r="2585" spans="7:35" x14ac:dyDescent="0.25">
      <c r="G2585" s="165"/>
      <c r="H2585" s="166"/>
      <c r="I2585" s="167"/>
      <c r="J2585" s="167"/>
      <c r="K2585" s="166"/>
      <c r="L2585" s="166"/>
      <c r="M2585" s="166"/>
      <c r="N2585" s="166"/>
      <c r="O2585" s="166"/>
      <c r="P2585" s="166"/>
      <c r="Q2585" s="166"/>
      <c r="R2585" s="166"/>
      <c r="S2585" s="166"/>
      <c r="T2585" s="166"/>
      <c r="U2585" s="166"/>
      <c r="V2585" s="166"/>
      <c r="W2585" s="166"/>
      <c r="X2585" s="166"/>
      <c r="Y2585" s="166"/>
      <c r="Z2585" s="166"/>
      <c r="AA2585" s="166"/>
      <c r="AB2585" s="166"/>
      <c r="AC2585" s="166"/>
      <c r="AD2585" s="166"/>
      <c r="AE2585" s="166"/>
      <c r="AF2585" s="166"/>
      <c r="AG2585" s="166"/>
      <c r="AH2585" s="166"/>
      <c r="AI2585" s="166"/>
    </row>
    <row r="2586" spans="7:35" x14ac:dyDescent="0.25">
      <c r="G2586" s="165"/>
      <c r="H2586" s="166"/>
      <c r="I2586" s="167"/>
      <c r="J2586" s="167"/>
      <c r="K2586" s="166"/>
      <c r="L2586" s="166"/>
      <c r="M2586" s="166"/>
      <c r="N2586" s="166"/>
      <c r="O2586" s="166"/>
      <c r="P2586" s="166"/>
      <c r="Q2586" s="166"/>
      <c r="R2586" s="166"/>
      <c r="S2586" s="166"/>
      <c r="T2586" s="166"/>
      <c r="U2586" s="166"/>
      <c r="V2586" s="166"/>
      <c r="W2586" s="166"/>
      <c r="X2586" s="166"/>
      <c r="Y2586" s="166"/>
      <c r="Z2586" s="166"/>
      <c r="AA2586" s="166"/>
      <c r="AB2586" s="166"/>
      <c r="AC2586" s="166"/>
      <c r="AD2586" s="166"/>
      <c r="AE2586" s="166"/>
      <c r="AF2586" s="166"/>
      <c r="AG2586" s="166"/>
      <c r="AH2586" s="166"/>
      <c r="AI2586" s="166"/>
    </row>
    <row r="2587" spans="7:35" x14ac:dyDescent="0.25">
      <c r="G2587" s="165"/>
      <c r="H2587" s="166"/>
      <c r="I2587" s="167"/>
      <c r="J2587" s="167"/>
      <c r="K2587" s="166"/>
      <c r="L2587" s="166"/>
      <c r="M2587" s="166"/>
      <c r="N2587" s="166"/>
      <c r="O2587" s="166"/>
      <c r="P2587" s="166"/>
      <c r="Q2587" s="166"/>
      <c r="R2587" s="166"/>
      <c r="S2587" s="166"/>
      <c r="T2587" s="166"/>
      <c r="U2587" s="166"/>
      <c r="V2587" s="166"/>
      <c r="W2587" s="166"/>
      <c r="X2587" s="166"/>
      <c r="Y2587" s="166"/>
      <c r="Z2587" s="166"/>
      <c r="AA2587" s="166"/>
      <c r="AB2587" s="166"/>
      <c r="AC2587" s="166"/>
      <c r="AD2587" s="166"/>
      <c r="AE2587" s="166"/>
      <c r="AF2587" s="166"/>
      <c r="AG2587" s="166"/>
      <c r="AH2587" s="166"/>
      <c r="AI2587" s="166"/>
    </row>
    <row r="2588" spans="7:35" x14ac:dyDescent="0.25">
      <c r="G2588" s="165"/>
      <c r="H2588" s="166"/>
      <c r="I2588" s="167"/>
      <c r="J2588" s="167"/>
      <c r="K2588" s="166"/>
      <c r="L2588" s="166"/>
      <c r="M2588" s="166"/>
      <c r="N2588" s="166"/>
      <c r="O2588" s="166"/>
      <c r="P2588" s="166"/>
      <c r="Q2588" s="166"/>
      <c r="R2588" s="166"/>
      <c r="S2588" s="166"/>
      <c r="T2588" s="166"/>
      <c r="U2588" s="166"/>
      <c r="V2588" s="166"/>
      <c r="W2588" s="166"/>
      <c r="X2588" s="166"/>
      <c r="Y2588" s="166"/>
      <c r="Z2588" s="166"/>
      <c r="AA2588" s="166"/>
      <c r="AB2588" s="166"/>
      <c r="AC2588" s="166"/>
      <c r="AD2588" s="166"/>
      <c r="AE2588" s="166"/>
      <c r="AF2588" s="166"/>
      <c r="AG2588" s="166"/>
      <c r="AH2588" s="166"/>
      <c r="AI2588" s="166"/>
    </row>
    <row r="2589" spans="7:35" x14ac:dyDescent="0.25">
      <c r="G2589" s="165"/>
      <c r="H2589" s="166"/>
      <c r="I2589" s="167"/>
      <c r="J2589" s="167"/>
      <c r="K2589" s="166"/>
      <c r="L2589" s="166"/>
      <c r="M2589" s="166"/>
      <c r="N2589" s="166"/>
      <c r="O2589" s="166"/>
      <c r="P2589" s="166"/>
      <c r="Q2589" s="166"/>
      <c r="R2589" s="166"/>
      <c r="S2589" s="166"/>
      <c r="T2589" s="166"/>
      <c r="U2589" s="166"/>
      <c r="V2589" s="166"/>
      <c r="W2589" s="166"/>
      <c r="X2589" s="166"/>
      <c r="Y2589" s="166"/>
      <c r="Z2589" s="166"/>
      <c r="AA2589" s="166"/>
      <c r="AB2589" s="166"/>
      <c r="AC2589" s="166"/>
      <c r="AD2589" s="166"/>
      <c r="AE2589" s="166"/>
      <c r="AF2589" s="166"/>
      <c r="AG2589" s="166"/>
      <c r="AH2589" s="166"/>
      <c r="AI2589" s="166"/>
    </row>
    <row r="2590" spans="7:35" x14ac:dyDescent="0.25">
      <c r="G2590" s="165"/>
      <c r="H2590" s="166"/>
      <c r="I2590" s="167"/>
      <c r="J2590" s="167"/>
      <c r="K2590" s="166"/>
      <c r="L2590" s="166"/>
      <c r="M2590" s="166"/>
      <c r="N2590" s="166"/>
      <c r="O2590" s="166"/>
      <c r="P2590" s="166"/>
      <c r="Q2590" s="166"/>
      <c r="R2590" s="166"/>
      <c r="S2590" s="166"/>
      <c r="T2590" s="166"/>
      <c r="U2590" s="166"/>
      <c r="V2590" s="166"/>
      <c r="W2590" s="166"/>
      <c r="X2590" s="166"/>
      <c r="Y2590" s="166"/>
      <c r="Z2590" s="166"/>
      <c r="AA2590" s="166"/>
      <c r="AB2590" s="166"/>
      <c r="AC2590" s="166"/>
      <c r="AD2590" s="166"/>
      <c r="AE2590" s="166"/>
      <c r="AF2590" s="166"/>
      <c r="AG2590" s="166"/>
      <c r="AH2590" s="166"/>
      <c r="AI2590" s="166"/>
    </row>
    <row r="2591" spans="7:35" x14ac:dyDescent="0.25">
      <c r="G2591" s="165"/>
      <c r="H2591" s="166"/>
      <c r="I2591" s="167"/>
      <c r="J2591" s="167"/>
      <c r="K2591" s="166"/>
      <c r="L2591" s="166"/>
      <c r="M2591" s="166"/>
      <c r="N2591" s="166"/>
      <c r="O2591" s="166"/>
      <c r="P2591" s="166"/>
      <c r="Q2591" s="166"/>
      <c r="R2591" s="166"/>
      <c r="S2591" s="166"/>
      <c r="T2591" s="166"/>
      <c r="U2591" s="166"/>
      <c r="V2591" s="166"/>
      <c r="W2591" s="166"/>
      <c r="X2591" s="166"/>
      <c r="Y2591" s="166"/>
      <c r="Z2591" s="166"/>
      <c r="AA2591" s="166"/>
      <c r="AB2591" s="166"/>
      <c r="AC2591" s="166"/>
      <c r="AD2591" s="166"/>
      <c r="AE2591" s="166"/>
      <c r="AF2591" s="166"/>
      <c r="AG2591" s="166"/>
      <c r="AH2591" s="166"/>
      <c r="AI2591" s="166"/>
    </row>
    <row r="2592" spans="7:35" x14ac:dyDescent="0.25">
      <c r="G2592" s="165"/>
      <c r="H2592" s="166"/>
      <c r="I2592" s="167"/>
      <c r="J2592" s="167"/>
      <c r="K2592" s="166"/>
      <c r="L2592" s="166"/>
      <c r="M2592" s="166"/>
      <c r="N2592" s="166"/>
      <c r="O2592" s="166"/>
      <c r="P2592" s="166"/>
      <c r="Q2592" s="166"/>
      <c r="R2592" s="166"/>
      <c r="S2592" s="166"/>
      <c r="T2592" s="166"/>
      <c r="U2592" s="166"/>
      <c r="V2592" s="166"/>
      <c r="W2592" s="166"/>
      <c r="X2592" s="166"/>
      <c r="Y2592" s="166"/>
      <c r="Z2592" s="166"/>
      <c r="AA2592" s="166"/>
      <c r="AB2592" s="166"/>
      <c r="AC2592" s="166"/>
      <c r="AD2592" s="166"/>
      <c r="AE2592" s="166"/>
      <c r="AF2592" s="166"/>
      <c r="AG2592" s="166"/>
      <c r="AH2592" s="166"/>
      <c r="AI2592" s="166"/>
    </row>
    <row r="2593" spans="7:35" x14ac:dyDescent="0.25">
      <c r="G2593" s="165"/>
      <c r="H2593" s="166"/>
      <c r="I2593" s="167"/>
      <c r="J2593" s="167"/>
      <c r="K2593" s="166"/>
      <c r="L2593" s="166"/>
      <c r="M2593" s="166"/>
      <c r="N2593" s="166"/>
      <c r="O2593" s="166"/>
      <c r="P2593" s="166"/>
      <c r="Q2593" s="166"/>
      <c r="R2593" s="166"/>
      <c r="S2593" s="166"/>
      <c r="T2593" s="166"/>
      <c r="U2593" s="166"/>
      <c r="V2593" s="166"/>
      <c r="W2593" s="166"/>
      <c r="X2593" s="166"/>
      <c r="Y2593" s="166"/>
      <c r="Z2593" s="166"/>
      <c r="AA2593" s="166"/>
      <c r="AB2593" s="166"/>
      <c r="AC2593" s="166"/>
      <c r="AD2593" s="166"/>
      <c r="AE2593" s="166"/>
      <c r="AF2593" s="166"/>
      <c r="AG2593" s="166"/>
      <c r="AH2593" s="166"/>
      <c r="AI2593" s="166"/>
    </row>
    <row r="2594" spans="7:35" x14ac:dyDescent="0.25">
      <c r="G2594" s="165"/>
      <c r="H2594" s="166"/>
      <c r="I2594" s="167"/>
      <c r="J2594" s="167"/>
      <c r="K2594" s="166"/>
      <c r="L2594" s="166"/>
      <c r="M2594" s="166"/>
      <c r="N2594" s="166"/>
      <c r="O2594" s="166"/>
      <c r="P2594" s="166"/>
      <c r="Q2594" s="166"/>
      <c r="R2594" s="166"/>
      <c r="S2594" s="166"/>
      <c r="T2594" s="166"/>
      <c r="U2594" s="166"/>
      <c r="V2594" s="166"/>
      <c r="W2594" s="166"/>
      <c r="X2594" s="166"/>
      <c r="Y2594" s="166"/>
      <c r="Z2594" s="166"/>
      <c r="AA2594" s="166"/>
      <c r="AB2594" s="166"/>
      <c r="AC2594" s="166"/>
      <c r="AD2594" s="166"/>
      <c r="AE2594" s="166"/>
      <c r="AF2594" s="166"/>
      <c r="AG2594" s="166"/>
      <c r="AH2594" s="166"/>
      <c r="AI2594" s="166"/>
    </row>
    <row r="2595" spans="7:35" x14ac:dyDescent="0.25">
      <c r="G2595" s="165"/>
      <c r="H2595" s="166"/>
      <c r="I2595" s="167"/>
      <c r="J2595" s="167"/>
      <c r="K2595" s="166"/>
      <c r="L2595" s="166"/>
      <c r="M2595" s="166"/>
      <c r="N2595" s="166"/>
      <c r="O2595" s="166"/>
      <c r="P2595" s="166"/>
      <c r="Q2595" s="166"/>
      <c r="R2595" s="166"/>
      <c r="S2595" s="166"/>
      <c r="T2595" s="166"/>
      <c r="U2595" s="166"/>
      <c r="V2595" s="166"/>
      <c r="W2595" s="166"/>
      <c r="X2595" s="166"/>
      <c r="Y2595" s="166"/>
      <c r="Z2595" s="166"/>
      <c r="AA2595" s="166"/>
      <c r="AB2595" s="166"/>
      <c r="AC2595" s="166"/>
      <c r="AD2595" s="166"/>
      <c r="AE2595" s="166"/>
      <c r="AF2595" s="166"/>
      <c r="AG2595" s="166"/>
      <c r="AH2595" s="166"/>
      <c r="AI2595" s="166"/>
    </row>
    <row r="2596" spans="7:35" x14ac:dyDescent="0.25">
      <c r="G2596" s="165"/>
      <c r="H2596" s="166"/>
      <c r="I2596" s="167"/>
      <c r="J2596" s="167"/>
      <c r="K2596" s="166"/>
      <c r="L2596" s="166"/>
      <c r="M2596" s="166"/>
      <c r="N2596" s="166"/>
      <c r="O2596" s="166"/>
      <c r="P2596" s="166"/>
      <c r="Q2596" s="166"/>
      <c r="R2596" s="166"/>
      <c r="S2596" s="166"/>
      <c r="T2596" s="166"/>
      <c r="U2596" s="166"/>
      <c r="V2596" s="166"/>
      <c r="W2596" s="166"/>
      <c r="X2596" s="166"/>
      <c r="Y2596" s="166"/>
      <c r="Z2596" s="166"/>
      <c r="AA2596" s="166"/>
      <c r="AB2596" s="166"/>
      <c r="AC2596" s="166"/>
      <c r="AD2596" s="166"/>
      <c r="AE2596" s="166"/>
      <c r="AF2596" s="166"/>
      <c r="AG2596" s="166"/>
      <c r="AH2596" s="166"/>
      <c r="AI2596" s="166"/>
    </row>
    <row r="2597" spans="7:35" x14ac:dyDescent="0.25">
      <c r="G2597" s="165"/>
      <c r="H2597" s="166"/>
      <c r="I2597" s="167"/>
      <c r="J2597" s="167"/>
      <c r="K2597" s="166"/>
      <c r="L2597" s="166"/>
      <c r="M2597" s="166"/>
      <c r="N2597" s="166"/>
      <c r="O2597" s="166"/>
      <c r="P2597" s="166"/>
      <c r="Q2597" s="166"/>
      <c r="R2597" s="166"/>
      <c r="S2597" s="166"/>
      <c r="T2597" s="166"/>
      <c r="U2597" s="166"/>
      <c r="V2597" s="166"/>
      <c r="W2597" s="166"/>
      <c r="X2597" s="166"/>
      <c r="Y2597" s="166"/>
      <c r="Z2597" s="166"/>
      <c r="AA2597" s="166"/>
      <c r="AB2597" s="166"/>
      <c r="AC2597" s="166"/>
      <c r="AD2597" s="166"/>
      <c r="AE2597" s="166"/>
      <c r="AF2597" s="166"/>
      <c r="AG2597" s="166"/>
      <c r="AH2597" s="166"/>
      <c r="AI2597" s="166"/>
    </row>
    <row r="2598" spans="7:35" x14ac:dyDescent="0.25">
      <c r="G2598" s="165"/>
      <c r="H2598" s="166"/>
      <c r="I2598" s="167"/>
      <c r="J2598" s="167"/>
      <c r="K2598" s="166"/>
      <c r="L2598" s="166"/>
      <c r="M2598" s="166"/>
      <c r="N2598" s="166"/>
      <c r="O2598" s="166"/>
      <c r="P2598" s="166"/>
      <c r="Q2598" s="166"/>
      <c r="R2598" s="166"/>
      <c r="S2598" s="166"/>
      <c r="T2598" s="166"/>
      <c r="U2598" s="166"/>
      <c r="V2598" s="166"/>
      <c r="W2598" s="166"/>
      <c r="X2598" s="166"/>
      <c r="Y2598" s="166"/>
      <c r="Z2598" s="166"/>
      <c r="AA2598" s="166"/>
      <c r="AB2598" s="166"/>
      <c r="AC2598" s="166"/>
      <c r="AD2598" s="166"/>
      <c r="AE2598" s="166"/>
      <c r="AF2598" s="166"/>
      <c r="AG2598" s="166"/>
      <c r="AH2598" s="166"/>
      <c r="AI2598" s="166"/>
    </row>
    <row r="2599" spans="7:35" x14ac:dyDescent="0.25">
      <c r="G2599" s="165"/>
      <c r="H2599" s="166"/>
      <c r="I2599" s="167"/>
      <c r="J2599" s="167"/>
      <c r="K2599" s="166"/>
      <c r="L2599" s="166"/>
      <c r="M2599" s="166"/>
      <c r="N2599" s="166"/>
      <c r="O2599" s="166"/>
      <c r="P2599" s="166"/>
      <c r="Q2599" s="166"/>
      <c r="R2599" s="166"/>
      <c r="S2599" s="166"/>
      <c r="T2599" s="166"/>
      <c r="U2599" s="166"/>
      <c r="V2599" s="166"/>
      <c r="W2599" s="166"/>
      <c r="X2599" s="166"/>
      <c r="Y2599" s="166"/>
      <c r="Z2599" s="166"/>
      <c r="AA2599" s="166"/>
      <c r="AB2599" s="166"/>
      <c r="AC2599" s="166"/>
      <c r="AD2599" s="166"/>
      <c r="AE2599" s="166"/>
      <c r="AF2599" s="166"/>
      <c r="AG2599" s="166"/>
      <c r="AH2599" s="166"/>
      <c r="AI2599" s="166"/>
    </row>
    <row r="2600" spans="7:35" x14ac:dyDescent="0.25">
      <c r="G2600" s="165"/>
      <c r="H2600" s="166"/>
      <c r="I2600" s="167"/>
      <c r="J2600" s="167"/>
      <c r="K2600" s="166"/>
      <c r="L2600" s="166"/>
      <c r="M2600" s="166"/>
      <c r="N2600" s="166"/>
      <c r="O2600" s="166"/>
      <c r="P2600" s="166"/>
      <c r="Q2600" s="166"/>
      <c r="R2600" s="166"/>
      <c r="S2600" s="166"/>
      <c r="T2600" s="166"/>
      <c r="U2600" s="166"/>
      <c r="V2600" s="166"/>
      <c r="W2600" s="166"/>
      <c r="X2600" s="166"/>
      <c r="Y2600" s="166"/>
      <c r="Z2600" s="166"/>
      <c r="AA2600" s="166"/>
      <c r="AB2600" s="166"/>
      <c r="AC2600" s="166"/>
      <c r="AD2600" s="166"/>
      <c r="AE2600" s="166"/>
      <c r="AF2600" s="166"/>
      <c r="AG2600" s="166"/>
      <c r="AH2600" s="166"/>
      <c r="AI2600" s="166"/>
    </row>
    <row r="2601" spans="7:35" x14ac:dyDescent="0.25">
      <c r="G2601" s="165"/>
      <c r="H2601" s="166"/>
      <c r="I2601" s="167"/>
      <c r="J2601" s="167"/>
      <c r="K2601" s="166"/>
      <c r="L2601" s="166"/>
      <c r="M2601" s="166"/>
      <c r="N2601" s="166"/>
      <c r="O2601" s="166"/>
      <c r="P2601" s="166"/>
      <c r="Q2601" s="166"/>
      <c r="R2601" s="166"/>
      <c r="S2601" s="166"/>
      <c r="T2601" s="166"/>
      <c r="U2601" s="166"/>
      <c r="V2601" s="166"/>
      <c r="W2601" s="166"/>
      <c r="X2601" s="166"/>
      <c r="Y2601" s="166"/>
      <c r="Z2601" s="166"/>
      <c r="AA2601" s="166"/>
      <c r="AB2601" s="166"/>
      <c r="AC2601" s="166"/>
      <c r="AD2601" s="166"/>
      <c r="AE2601" s="166"/>
      <c r="AF2601" s="166"/>
      <c r="AG2601" s="166"/>
      <c r="AH2601" s="166"/>
      <c r="AI2601" s="166"/>
    </row>
    <row r="2602" spans="7:35" x14ac:dyDescent="0.25">
      <c r="G2602" s="165"/>
      <c r="H2602" s="166"/>
      <c r="I2602" s="167"/>
      <c r="J2602" s="167"/>
      <c r="K2602" s="166"/>
      <c r="L2602" s="166"/>
      <c r="M2602" s="166"/>
      <c r="N2602" s="166"/>
      <c r="O2602" s="166"/>
      <c r="P2602" s="166"/>
      <c r="Q2602" s="166"/>
      <c r="R2602" s="166"/>
      <c r="S2602" s="166"/>
      <c r="T2602" s="166"/>
      <c r="U2602" s="166"/>
      <c r="V2602" s="166"/>
      <c r="W2602" s="166"/>
      <c r="X2602" s="166"/>
      <c r="Y2602" s="166"/>
      <c r="Z2602" s="166"/>
      <c r="AA2602" s="166"/>
      <c r="AB2602" s="166"/>
      <c r="AC2602" s="166"/>
      <c r="AD2602" s="166"/>
      <c r="AE2602" s="166"/>
      <c r="AF2602" s="166"/>
      <c r="AG2602" s="166"/>
      <c r="AH2602" s="166"/>
      <c r="AI2602" s="166"/>
    </row>
    <row r="2603" spans="7:35" x14ac:dyDescent="0.25">
      <c r="G2603" s="165"/>
      <c r="H2603" s="166"/>
      <c r="I2603" s="167"/>
      <c r="J2603" s="167"/>
      <c r="K2603" s="166"/>
      <c r="L2603" s="166"/>
      <c r="M2603" s="166"/>
      <c r="N2603" s="166"/>
      <c r="O2603" s="166"/>
      <c r="P2603" s="166"/>
      <c r="Q2603" s="166"/>
      <c r="R2603" s="166"/>
      <c r="S2603" s="166"/>
      <c r="T2603" s="166"/>
      <c r="U2603" s="166"/>
      <c r="V2603" s="166"/>
      <c r="W2603" s="166"/>
      <c r="X2603" s="166"/>
      <c r="Y2603" s="166"/>
      <c r="Z2603" s="166"/>
      <c r="AA2603" s="166"/>
      <c r="AB2603" s="166"/>
      <c r="AC2603" s="166"/>
      <c r="AD2603" s="166"/>
      <c r="AE2603" s="166"/>
      <c r="AF2603" s="166"/>
      <c r="AG2603" s="166"/>
      <c r="AH2603" s="166"/>
      <c r="AI2603" s="166"/>
    </row>
    <row r="2604" spans="7:35" x14ac:dyDescent="0.25">
      <c r="G2604" s="165"/>
      <c r="H2604" s="166"/>
      <c r="I2604" s="167"/>
      <c r="J2604" s="167"/>
      <c r="K2604" s="166"/>
      <c r="L2604" s="166"/>
      <c r="M2604" s="166"/>
      <c r="N2604" s="166"/>
      <c r="O2604" s="166"/>
      <c r="P2604" s="166"/>
      <c r="Q2604" s="166"/>
      <c r="R2604" s="166"/>
      <c r="S2604" s="166"/>
      <c r="T2604" s="166"/>
      <c r="U2604" s="166"/>
      <c r="V2604" s="166"/>
      <c r="W2604" s="166"/>
      <c r="X2604" s="166"/>
      <c r="Y2604" s="166"/>
      <c r="Z2604" s="166"/>
      <c r="AA2604" s="166"/>
      <c r="AB2604" s="166"/>
      <c r="AC2604" s="166"/>
      <c r="AD2604" s="166"/>
      <c r="AE2604" s="166"/>
      <c r="AF2604" s="166"/>
      <c r="AG2604" s="166"/>
      <c r="AH2604" s="166"/>
      <c r="AI2604" s="166"/>
    </row>
    <row r="2605" spans="7:35" x14ac:dyDescent="0.25">
      <c r="G2605" s="165"/>
      <c r="H2605" s="166"/>
      <c r="I2605" s="167"/>
      <c r="J2605" s="167"/>
      <c r="K2605" s="166"/>
      <c r="L2605" s="166"/>
      <c r="M2605" s="166"/>
      <c r="N2605" s="166"/>
      <c r="O2605" s="166"/>
      <c r="P2605" s="166"/>
      <c r="Q2605" s="166"/>
      <c r="R2605" s="166"/>
      <c r="S2605" s="166"/>
      <c r="T2605" s="166"/>
      <c r="U2605" s="166"/>
      <c r="V2605" s="166"/>
      <c r="W2605" s="166"/>
      <c r="X2605" s="166"/>
      <c r="Y2605" s="166"/>
      <c r="Z2605" s="166"/>
      <c r="AA2605" s="166"/>
      <c r="AB2605" s="166"/>
      <c r="AC2605" s="166"/>
      <c r="AD2605" s="166"/>
      <c r="AE2605" s="166"/>
      <c r="AF2605" s="166"/>
      <c r="AG2605" s="166"/>
      <c r="AH2605" s="166"/>
      <c r="AI2605" s="166"/>
    </row>
    <row r="2606" spans="7:35" x14ac:dyDescent="0.25">
      <c r="G2606" s="165"/>
      <c r="H2606" s="166"/>
      <c r="I2606" s="167"/>
      <c r="J2606" s="167"/>
      <c r="K2606" s="166"/>
      <c r="L2606" s="166"/>
      <c r="M2606" s="166"/>
      <c r="N2606" s="166"/>
      <c r="O2606" s="166"/>
      <c r="P2606" s="166"/>
      <c r="Q2606" s="166"/>
      <c r="R2606" s="166"/>
      <c r="S2606" s="166"/>
      <c r="T2606" s="166"/>
      <c r="U2606" s="166"/>
      <c r="V2606" s="166"/>
      <c r="W2606" s="166"/>
      <c r="X2606" s="166"/>
      <c r="Y2606" s="166"/>
      <c r="Z2606" s="166"/>
      <c r="AA2606" s="166"/>
      <c r="AB2606" s="166"/>
      <c r="AC2606" s="166"/>
      <c r="AD2606" s="166"/>
      <c r="AE2606" s="166"/>
      <c r="AF2606" s="166"/>
      <c r="AG2606" s="166"/>
      <c r="AH2606" s="166"/>
      <c r="AI2606" s="166"/>
    </row>
    <row r="2607" spans="7:35" x14ac:dyDescent="0.25">
      <c r="G2607" s="165"/>
      <c r="H2607" s="166"/>
      <c r="I2607" s="167"/>
      <c r="J2607" s="167"/>
      <c r="K2607" s="166"/>
      <c r="L2607" s="166"/>
      <c r="M2607" s="166"/>
      <c r="N2607" s="166"/>
      <c r="O2607" s="166"/>
      <c r="P2607" s="166"/>
      <c r="Q2607" s="166"/>
      <c r="R2607" s="166"/>
      <c r="S2607" s="166"/>
      <c r="T2607" s="166"/>
      <c r="U2607" s="166"/>
      <c r="V2607" s="166"/>
      <c r="W2607" s="166"/>
      <c r="X2607" s="166"/>
      <c r="Y2607" s="166"/>
      <c r="Z2607" s="166"/>
      <c r="AA2607" s="166"/>
      <c r="AB2607" s="166"/>
      <c r="AC2607" s="166"/>
      <c r="AD2607" s="166"/>
      <c r="AE2607" s="166"/>
      <c r="AF2607" s="166"/>
      <c r="AG2607" s="166"/>
      <c r="AH2607" s="166"/>
      <c r="AI2607" s="166"/>
    </row>
    <row r="2608" spans="7:35" x14ac:dyDescent="0.25">
      <c r="G2608" s="165"/>
      <c r="H2608" s="166"/>
      <c r="I2608" s="167"/>
      <c r="J2608" s="167"/>
      <c r="K2608" s="166"/>
      <c r="L2608" s="166"/>
      <c r="M2608" s="166"/>
      <c r="N2608" s="166"/>
      <c r="O2608" s="166"/>
      <c r="P2608" s="166"/>
      <c r="Q2608" s="166"/>
      <c r="R2608" s="166"/>
      <c r="S2608" s="166"/>
      <c r="T2608" s="166"/>
      <c r="U2608" s="166"/>
      <c r="V2608" s="166"/>
      <c r="W2608" s="166"/>
      <c r="X2608" s="166"/>
      <c r="Y2608" s="166"/>
      <c r="Z2608" s="166"/>
      <c r="AA2608" s="166"/>
      <c r="AB2608" s="166"/>
      <c r="AC2608" s="166"/>
      <c r="AD2608" s="166"/>
      <c r="AE2608" s="166"/>
      <c r="AF2608" s="166"/>
      <c r="AG2608" s="166"/>
      <c r="AH2608" s="166"/>
      <c r="AI2608" s="166"/>
    </row>
    <row r="2609" spans="7:35" x14ac:dyDescent="0.25">
      <c r="G2609" s="165"/>
      <c r="H2609" s="166"/>
      <c r="I2609" s="167"/>
      <c r="J2609" s="167"/>
      <c r="K2609" s="166"/>
      <c r="L2609" s="166"/>
      <c r="M2609" s="166"/>
      <c r="N2609" s="166"/>
      <c r="O2609" s="166"/>
      <c r="P2609" s="166"/>
      <c r="Q2609" s="166"/>
      <c r="R2609" s="166"/>
      <c r="S2609" s="166"/>
      <c r="T2609" s="166"/>
      <c r="U2609" s="166"/>
      <c r="V2609" s="166"/>
      <c r="W2609" s="166"/>
      <c r="X2609" s="166"/>
      <c r="Y2609" s="166"/>
      <c r="Z2609" s="166"/>
      <c r="AA2609" s="166"/>
      <c r="AB2609" s="166"/>
      <c r="AC2609" s="166"/>
      <c r="AD2609" s="166"/>
      <c r="AE2609" s="166"/>
      <c r="AF2609" s="166"/>
      <c r="AG2609" s="166"/>
      <c r="AH2609" s="166"/>
      <c r="AI2609" s="166"/>
    </row>
    <row r="2610" spans="7:35" x14ac:dyDescent="0.25">
      <c r="G2610" s="165"/>
      <c r="H2610" s="166"/>
      <c r="I2610" s="167"/>
      <c r="J2610" s="167"/>
      <c r="K2610" s="166"/>
      <c r="L2610" s="166"/>
      <c r="M2610" s="166"/>
      <c r="N2610" s="166"/>
      <c r="O2610" s="166"/>
      <c r="P2610" s="166"/>
      <c r="Q2610" s="166"/>
      <c r="R2610" s="166"/>
      <c r="S2610" s="166"/>
      <c r="T2610" s="166"/>
      <c r="U2610" s="166"/>
      <c r="V2610" s="166"/>
      <c r="W2610" s="166"/>
      <c r="X2610" s="166"/>
      <c r="Y2610" s="166"/>
      <c r="Z2610" s="166"/>
      <c r="AA2610" s="166"/>
      <c r="AB2610" s="166"/>
      <c r="AC2610" s="166"/>
      <c r="AD2610" s="166"/>
      <c r="AE2610" s="166"/>
      <c r="AF2610" s="166"/>
      <c r="AG2610" s="166"/>
      <c r="AH2610" s="166"/>
      <c r="AI2610" s="166"/>
    </row>
    <row r="2611" spans="7:35" x14ac:dyDescent="0.25">
      <c r="G2611" s="165"/>
      <c r="H2611" s="166"/>
      <c r="I2611" s="167"/>
      <c r="J2611" s="167"/>
      <c r="K2611" s="166"/>
      <c r="L2611" s="166"/>
      <c r="M2611" s="166"/>
      <c r="N2611" s="166"/>
      <c r="O2611" s="166"/>
      <c r="P2611" s="166"/>
      <c r="Q2611" s="166"/>
      <c r="R2611" s="166"/>
      <c r="S2611" s="166"/>
      <c r="T2611" s="166"/>
      <c r="U2611" s="166"/>
      <c r="V2611" s="166"/>
      <c r="W2611" s="166"/>
      <c r="X2611" s="166"/>
      <c r="Y2611" s="166"/>
      <c r="Z2611" s="166"/>
      <c r="AA2611" s="166"/>
      <c r="AB2611" s="166"/>
      <c r="AC2611" s="166"/>
      <c r="AD2611" s="166"/>
      <c r="AE2611" s="166"/>
      <c r="AF2611" s="166"/>
      <c r="AG2611" s="166"/>
      <c r="AH2611" s="166"/>
      <c r="AI2611" s="166"/>
    </row>
    <row r="2612" spans="7:35" x14ac:dyDescent="0.25">
      <c r="G2612" s="165"/>
      <c r="H2612" s="166"/>
      <c r="I2612" s="167"/>
      <c r="J2612" s="167"/>
      <c r="K2612" s="166"/>
      <c r="L2612" s="166"/>
      <c r="M2612" s="166"/>
      <c r="N2612" s="166"/>
      <c r="O2612" s="166"/>
      <c r="P2612" s="166"/>
      <c r="Q2612" s="166"/>
      <c r="R2612" s="166"/>
      <c r="S2612" s="166"/>
      <c r="T2612" s="166"/>
      <c r="U2612" s="166"/>
      <c r="V2612" s="166"/>
      <c r="W2612" s="166"/>
      <c r="X2612" s="166"/>
      <c r="Y2612" s="166"/>
      <c r="Z2612" s="166"/>
      <c r="AA2612" s="166"/>
      <c r="AB2612" s="166"/>
      <c r="AC2612" s="166"/>
      <c r="AD2612" s="166"/>
      <c r="AE2612" s="166"/>
      <c r="AF2612" s="166"/>
      <c r="AG2612" s="166"/>
      <c r="AH2612" s="166"/>
      <c r="AI2612" s="166"/>
    </row>
    <row r="2613" spans="7:35" x14ac:dyDescent="0.25">
      <c r="G2613" s="165"/>
      <c r="H2613" s="166"/>
      <c r="I2613" s="167"/>
      <c r="J2613" s="167"/>
      <c r="K2613" s="166"/>
      <c r="L2613" s="166"/>
      <c r="M2613" s="166"/>
      <c r="N2613" s="166"/>
      <c r="O2613" s="166"/>
      <c r="P2613" s="166"/>
      <c r="Q2613" s="166"/>
      <c r="R2613" s="166"/>
      <c r="S2613" s="166"/>
      <c r="T2613" s="166"/>
      <c r="U2613" s="166"/>
      <c r="V2613" s="166"/>
      <c r="W2613" s="166"/>
      <c r="X2613" s="166"/>
      <c r="Y2613" s="166"/>
      <c r="Z2613" s="166"/>
      <c r="AA2613" s="166"/>
      <c r="AB2613" s="166"/>
      <c r="AC2613" s="166"/>
      <c r="AD2613" s="166"/>
      <c r="AE2613" s="166"/>
      <c r="AF2613" s="166"/>
      <c r="AG2613" s="166"/>
      <c r="AH2613" s="166"/>
      <c r="AI2613" s="166"/>
    </row>
    <row r="2614" spans="7:35" x14ac:dyDescent="0.25">
      <c r="G2614" s="165"/>
      <c r="H2614" s="166"/>
      <c r="I2614" s="167"/>
      <c r="J2614" s="167"/>
      <c r="K2614" s="166"/>
      <c r="L2614" s="166"/>
      <c r="M2614" s="166"/>
      <c r="N2614" s="166"/>
      <c r="O2614" s="166"/>
      <c r="P2614" s="166"/>
      <c r="Q2614" s="166"/>
      <c r="R2614" s="166"/>
      <c r="S2614" s="166"/>
      <c r="T2614" s="166"/>
      <c r="U2614" s="166"/>
      <c r="V2614" s="166"/>
      <c r="W2614" s="166"/>
      <c r="X2614" s="166"/>
      <c r="Y2614" s="166"/>
      <c r="Z2614" s="166"/>
      <c r="AA2614" s="166"/>
      <c r="AB2614" s="166"/>
      <c r="AC2614" s="166"/>
      <c r="AD2614" s="166"/>
      <c r="AE2614" s="166"/>
      <c r="AF2614" s="166"/>
      <c r="AG2614" s="166"/>
      <c r="AH2614" s="166"/>
      <c r="AI2614" s="166"/>
    </row>
    <row r="2615" spans="7:35" x14ac:dyDescent="0.25">
      <c r="G2615" s="165"/>
      <c r="H2615" s="166"/>
      <c r="I2615" s="167"/>
      <c r="J2615" s="167"/>
      <c r="K2615" s="166"/>
      <c r="L2615" s="166"/>
      <c r="M2615" s="166"/>
      <c r="N2615" s="166"/>
      <c r="O2615" s="166"/>
      <c r="P2615" s="166"/>
      <c r="Q2615" s="166"/>
      <c r="R2615" s="166"/>
      <c r="S2615" s="166"/>
      <c r="T2615" s="166"/>
      <c r="U2615" s="166"/>
      <c r="V2615" s="166"/>
      <c r="W2615" s="166"/>
      <c r="X2615" s="166"/>
      <c r="Y2615" s="166"/>
      <c r="Z2615" s="166"/>
      <c r="AA2615" s="166"/>
      <c r="AB2615" s="166"/>
      <c r="AC2615" s="166"/>
      <c r="AD2615" s="166"/>
      <c r="AE2615" s="166"/>
      <c r="AF2615" s="166"/>
      <c r="AG2615" s="166"/>
      <c r="AH2615" s="166"/>
      <c r="AI2615" s="166"/>
    </row>
    <row r="2616" spans="7:35" x14ac:dyDescent="0.25">
      <c r="G2616" s="165"/>
      <c r="H2616" s="166"/>
      <c r="I2616" s="167"/>
      <c r="J2616" s="167"/>
      <c r="K2616" s="166"/>
      <c r="L2616" s="166"/>
      <c r="M2616" s="166"/>
      <c r="N2616" s="166"/>
      <c r="O2616" s="166"/>
      <c r="P2616" s="166"/>
      <c r="Q2616" s="166"/>
      <c r="R2616" s="166"/>
      <c r="S2616" s="166"/>
      <c r="T2616" s="166"/>
      <c r="U2616" s="166"/>
      <c r="V2616" s="166"/>
      <c r="W2616" s="166"/>
      <c r="X2616" s="166"/>
      <c r="Y2616" s="166"/>
      <c r="Z2616" s="166"/>
      <c r="AA2616" s="166"/>
      <c r="AB2616" s="166"/>
      <c r="AC2616" s="166"/>
      <c r="AD2616" s="166"/>
      <c r="AE2616" s="166"/>
      <c r="AF2616" s="166"/>
      <c r="AG2616" s="166"/>
      <c r="AH2616" s="166"/>
      <c r="AI2616" s="166"/>
    </row>
    <row r="2617" spans="7:35" x14ac:dyDescent="0.25">
      <c r="G2617" s="165"/>
      <c r="H2617" s="166"/>
      <c r="I2617" s="167"/>
      <c r="J2617" s="167"/>
      <c r="K2617" s="166"/>
      <c r="L2617" s="166"/>
      <c r="M2617" s="166"/>
      <c r="N2617" s="166"/>
      <c r="O2617" s="166"/>
      <c r="P2617" s="166"/>
      <c r="Q2617" s="166"/>
      <c r="R2617" s="166"/>
      <c r="S2617" s="166"/>
      <c r="T2617" s="166"/>
      <c r="U2617" s="166"/>
      <c r="V2617" s="166"/>
      <c r="W2617" s="166"/>
      <c r="X2617" s="166"/>
      <c r="Y2617" s="166"/>
      <c r="Z2617" s="166"/>
      <c r="AA2617" s="166"/>
      <c r="AB2617" s="166"/>
      <c r="AC2617" s="166"/>
      <c r="AD2617" s="166"/>
      <c r="AE2617" s="166"/>
      <c r="AF2617" s="166"/>
      <c r="AG2617" s="166"/>
      <c r="AH2617" s="166"/>
      <c r="AI2617" s="166"/>
    </row>
    <row r="2618" spans="7:35" x14ac:dyDescent="0.25">
      <c r="G2618" s="165"/>
      <c r="H2618" s="166"/>
      <c r="I2618" s="167"/>
      <c r="J2618" s="167"/>
      <c r="K2618" s="166"/>
      <c r="L2618" s="166"/>
      <c r="M2618" s="166"/>
      <c r="N2618" s="166"/>
      <c r="O2618" s="166"/>
      <c r="P2618" s="166"/>
      <c r="Q2618" s="166"/>
      <c r="R2618" s="166"/>
      <c r="S2618" s="166"/>
      <c r="T2618" s="166"/>
      <c r="U2618" s="166"/>
      <c r="V2618" s="166"/>
      <c r="W2618" s="166"/>
      <c r="X2618" s="166"/>
      <c r="Y2618" s="166"/>
      <c r="Z2618" s="166"/>
      <c r="AA2618" s="166"/>
      <c r="AB2618" s="166"/>
      <c r="AC2618" s="166"/>
      <c r="AD2618" s="166"/>
      <c r="AE2618" s="166"/>
      <c r="AF2618" s="166"/>
      <c r="AG2618" s="166"/>
      <c r="AH2618" s="166"/>
      <c r="AI2618" s="166"/>
    </row>
    <row r="2619" spans="7:35" x14ac:dyDescent="0.25">
      <c r="G2619" s="165"/>
      <c r="H2619" s="166"/>
      <c r="I2619" s="167"/>
      <c r="J2619" s="167"/>
      <c r="K2619" s="166"/>
      <c r="L2619" s="166"/>
      <c r="M2619" s="166"/>
      <c r="N2619" s="166"/>
      <c r="O2619" s="166"/>
      <c r="P2619" s="166"/>
      <c r="Q2619" s="166"/>
      <c r="R2619" s="166"/>
      <c r="S2619" s="166"/>
      <c r="T2619" s="166"/>
      <c r="U2619" s="166"/>
      <c r="V2619" s="166"/>
      <c r="W2619" s="166"/>
      <c r="X2619" s="166"/>
      <c r="Y2619" s="166"/>
      <c r="Z2619" s="166"/>
      <c r="AA2619" s="166"/>
      <c r="AB2619" s="166"/>
      <c r="AC2619" s="166"/>
      <c r="AD2619" s="166"/>
      <c r="AE2619" s="166"/>
      <c r="AF2619" s="166"/>
      <c r="AG2619" s="166"/>
      <c r="AH2619" s="166"/>
      <c r="AI2619" s="166"/>
    </row>
    <row r="2620" spans="7:35" x14ac:dyDescent="0.25">
      <c r="G2620" s="165"/>
      <c r="H2620" s="166"/>
      <c r="I2620" s="167"/>
      <c r="J2620" s="167"/>
      <c r="K2620" s="166"/>
      <c r="L2620" s="166"/>
      <c r="M2620" s="166"/>
      <c r="N2620" s="166"/>
      <c r="O2620" s="166"/>
      <c r="P2620" s="166"/>
      <c r="Q2620" s="166"/>
      <c r="R2620" s="166"/>
      <c r="S2620" s="166"/>
      <c r="T2620" s="166"/>
      <c r="U2620" s="166"/>
      <c r="V2620" s="166"/>
      <c r="W2620" s="166"/>
      <c r="X2620" s="166"/>
      <c r="Y2620" s="166"/>
      <c r="Z2620" s="166"/>
      <c r="AA2620" s="166"/>
      <c r="AB2620" s="166"/>
      <c r="AC2620" s="166"/>
      <c r="AD2620" s="166"/>
      <c r="AE2620" s="166"/>
      <c r="AF2620" s="166"/>
      <c r="AG2620" s="166"/>
      <c r="AH2620" s="166"/>
      <c r="AI2620" s="166"/>
    </row>
    <row r="2621" spans="7:35" x14ac:dyDescent="0.25">
      <c r="G2621" s="165"/>
      <c r="H2621" s="166"/>
      <c r="I2621" s="167"/>
      <c r="J2621" s="167"/>
      <c r="K2621" s="166"/>
      <c r="L2621" s="166"/>
      <c r="M2621" s="166"/>
      <c r="N2621" s="166"/>
      <c r="O2621" s="166"/>
      <c r="P2621" s="166"/>
      <c r="Q2621" s="166"/>
      <c r="R2621" s="166"/>
      <c r="S2621" s="166"/>
      <c r="T2621" s="166"/>
      <c r="U2621" s="166"/>
      <c r="V2621" s="166"/>
      <c r="W2621" s="166"/>
      <c r="X2621" s="166"/>
      <c r="Y2621" s="166"/>
      <c r="Z2621" s="166"/>
      <c r="AA2621" s="166"/>
      <c r="AB2621" s="166"/>
      <c r="AC2621" s="166"/>
      <c r="AD2621" s="166"/>
      <c r="AE2621" s="166"/>
      <c r="AF2621" s="166"/>
      <c r="AG2621" s="166"/>
      <c r="AH2621" s="166"/>
      <c r="AI2621" s="166"/>
    </row>
    <row r="2622" spans="7:35" x14ac:dyDescent="0.25">
      <c r="G2622" s="165"/>
      <c r="H2622" s="166"/>
      <c r="I2622" s="167"/>
      <c r="J2622" s="167"/>
      <c r="K2622" s="166"/>
      <c r="L2622" s="166"/>
      <c r="M2622" s="166"/>
      <c r="N2622" s="166"/>
      <c r="O2622" s="166"/>
      <c r="P2622" s="166"/>
      <c r="Q2622" s="166"/>
      <c r="R2622" s="166"/>
      <c r="S2622" s="166"/>
      <c r="T2622" s="166"/>
      <c r="U2622" s="166"/>
      <c r="V2622" s="166"/>
      <c r="W2622" s="166"/>
      <c r="X2622" s="166"/>
      <c r="Y2622" s="166"/>
      <c r="Z2622" s="166"/>
      <c r="AA2622" s="166"/>
      <c r="AB2622" s="166"/>
      <c r="AC2622" s="166"/>
      <c r="AD2622" s="166"/>
      <c r="AE2622" s="166"/>
      <c r="AF2622" s="166"/>
      <c r="AG2622" s="166"/>
      <c r="AH2622" s="166"/>
      <c r="AI2622" s="166"/>
    </row>
    <row r="2623" spans="7:35" x14ac:dyDescent="0.25">
      <c r="G2623" s="165"/>
      <c r="H2623" s="166"/>
      <c r="I2623" s="167"/>
      <c r="J2623" s="167"/>
      <c r="K2623" s="166"/>
      <c r="L2623" s="166"/>
      <c r="M2623" s="166"/>
      <c r="N2623" s="166"/>
      <c r="O2623" s="166"/>
      <c r="P2623" s="166"/>
      <c r="Q2623" s="166"/>
      <c r="R2623" s="166"/>
      <c r="S2623" s="166"/>
      <c r="T2623" s="166"/>
      <c r="U2623" s="166"/>
      <c r="V2623" s="166"/>
      <c r="W2623" s="166"/>
      <c r="X2623" s="166"/>
      <c r="Y2623" s="166"/>
      <c r="Z2623" s="166"/>
      <c r="AA2623" s="166"/>
      <c r="AB2623" s="166"/>
      <c r="AC2623" s="166"/>
      <c r="AD2623" s="166"/>
      <c r="AE2623" s="166"/>
      <c r="AF2623" s="166"/>
      <c r="AG2623" s="166"/>
      <c r="AH2623" s="166"/>
      <c r="AI2623" s="166"/>
    </row>
    <row r="2624" spans="7:35" x14ac:dyDescent="0.25">
      <c r="G2624" s="165"/>
      <c r="H2624" s="166"/>
      <c r="I2624" s="167"/>
      <c r="J2624" s="167"/>
      <c r="K2624" s="166"/>
      <c r="L2624" s="166"/>
      <c r="M2624" s="166"/>
      <c r="N2624" s="166"/>
      <c r="O2624" s="166"/>
      <c r="P2624" s="166"/>
      <c r="Q2624" s="166"/>
      <c r="R2624" s="166"/>
      <c r="S2624" s="166"/>
      <c r="T2624" s="166"/>
      <c r="U2624" s="166"/>
      <c r="V2624" s="166"/>
      <c r="W2624" s="166"/>
      <c r="X2624" s="166"/>
      <c r="Y2624" s="166"/>
      <c r="Z2624" s="166"/>
      <c r="AA2624" s="166"/>
      <c r="AB2624" s="166"/>
      <c r="AC2624" s="166"/>
      <c r="AD2624" s="166"/>
      <c r="AE2624" s="166"/>
      <c r="AF2624" s="166"/>
      <c r="AG2624" s="166"/>
      <c r="AH2624" s="166"/>
      <c r="AI2624" s="166"/>
    </row>
    <row r="2625" spans="7:35" x14ac:dyDescent="0.25">
      <c r="G2625" s="165"/>
      <c r="H2625" s="166"/>
      <c r="I2625" s="167"/>
      <c r="J2625" s="167"/>
      <c r="K2625" s="166"/>
      <c r="L2625" s="166"/>
      <c r="M2625" s="166"/>
      <c r="N2625" s="166"/>
      <c r="O2625" s="166"/>
      <c r="P2625" s="166"/>
      <c r="Q2625" s="166"/>
      <c r="R2625" s="166"/>
      <c r="S2625" s="166"/>
      <c r="T2625" s="166"/>
      <c r="U2625" s="166"/>
      <c r="V2625" s="166"/>
      <c r="W2625" s="166"/>
      <c r="X2625" s="166"/>
      <c r="Y2625" s="166"/>
      <c r="Z2625" s="166"/>
      <c r="AA2625" s="166"/>
      <c r="AB2625" s="166"/>
      <c r="AC2625" s="166"/>
      <c r="AD2625" s="166"/>
      <c r="AE2625" s="166"/>
      <c r="AF2625" s="166"/>
      <c r="AG2625" s="166"/>
      <c r="AH2625" s="166"/>
      <c r="AI2625" s="166"/>
    </row>
    <row r="2626" spans="7:35" x14ac:dyDescent="0.25">
      <c r="G2626" s="165"/>
      <c r="H2626" s="166"/>
      <c r="I2626" s="167"/>
      <c r="J2626" s="167"/>
      <c r="K2626" s="166"/>
      <c r="L2626" s="166"/>
      <c r="M2626" s="166"/>
      <c r="N2626" s="166"/>
      <c r="O2626" s="166"/>
      <c r="P2626" s="166"/>
      <c r="Q2626" s="166"/>
      <c r="R2626" s="166"/>
      <c r="S2626" s="166"/>
      <c r="T2626" s="166"/>
      <c r="U2626" s="166"/>
      <c r="V2626" s="166"/>
      <c r="W2626" s="166"/>
      <c r="X2626" s="166"/>
      <c r="Y2626" s="166"/>
      <c r="Z2626" s="166"/>
      <c r="AA2626" s="166"/>
      <c r="AB2626" s="166"/>
      <c r="AC2626" s="166"/>
      <c r="AD2626" s="166"/>
      <c r="AE2626" s="166"/>
      <c r="AF2626" s="166"/>
      <c r="AG2626" s="166"/>
      <c r="AH2626" s="166"/>
      <c r="AI2626" s="166"/>
    </row>
    <row r="2627" spans="7:35" x14ac:dyDescent="0.25">
      <c r="G2627" s="165"/>
      <c r="H2627" s="166"/>
      <c r="I2627" s="167"/>
      <c r="J2627" s="167"/>
      <c r="K2627" s="166"/>
      <c r="L2627" s="166"/>
      <c r="M2627" s="166"/>
      <c r="N2627" s="166"/>
      <c r="O2627" s="166"/>
      <c r="P2627" s="166"/>
      <c r="Q2627" s="166"/>
      <c r="R2627" s="166"/>
      <c r="S2627" s="166"/>
      <c r="T2627" s="166"/>
      <c r="U2627" s="166"/>
      <c r="V2627" s="166"/>
      <c r="W2627" s="166"/>
      <c r="X2627" s="166"/>
      <c r="Y2627" s="166"/>
      <c r="Z2627" s="166"/>
      <c r="AA2627" s="166"/>
      <c r="AB2627" s="166"/>
      <c r="AC2627" s="166"/>
      <c r="AD2627" s="166"/>
      <c r="AE2627" s="166"/>
      <c r="AF2627" s="166"/>
      <c r="AG2627" s="166"/>
      <c r="AH2627" s="166"/>
      <c r="AI2627" s="166"/>
    </row>
    <row r="2628" spans="7:35" x14ac:dyDescent="0.25">
      <c r="G2628" s="165"/>
      <c r="H2628" s="166"/>
      <c r="I2628" s="167"/>
      <c r="J2628" s="167"/>
      <c r="K2628" s="166"/>
      <c r="L2628" s="166"/>
      <c r="M2628" s="166"/>
      <c r="N2628" s="166"/>
      <c r="O2628" s="166"/>
      <c r="P2628" s="166"/>
      <c r="Q2628" s="166"/>
      <c r="R2628" s="166"/>
      <c r="S2628" s="166"/>
      <c r="T2628" s="166"/>
      <c r="U2628" s="166"/>
      <c r="V2628" s="166"/>
      <c r="W2628" s="166"/>
      <c r="X2628" s="166"/>
      <c r="Y2628" s="166"/>
      <c r="Z2628" s="166"/>
      <c r="AA2628" s="166"/>
      <c r="AB2628" s="166"/>
      <c r="AC2628" s="166"/>
      <c r="AD2628" s="166"/>
      <c r="AE2628" s="166"/>
      <c r="AF2628" s="166"/>
      <c r="AG2628" s="166"/>
      <c r="AH2628" s="166"/>
      <c r="AI2628" s="166"/>
    </row>
    <row r="2629" spans="7:35" x14ac:dyDescent="0.25">
      <c r="G2629" s="165"/>
      <c r="H2629" s="166"/>
      <c r="I2629" s="167"/>
      <c r="J2629" s="167"/>
      <c r="K2629" s="166"/>
      <c r="L2629" s="166"/>
      <c r="M2629" s="166"/>
      <c r="N2629" s="166"/>
      <c r="O2629" s="166"/>
      <c r="P2629" s="166"/>
      <c r="Q2629" s="166"/>
      <c r="R2629" s="166"/>
      <c r="S2629" s="166"/>
      <c r="T2629" s="166"/>
      <c r="U2629" s="166"/>
      <c r="V2629" s="166"/>
      <c r="W2629" s="166"/>
      <c r="X2629" s="166"/>
      <c r="Y2629" s="166"/>
      <c r="Z2629" s="166"/>
      <c r="AA2629" s="166"/>
      <c r="AB2629" s="166"/>
      <c r="AC2629" s="166"/>
      <c r="AD2629" s="166"/>
      <c r="AE2629" s="166"/>
      <c r="AF2629" s="166"/>
      <c r="AG2629" s="166"/>
      <c r="AH2629" s="166"/>
      <c r="AI2629" s="166"/>
    </row>
    <row r="2630" spans="7:35" x14ac:dyDescent="0.25">
      <c r="G2630" s="165"/>
      <c r="H2630" s="166"/>
      <c r="I2630" s="167"/>
      <c r="J2630" s="167"/>
      <c r="K2630" s="166"/>
      <c r="L2630" s="166"/>
      <c r="M2630" s="166"/>
      <c r="N2630" s="166"/>
      <c r="O2630" s="166"/>
      <c r="P2630" s="166"/>
      <c r="Q2630" s="166"/>
      <c r="R2630" s="166"/>
      <c r="S2630" s="166"/>
      <c r="T2630" s="166"/>
      <c r="U2630" s="166"/>
      <c r="V2630" s="166"/>
      <c r="W2630" s="166"/>
      <c r="X2630" s="166"/>
      <c r="Y2630" s="166"/>
      <c r="Z2630" s="166"/>
      <c r="AA2630" s="166"/>
      <c r="AB2630" s="166"/>
      <c r="AC2630" s="166"/>
      <c r="AD2630" s="166"/>
      <c r="AE2630" s="166"/>
      <c r="AF2630" s="166"/>
      <c r="AG2630" s="166"/>
      <c r="AH2630" s="166"/>
      <c r="AI2630" s="166"/>
    </row>
    <row r="2631" spans="7:35" x14ac:dyDescent="0.25">
      <c r="G2631" s="165"/>
      <c r="H2631" s="166"/>
      <c r="I2631" s="167"/>
      <c r="J2631" s="167"/>
      <c r="K2631" s="166"/>
      <c r="L2631" s="166"/>
      <c r="M2631" s="166"/>
      <c r="N2631" s="166"/>
      <c r="O2631" s="166"/>
      <c r="P2631" s="166"/>
      <c r="Q2631" s="166"/>
      <c r="R2631" s="166"/>
      <c r="S2631" s="166"/>
      <c r="T2631" s="166"/>
      <c r="U2631" s="166"/>
      <c r="V2631" s="166"/>
      <c r="W2631" s="166"/>
      <c r="X2631" s="166"/>
      <c r="Y2631" s="166"/>
      <c r="Z2631" s="166"/>
      <c r="AA2631" s="166"/>
      <c r="AB2631" s="166"/>
      <c r="AC2631" s="166"/>
      <c r="AD2631" s="166"/>
      <c r="AE2631" s="166"/>
      <c r="AF2631" s="166"/>
      <c r="AG2631" s="166"/>
      <c r="AH2631" s="166"/>
      <c r="AI2631" s="166"/>
    </row>
    <row r="2632" spans="7:35" x14ac:dyDescent="0.25">
      <c r="G2632" s="165"/>
      <c r="H2632" s="166"/>
      <c r="I2632" s="167"/>
      <c r="J2632" s="167"/>
      <c r="K2632" s="166"/>
      <c r="L2632" s="166"/>
      <c r="M2632" s="166"/>
      <c r="N2632" s="166"/>
      <c r="O2632" s="166"/>
      <c r="P2632" s="166"/>
      <c r="Q2632" s="166"/>
      <c r="R2632" s="166"/>
      <c r="S2632" s="166"/>
      <c r="T2632" s="166"/>
      <c r="U2632" s="166"/>
      <c r="V2632" s="166"/>
      <c r="W2632" s="166"/>
      <c r="X2632" s="166"/>
      <c r="Y2632" s="166"/>
      <c r="Z2632" s="166"/>
      <c r="AA2632" s="166"/>
      <c r="AB2632" s="166"/>
      <c r="AC2632" s="166"/>
      <c r="AD2632" s="166"/>
      <c r="AE2632" s="166"/>
      <c r="AF2632" s="166"/>
      <c r="AG2632" s="166"/>
      <c r="AH2632" s="166"/>
      <c r="AI2632" s="166"/>
    </row>
    <row r="2633" spans="7:35" x14ac:dyDescent="0.25">
      <c r="G2633" s="165"/>
      <c r="H2633" s="166"/>
      <c r="I2633" s="167"/>
      <c r="J2633" s="167"/>
      <c r="K2633" s="166"/>
      <c r="L2633" s="166"/>
      <c r="M2633" s="166"/>
      <c r="N2633" s="166"/>
      <c r="O2633" s="166"/>
      <c r="P2633" s="166"/>
      <c r="Q2633" s="166"/>
      <c r="R2633" s="166"/>
      <c r="S2633" s="166"/>
      <c r="T2633" s="166"/>
      <c r="U2633" s="166"/>
      <c r="V2633" s="166"/>
      <c r="W2633" s="166"/>
      <c r="X2633" s="166"/>
      <c r="Y2633" s="166"/>
      <c r="Z2633" s="166"/>
      <c r="AA2633" s="166"/>
      <c r="AB2633" s="166"/>
      <c r="AC2633" s="166"/>
      <c r="AD2633" s="166"/>
      <c r="AE2633" s="166"/>
      <c r="AF2633" s="166"/>
      <c r="AG2633" s="166"/>
      <c r="AH2633" s="166"/>
      <c r="AI2633" s="166"/>
    </row>
    <row r="2634" spans="7:35" x14ac:dyDescent="0.25">
      <c r="G2634" s="165"/>
      <c r="H2634" s="166"/>
      <c r="I2634" s="167"/>
      <c r="J2634" s="167"/>
      <c r="K2634" s="166"/>
      <c r="L2634" s="166"/>
      <c r="M2634" s="166"/>
      <c r="N2634" s="166"/>
      <c r="O2634" s="166"/>
      <c r="P2634" s="166"/>
      <c r="Q2634" s="166"/>
      <c r="R2634" s="166"/>
      <c r="S2634" s="166"/>
      <c r="T2634" s="166"/>
      <c r="U2634" s="166"/>
      <c r="V2634" s="166"/>
      <c r="W2634" s="166"/>
      <c r="X2634" s="166"/>
      <c r="Y2634" s="166"/>
      <c r="Z2634" s="166"/>
      <c r="AA2634" s="166"/>
      <c r="AB2634" s="166"/>
      <c r="AC2634" s="166"/>
      <c r="AD2634" s="166"/>
      <c r="AE2634" s="166"/>
      <c r="AF2634" s="166"/>
      <c r="AG2634" s="166"/>
      <c r="AH2634" s="166"/>
      <c r="AI2634" s="166"/>
    </row>
    <row r="2635" spans="7:35" x14ac:dyDescent="0.25">
      <c r="G2635" s="165"/>
      <c r="H2635" s="166"/>
      <c r="I2635" s="167"/>
      <c r="J2635" s="167"/>
      <c r="K2635" s="166"/>
      <c r="L2635" s="166"/>
      <c r="M2635" s="166"/>
      <c r="N2635" s="166"/>
      <c r="O2635" s="166"/>
      <c r="P2635" s="166"/>
      <c r="Q2635" s="166"/>
      <c r="R2635" s="166"/>
      <c r="S2635" s="166"/>
      <c r="T2635" s="166"/>
      <c r="U2635" s="166"/>
      <c r="V2635" s="166"/>
      <c r="W2635" s="166"/>
      <c r="X2635" s="166"/>
      <c r="Y2635" s="166"/>
      <c r="Z2635" s="166"/>
      <c r="AA2635" s="166"/>
      <c r="AB2635" s="166"/>
      <c r="AC2635" s="166"/>
      <c r="AD2635" s="166"/>
      <c r="AE2635" s="166"/>
      <c r="AF2635" s="166"/>
      <c r="AG2635" s="166"/>
      <c r="AH2635" s="166"/>
      <c r="AI2635" s="166"/>
    </row>
    <row r="2636" spans="7:35" x14ac:dyDescent="0.25">
      <c r="G2636" s="165"/>
      <c r="H2636" s="166"/>
      <c r="I2636" s="167"/>
      <c r="J2636" s="167"/>
      <c r="K2636" s="166"/>
      <c r="L2636" s="166"/>
      <c r="M2636" s="166"/>
      <c r="N2636" s="166"/>
      <c r="O2636" s="166"/>
      <c r="P2636" s="166"/>
      <c r="Q2636" s="166"/>
      <c r="R2636" s="166"/>
      <c r="S2636" s="166"/>
      <c r="T2636" s="166"/>
      <c r="U2636" s="166"/>
      <c r="V2636" s="166"/>
      <c r="W2636" s="166"/>
      <c r="X2636" s="166"/>
      <c r="Y2636" s="166"/>
      <c r="Z2636" s="166"/>
      <c r="AA2636" s="166"/>
      <c r="AB2636" s="166"/>
      <c r="AC2636" s="166"/>
      <c r="AD2636" s="166"/>
      <c r="AE2636" s="166"/>
      <c r="AF2636" s="166"/>
      <c r="AG2636" s="166"/>
      <c r="AH2636" s="166"/>
      <c r="AI2636" s="166"/>
    </row>
    <row r="2637" spans="7:35" x14ac:dyDescent="0.25">
      <c r="G2637" s="165"/>
      <c r="H2637" s="166"/>
      <c r="I2637" s="167"/>
      <c r="J2637" s="167"/>
      <c r="K2637" s="166"/>
      <c r="L2637" s="166"/>
      <c r="M2637" s="166"/>
      <c r="N2637" s="166"/>
      <c r="O2637" s="166"/>
      <c r="P2637" s="166"/>
      <c r="Q2637" s="166"/>
      <c r="R2637" s="166"/>
      <c r="S2637" s="166"/>
      <c r="T2637" s="166"/>
      <c r="U2637" s="166"/>
      <c r="V2637" s="166"/>
      <c r="W2637" s="166"/>
      <c r="X2637" s="166"/>
      <c r="Y2637" s="166"/>
      <c r="Z2637" s="166"/>
      <c r="AA2637" s="166"/>
      <c r="AB2637" s="166"/>
      <c r="AC2637" s="166"/>
      <c r="AD2637" s="166"/>
      <c r="AE2637" s="166"/>
      <c r="AF2637" s="166"/>
      <c r="AG2637" s="166"/>
      <c r="AH2637" s="166"/>
      <c r="AI2637" s="166"/>
    </row>
    <row r="2638" spans="7:35" x14ac:dyDescent="0.25">
      <c r="G2638" s="165"/>
      <c r="H2638" s="166"/>
      <c r="I2638" s="167"/>
      <c r="J2638" s="167"/>
      <c r="K2638" s="166"/>
      <c r="L2638" s="166"/>
      <c r="M2638" s="166"/>
      <c r="N2638" s="166"/>
      <c r="O2638" s="166"/>
      <c r="P2638" s="166"/>
      <c r="Q2638" s="166"/>
      <c r="R2638" s="166"/>
      <c r="S2638" s="166"/>
      <c r="T2638" s="166"/>
      <c r="U2638" s="166"/>
      <c r="V2638" s="166"/>
      <c r="W2638" s="166"/>
      <c r="X2638" s="166"/>
      <c r="Y2638" s="166"/>
      <c r="Z2638" s="166"/>
      <c r="AA2638" s="166"/>
      <c r="AB2638" s="166"/>
      <c r="AC2638" s="166"/>
      <c r="AD2638" s="166"/>
      <c r="AE2638" s="166"/>
      <c r="AF2638" s="166"/>
      <c r="AG2638" s="166"/>
      <c r="AH2638" s="166"/>
      <c r="AI2638" s="166"/>
    </row>
    <row r="2639" spans="7:35" x14ac:dyDescent="0.25">
      <c r="G2639" s="165"/>
      <c r="H2639" s="166"/>
      <c r="I2639" s="167"/>
      <c r="J2639" s="167"/>
      <c r="K2639" s="166"/>
      <c r="L2639" s="166"/>
      <c r="M2639" s="166"/>
      <c r="N2639" s="166"/>
      <c r="O2639" s="166"/>
      <c r="P2639" s="166"/>
      <c r="Q2639" s="166"/>
      <c r="R2639" s="166"/>
      <c r="S2639" s="166"/>
      <c r="T2639" s="166"/>
      <c r="U2639" s="166"/>
      <c r="V2639" s="166"/>
      <c r="W2639" s="166"/>
      <c r="X2639" s="166"/>
      <c r="Y2639" s="166"/>
      <c r="Z2639" s="166"/>
      <c r="AA2639" s="166"/>
      <c r="AB2639" s="166"/>
      <c r="AC2639" s="166"/>
      <c r="AD2639" s="166"/>
      <c r="AE2639" s="166"/>
      <c r="AF2639" s="166"/>
      <c r="AG2639" s="166"/>
      <c r="AH2639" s="166"/>
      <c r="AI2639" s="166"/>
    </row>
    <row r="2640" spans="7:35" x14ac:dyDescent="0.25">
      <c r="G2640" s="165"/>
      <c r="H2640" s="166"/>
      <c r="I2640" s="167"/>
      <c r="J2640" s="167"/>
      <c r="K2640" s="166"/>
      <c r="L2640" s="166"/>
      <c r="M2640" s="166"/>
      <c r="N2640" s="166"/>
      <c r="O2640" s="166"/>
      <c r="P2640" s="166"/>
      <c r="Q2640" s="166"/>
      <c r="R2640" s="166"/>
      <c r="S2640" s="166"/>
      <c r="T2640" s="166"/>
      <c r="U2640" s="166"/>
      <c r="V2640" s="166"/>
      <c r="W2640" s="166"/>
      <c r="X2640" s="166"/>
      <c r="Y2640" s="166"/>
      <c r="Z2640" s="166"/>
      <c r="AA2640" s="166"/>
      <c r="AB2640" s="166"/>
      <c r="AC2640" s="166"/>
      <c r="AD2640" s="166"/>
      <c r="AE2640" s="166"/>
      <c r="AF2640" s="166"/>
      <c r="AG2640" s="166"/>
      <c r="AH2640" s="166"/>
      <c r="AI2640" s="166"/>
    </row>
    <row r="2641" spans="7:35" x14ac:dyDescent="0.25">
      <c r="G2641" s="165"/>
      <c r="H2641" s="166"/>
      <c r="I2641" s="167"/>
      <c r="J2641" s="167"/>
      <c r="K2641" s="166"/>
      <c r="L2641" s="166"/>
      <c r="M2641" s="166"/>
      <c r="N2641" s="166"/>
      <c r="O2641" s="166"/>
      <c r="P2641" s="166"/>
      <c r="Q2641" s="166"/>
      <c r="R2641" s="166"/>
      <c r="S2641" s="166"/>
      <c r="T2641" s="166"/>
      <c r="U2641" s="166"/>
      <c r="V2641" s="166"/>
      <c r="W2641" s="166"/>
      <c r="X2641" s="166"/>
      <c r="Y2641" s="166"/>
      <c r="Z2641" s="166"/>
      <c r="AA2641" s="166"/>
      <c r="AB2641" s="166"/>
      <c r="AC2641" s="166"/>
      <c r="AD2641" s="166"/>
      <c r="AE2641" s="166"/>
      <c r="AF2641" s="166"/>
      <c r="AG2641" s="166"/>
      <c r="AH2641" s="166"/>
      <c r="AI2641" s="166"/>
    </row>
    <row r="2642" spans="7:35" x14ac:dyDescent="0.25">
      <c r="G2642" s="165"/>
      <c r="H2642" s="166"/>
      <c r="I2642" s="167"/>
      <c r="J2642" s="167"/>
      <c r="K2642" s="166"/>
      <c r="L2642" s="166"/>
      <c r="M2642" s="166"/>
      <c r="N2642" s="166"/>
      <c r="O2642" s="166"/>
      <c r="P2642" s="166"/>
      <c r="Q2642" s="166"/>
      <c r="R2642" s="166"/>
      <c r="S2642" s="166"/>
      <c r="T2642" s="166"/>
      <c r="U2642" s="166"/>
      <c r="V2642" s="166"/>
      <c r="W2642" s="166"/>
      <c r="X2642" s="166"/>
      <c r="Y2642" s="166"/>
      <c r="Z2642" s="166"/>
      <c r="AA2642" s="166"/>
      <c r="AB2642" s="166"/>
      <c r="AC2642" s="166"/>
      <c r="AD2642" s="166"/>
      <c r="AE2642" s="166"/>
      <c r="AF2642" s="166"/>
      <c r="AG2642" s="166"/>
      <c r="AH2642" s="166"/>
      <c r="AI2642" s="166"/>
    </row>
    <row r="2643" spans="7:35" x14ac:dyDescent="0.25">
      <c r="G2643" s="165"/>
      <c r="H2643" s="166"/>
      <c r="I2643" s="167"/>
      <c r="J2643" s="167"/>
      <c r="K2643" s="166"/>
      <c r="L2643" s="166"/>
      <c r="M2643" s="166"/>
      <c r="N2643" s="166"/>
      <c r="O2643" s="166"/>
      <c r="P2643" s="166"/>
      <c r="Q2643" s="166"/>
      <c r="R2643" s="166"/>
      <c r="S2643" s="166"/>
      <c r="T2643" s="166"/>
      <c r="U2643" s="166"/>
      <c r="V2643" s="166"/>
      <c r="W2643" s="166"/>
      <c r="X2643" s="166"/>
      <c r="Y2643" s="166"/>
      <c r="Z2643" s="166"/>
      <c r="AA2643" s="166"/>
      <c r="AB2643" s="166"/>
      <c r="AC2643" s="166"/>
      <c r="AD2643" s="166"/>
      <c r="AE2643" s="166"/>
      <c r="AF2643" s="166"/>
      <c r="AG2643" s="166"/>
      <c r="AH2643" s="166"/>
      <c r="AI2643" s="166"/>
    </row>
    <row r="2644" spans="7:35" x14ac:dyDescent="0.25">
      <c r="G2644" s="165"/>
      <c r="H2644" s="166"/>
      <c r="I2644" s="167"/>
      <c r="J2644" s="167"/>
      <c r="K2644" s="166"/>
      <c r="L2644" s="166"/>
      <c r="M2644" s="166"/>
      <c r="N2644" s="166"/>
      <c r="O2644" s="166"/>
      <c r="P2644" s="166"/>
      <c r="Q2644" s="166"/>
      <c r="R2644" s="166"/>
      <c r="S2644" s="166"/>
      <c r="T2644" s="166"/>
      <c r="U2644" s="166"/>
      <c r="V2644" s="166"/>
      <c r="W2644" s="166"/>
      <c r="X2644" s="166"/>
      <c r="Y2644" s="166"/>
      <c r="Z2644" s="166"/>
      <c r="AA2644" s="166"/>
      <c r="AB2644" s="166"/>
      <c r="AC2644" s="166"/>
      <c r="AD2644" s="166"/>
      <c r="AE2644" s="166"/>
      <c r="AF2644" s="166"/>
      <c r="AG2644" s="166"/>
      <c r="AH2644" s="166"/>
      <c r="AI2644" s="166"/>
    </row>
    <row r="2645" spans="7:35" x14ac:dyDescent="0.25">
      <c r="G2645" s="165"/>
      <c r="H2645" s="166"/>
      <c r="I2645" s="167"/>
      <c r="J2645" s="167"/>
      <c r="K2645" s="166"/>
      <c r="L2645" s="166"/>
      <c r="M2645" s="166"/>
      <c r="N2645" s="166"/>
      <c r="O2645" s="166"/>
      <c r="P2645" s="166"/>
      <c r="Q2645" s="166"/>
      <c r="R2645" s="166"/>
      <c r="S2645" s="166"/>
      <c r="T2645" s="166"/>
      <c r="U2645" s="166"/>
      <c r="V2645" s="166"/>
      <c r="W2645" s="166"/>
      <c r="X2645" s="166"/>
      <c r="Y2645" s="166"/>
      <c r="Z2645" s="166"/>
      <c r="AA2645" s="166"/>
      <c r="AB2645" s="166"/>
      <c r="AC2645" s="166"/>
      <c r="AD2645" s="166"/>
      <c r="AE2645" s="166"/>
      <c r="AF2645" s="166"/>
      <c r="AG2645" s="166"/>
      <c r="AH2645" s="166"/>
      <c r="AI2645" s="166"/>
    </row>
    <row r="2646" spans="7:35" x14ac:dyDescent="0.25">
      <c r="G2646" s="165"/>
      <c r="H2646" s="166"/>
      <c r="I2646" s="167"/>
      <c r="J2646" s="167"/>
      <c r="K2646" s="166"/>
      <c r="L2646" s="166"/>
      <c r="M2646" s="166"/>
      <c r="N2646" s="166"/>
      <c r="O2646" s="166"/>
      <c r="P2646" s="166"/>
      <c r="Q2646" s="166"/>
      <c r="R2646" s="166"/>
      <c r="S2646" s="166"/>
      <c r="T2646" s="166"/>
      <c r="U2646" s="166"/>
      <c r="V2646" s="166"/>
      <c r="W2646" s="166"/>
      <c r="X2646" s="166"/>
      <c r="Y2646" s="166"/>
      <c r="Z2646" s="166"/>
      <c r="AA2646" s="166"/>
      <c r="AB2646" s="166"/>
      <c r="AC2646" s="166"/>
      <c r="AD2646" s="166"/>
      <c r="AE2646" s="166"/>
      <c r="AF2646" s="166"/>
      <c r="AG2646" s="166"/>
      <c r="AH2646" s="166"/>
      <c r="AI2646" s="166"/>
    </row>
    <row r="2647" spans="7:35" x14ac:dyDescent="0.25">
      <c r="G2647" s="165"/>
      <c r="H2647" s="166"/>
      <c r="I2647" s="167"/>
      <c r="J2647" s="167"/>
      <c r="K2647" s="166"/>
      <c r="L2647" s="166"/>
      <c r="M2647" s="166"/>
      <c r="N2647" s="166"/>
      <c r="O2647" s="166"/>
      <c r="P2647" s="166"/>
      <c r="Q2647" s="166"/>
      <c r="R2647" s="166"/>
      <c r="S2647" s="166"/>
      <c r="T2647" s="166"/>
      <c r="U2647" s="166"/>
      <c r="V2647" s="166"/>
      <c r="W2647" s="166"/>
      <c r="X2647" s="166"/>
      <c r="Y2647" s="166"/>
      <c r="Z2647" s="166"/>
      <c r="AA2647" s="166"/>
      <c r="AB2647" s="166"/>
      <c r="AC2647" s="166"/>
      <c r="AD2647" s="166"/>
      <c r="AE2647" s="166"/>
      <c r="AF2647" s="166"/>
      <c r="AG2647" s="166"/>
      <c r="AH2647" s="166"/>
      <c r="AI2647" s="166"/>
    </row>
    <row r="2648" spans="7:35" x14ac:dyDescent="0.25">
      <c r="G2648" s="165"/>
      <c r="H2648" s="166"/>
      <c r="I2648" s="167"/>
      <c r="J2648" s="167"/>
      <c r="K2648" s="166"/>
      <c r="L2648" s="166"/>
      <c r="M2648" s="166"/>
      <c r="N2648" s="166"/>
      <c r="O2648" s="166"/>
      <c r="P2648" s="166"/>
      <c r="Q2648" s="166"/>
      <c r="R2648" s="166"/>
      <c r="S2648" s="166"/>
      <c r="T2648" s="166"/>
      <c r="U2648" s="166"/>
      <c r="V2648" s="166"/>
      <c r="W2648" s="166"/>
      <c r="X2648" s="166"/>
      <c r="Y2648" s="166"/>
      <c r="Z2648" s="166"/>
      <c r="AA2648" s="166"/>
      <c r="AB2648" s="166"/>
      <c r="AC2648" s="166"/>
      <c r="AD2648" s="166"/>
      <c r="AE2648" s="166"/>
      <c r="AF2648" s="166"/>
      <c r="AG2648" s="166"/>
      <c r="AH2648" s="166"/>
      <c r="AI2648" s="166"/>
    </row>
    <row r="2649" spans="7:35" x14ac:dyDescent="0.25">
      <c r="G2649" s="165"/>
      <c r="H2649" s="166"/>
      <c r="I2649" s="167"/>
      <c r="J2649" s="167"/>
      <c r="K2649" s="166"/>
      <c r="L2649" s="166"/>
      <c r="M2649" s="166"/>
      <c r="N2649" s="166"/>
      <c r="O2649" s="166"/>
      <c r="P2649" s="166"/>
      <c r="Q2649" s="166"/>
      <c r="R2649" s="166"/>
      <c r="S2649" s="166"/>
      <c r="T2649" s="166"/>
      <c r="U2649" s="166"/>
      <c r="V2649" s="166"/>
      <c r="W2649" s="166"/>
      <c r="X2649" s="166"/>
      <c r="Y2649" s="166"/>
      <c r="Z2649" s="166"/>
      <c r="AA2649" s="166"/>
      <c r="AB2649" s="166"/>
      <c r="AC2649" s="166"/>
      <c r="AD2649" s="166"/>
      <c r="AE2649" s="166"/>
      <c r="AF2649" s="166"/>
      <c r="AG2649" s="166"/>
      <c r="AH2649" s="166"/>
      <c r="AI2649" s="166"/>
    </row>
    <row r="2650" spans="7:35" x14ac:dyDescent="0.25">
      <c r="G2650" s="165"/>
      <c r="H2650" s="166"/>
      <c r="I2650" s="167"/>
      <c r="J2650" s="167"/>
      <c r="K2650" s="166"/>
      <c r="L2650" s="166"/>
      <c r="M2650" s="166"/>
      <c r="N2650" s="166"/>
      <c r="O2650" s="166"/>
      <c r="P2650" s="166"/>
      <c r="Q2650" s="166"/>
      <c r="R2650" s="166"/>
      <c r="S2650" s="166"/>
      <c r="T2650" s="166"/>
      <c r="U2650" s="166"/>
      <c r="V2650" s="166"/>
      <c r="W2650" s="166"/>
      <c r="X2650" s="166"/>
      <c r="Y2650" s="166"/>
      <c r="Z2650" s="166"/>
      <c r="AA2650" s="166"/>
      <c r="AB2650" s="166"/>
      <c r="AC2650" s="166"/>
      <c r="AD2650" s="166"/>
      <c r="AE2650" s="166"/>
      <c r="AF2650" s="166"/>
      <c r="AG2650" s="166"/>
      <c r="AH2650" s="166"/>
      <c r="AI2650" s="166"/>
    </row>
    <row r="2651" spans="7:35" x14ac:dyDescent="0.25">
      <c r="G2651" s="165"/>
      <c r="H2651" s="166"/>
      <c r="I2651" s="167"/>
      <c r="J2651" s="167"/>
      <c r="K2651" s="166"/>
      <c r="L2651" s="166"/>
      <c r="M2651" s="166"/>
      <c r="N2651" s="166"/>
      <c r="O2651" s="166"/>
      <c r="P2651" s="166"/>
      <c r="Q2651" s="166"/>
      <c r="R2651" s="166"/>
      <c r="S2651" s="166"/>
      <c r="T2651" s="166"/>
      <c r="U2651" s="166"/>
      <c r="V2651" s="166"/>
      <c r="W2651" s="166"/>
      <c r="X2651" s="166"/>
      <c r="Y2651" s="166"/>
      <c r="Z2651" s="166"/>
      <c r="AA2651" s="166"/>
      <c r="AB2651" s="166"/>
      <c r="AC2651" s="166"/>
      <c r="AD2651" s="166"/>
      <c r="AE2651" s="166"/>
      <c r="AF2651" s="166"/>
      <c r="AG2651" s="166"/>
      <c r="AH2651" s="166"/>
      <c r="AI2651" s="166"/>
    </row>
    <row r="2652" spans="7:35" x14ac:dyDescent="0.25">
      <c r="G2652" s="165"/>
      <c r="H2652" s="166"/>
      <c r="I2652" s="167"/>
      <c r="J2652" s="167"/>
      <c r="K2652" s="166"/>
      <c r="L2652" s="166"/>
      <c r="M2652" s="166"/>
      <c r="N2652" s="166"/>
      <c r="O2652" s="166"/>
      <c r="P2652" s="166"/>
      <c r="Q2652" s="166"/>
      <c r="R2652" s="166"/>
      <c r="S2652" s="166"/>
      <c r="T2652" s="166"/>
      <c r="U2652" s="166"/>
      <c r="V2652" s="166"/>
      <c r="W2652" s="166"/>
      <c r="X2652" s="166"/>
      <c r="Y2652" s="166"/>
      <c r="Z2652" s="166"/>
      <c r="AA2652" s="166"/>
      <c r="AB2652" s="166"/>
      <c r="AC2652" s="166"/>
      <c r="AD2652" s="166"/>
      <c r="AE2652" s="166"/>
      <c r="AF2652" s="166"/>
      <c r="AG2652" s="166"/>
      <c r="AH2652" s="166"/>
      <c r="AI2652" s="166"/>
    </row>
    <row r="2653" spans="7:35" x14ac:dyDescent="0.25">
      <c r="G2653" s="165"/>
      <c r="H2653" s="166"/>
      <c r="I2653" s="167"/>
      <c r="J2653" s="167"/>
      <c r="K2653" s="166"/>
      <c r="L2653" s="166"/>
      <c r="M2653" s="166"/>
      <c r="N2653" s="166"/>
      <c r="O2653" s="166"/>
      <c r="P2653" s="166"/>
      <c r="Q2653" s="166"/>
      <c r="R2653" s="166"/>
      <c r="S2653" s="166"/>
      <c r="T2653" s="166"/>
      <c r="U2653" s="166"/>
      <c r="V2653" s="166"/>
      <c r="W2653" s="166"/>
      <c r="X2653" s="166"/>
      <c r="Y2653" s="166"/>
      <c r="Z2653" s="166"/>
      <c r="AA2653" s="166"/>
      <c r="AB2653" s="166"/>
      <c r="AC2653" s="166"/>
      <c r="AD2653" s="166"/>
      <c r="AE2653" s="166"/>
      <c r="AF2653" s="166"/>
      <c r="AG2653" s="166"/>
      <c r="AH2653" s="166"/>
      <c r="AI2653" s="166"/>
    </row>
    <row r="2654" spans="7:35" x14ac:dyDescent="0.25">
      <c r="G2654" s="165"/>
      <c r="H2654" s="166"/>
      <c r="I2654" s="167"/>
      <c r="J2654" s="167"/>
      <c r="K2654" s="166"/>
      <c r="L2654" s="166"/>
      <c r="M2654" s="166"/>
      <c r="N2654" s="166"/>
      <c r="O2654" s="166"/>
      <c r="P2654" s="166"/>
      <c r="Q2654" s="166"/>
      <c r="R2654" s="166"/>
      <c r="S2654" s="166"/>
      <c r="T2654" s="166"/>
      <c r="U2654" s="166"/>
      <c r="V2654" s="166"/>
      <c r="W2654" s="166"/>
      <c r="X2654" s="166"/>
      <c r="Y2654" s="166"/>
      <c r="Z2654" s="166"/>
      <c r="AA2654" s="166"/>
      <c r="AB2654" s="166"/>
      <c r="AC2654" s="166"/>
      <c r="AD2654" s="166"/>
      <c r="AE2654" s="166"/>
      <c r="AF2654" s="166"/>
      <c r="AG2654" s="166"/>
      <c r="AH2654" s="166"/>
      <c r="AI2654" s="166"/>
    </row>
    <row r="2655" spans="7:35" x14ac:dyDescent="0.25">
      <c r="G2655" s="165"/>
      <c r="H2655" s="166"/>
      <c r="I2655" s="167"/>
      <c r="J2655" s="167"/>
      <c r="K2655" s="166"/>
      <c r="L2655" s="166"/>
      <c r="M2655" s="166"/>
      <c r="N2655" s="166"/>
      <c r="O2655" s="166"/>
      <c r="P2655" s="166"/>
      <c r="Q2655" s="166"/>
      <c r="R2655" s="166"/>
      <c r="S2655" s="166"/>
      <c r="T2655" s="166"/>
      <c r="U2655" s="166"/>
      <c r="V2655" s="166"/>
      <c r="W2655" s="166"/>
      <c r="X2655" s="166"/>
      <c r="Y2655" s="166"/>
      <c r="Z2655" s="166"/>
      <c r="AA2655" s="166"/>
      <c r="AB2655" s="166"/>
      <c r="AC2655" s="166"/>
      <c r="AD2655" s="166"/>
      <c r="AE2655" s="166"/>
      <c r="AF2655" s="166"/>
      <c r="AG2655" s="166"/>
      <c r="AH2655" s="166"/>
      <c r="AI2655" s="166"/>
    </row>
    <row r="2656" spans="7:35" x14ac:dyDescent="0.25">
      <c r="G2656" s="165"/>
      <c r="H2656" s="166"/>
      <c r="I2656" s="167"/>
      <c r="J2656" s="167"/>
      <c r="K2656" s="166"/>
      <c r="L2656" s="166"/>
      <c r="M2656" s="166"/>
      <c r="N2656" s="166"/>
      <c r="O2656" s="166"/>
      <c r="P2656" s="166"/>
      <c r="Q2656" s="166"/>
      <c r="R2656" s="166"/>
      <c r="S2656" s="166"/>
      <c r="T2656" s="166"/>
      <c r="U2656" s="166"/>
      <c r="V2656" s="166"/>
      <c r="W2656" s="166"/>
      <c r="X2656" s="166"/>
      <c r="Y2656" s="166"/>
      <c r="Z2656" s="166"/>
      <c r="AA2656" s="166"/>
      <c r="AB2656" s="166"/>
      <c r="AC2656" s="166"/>
      <c r="AD2656" s="166"/>
      <c r="AE2656" s="166"/>
      <c r="AF2656" s="166"/>
      <c r="AG2656" s="166"/>
      <c r="AH2656" s="166"/>
      <c r="AI2656" s="166"/>
    </row>
    <row r="2657" spans="7:35" x14ac:dyDescent="0.25">
      <c r="G2657" s="165"/>
      <c r="H2657" s="166"/>
      <c r="I2657" s="167"/>
      <c r="J2657" s="167"/>
      <c r="K2657" s="166"/>
      <c r="L2657" s="166"/>
      <c r="M2657" s="166"/>
      <c r="N2657" s="166"/>
      <c r="O2657" s="166"/>
      <c r="P2657" s="166"/>
      <c r="Q2657" s="166"/>
      <c r="R2657" s="166"/>
      <c r="S2657" s="166"/>
      <c r="T2657" s="166"/>
      <c r="U2657" s="166"/>
      <c r="V2657" s="166"/>
      <c r="W2657" s="166"/>
      <c r="X2657" s="166"/>
      <c r="Y2657" s="166"/>
      <c r="Z2657" s="166"/>
      <c r="AA2657" s="166"/>
      <c r="AB2657" s="166"/>
      <c r="AC2657" s="166"/>
      <c r="AD2657" s="166"/>
      <c r="AE2657" s="166"/>
      <c r="AF2657" s="166"/>
      <c r="AG2657" s="166"/>
      <c r="AH2657" s="166"/>
      <c r="AI2657" s="166"/>
    </row>
    <row r="2658" spans="7:35" x14ac:dyDescent="0.25">
      <c r="G2658" s="165"/>
      <c r="H2658" s="166"/>
      <c r="I2658" s="167"/>
      <c r="J2658" s="167"/>
      <c r="K2658" s="166"/>
      <c r="L2658" s="166"/>
      <c r="M2658" s="166"/>
      <c r="N2658" s="166"/>
      <c r="O2658" s="166"/>
      <c r="P2658" s="166"/>
      <c r="Q2658" s="166"/>
      <c r="R2658" s="166"/>
      <c r="S2658" s="166"/>
      <c r="T2658" s="166"/>
      <c r="U2658" s="166"/>
      <c r="V2658" s="166"/>
      <c r="W2658" s="166"/>
      <c r="X2658" s="166"/>
      <c r="Y2658" s="166"/>
      <c r="Z2658" s="166"/>
      <c r="AA2658" s="166"/>
      <c r="AB2658" s="166"/>
      <c r="AC2658" s="166"/>
      <c r="AD2658" s="166"/>
      <c r="AE2658" s="166"/>
      <c r="AF2658" s="166"/>
      <c r="AG2658" s="166"/>
      <c r="AH2658" s="166"/>
      <c r="AI2658" s="166"/>
    </row>
    <row r="2659" spans="7:35" x14ac:dyDescent="0.25">
      <c r="G2659" s="165"/>
      <c r="H2659" s="166"/>
      <c r="I2659" s="167"/>
      <c r="J2659" s="167"/>
      <c r="K2659" s="166"/>
      <c r="L2659" s="166"/>
      <c r="M2659" s="166"/>
      <c r="N2659" s="166"/>
      <c r="O2659" s="166"/>
      <c r="P2659" s="166"/>
      <c r="Q2659" s="166"/>
      <c r="R2659" s="166"/>
      <c r="S2659" s="166"/>
      <c r="T2659" s="166"/>
      <c r="U2659" s="166"/>
      <c r="V2659" s="166"/>
      <c r="W2659" s="166"/>
      <c r="X2659" s="166"/>
      <c r="Y2659" s="166"/>
      <c r="Z2659" s="166"/>
      <c r="AA2659" s="166"/>
      <c r="AB2659" s="166"/>
      <c r="AC2659" s="166"/>
      <c r="AD2659" s="166"/>
      <c r="AE2659" s="166"/>
      <c r="AF2659" s="166"/>
      <c r="AG2659" s="166"/>
      <c r="AH2659" s="166"/>
      <c r="AI2659" s="166"/>
    </row>
    <row r="2660" spans="7:35" x14ac:dyDescent="0.25">
      <c r="G2660" s="165"/>
      <c r="H2660" s="166"/>
      <c r="I2660" s="167"/>
      <c r="J2660" s="167"/>
      <c r="K2660" s="166"/>
      <c r="L2660" s="166"/>
      <c r="M2660" s="166"/>
      <c r="N2660" s="166"/>
      <c r="O2660" s="166"/>
      <c r="P2660" s="166"/>
      <c r="Q2660" s="166"/>
      <c r="R2660" s="166"/>
      <c r="S2660" s="166"/>
      <c r="T2660" s="166"/>
      <c r="U2660" s="166"/>
      <c r="V2660" s="166"/>
      <c r="W2660" s="166"/>
      <c r="X2660" s="166"/>
      <c r="Y2660" s="166"/>
      <c r="Z2660" s="166"/>
      <c r="AA2660" s="166"/>
      <c r="AB2660" s="166"/>
      <c r="AC2660" s="166"/>
      <c r="AD2660" s="166"/>
      <c r="AE2660" s="166"/>
      <c r="AF2660" s="166"/>
      <c r="AG2660" s="166"/>
      <c r="AH2660" s="166"/>
      <c r="AI2660" s="166"/>
    </row>
    <row r="2661" spans="7:35" x14ac:dyDescent="0.25">
      <c r="G2661" s="165"/>
      <c r="H2661" s="166"/>
      <c r="I2661" s="167"/>
      <c r="J2661" s="167"/>
      <c r="K2661" s="166"/>
      <c r="L2661" s="166"/>
      <c r="M2661" s="166"/>
      <c r="N2661" s="166"/>
      <c r="O2661" s="166"/>
      <c r="P2661" s="166"/>
      <c r="Q2661" s="166"/>
      <c r="R2661" s="166"/>
      <c r="S2661" s="166"/>
      <c r="T2661" s="166"/>
      <c r="U2661" s="166"/>
      <c r="V2661" s="166"/>
      <c r="W2661" s="166"/>
      <c r="X2661" s="166"/>
      <c r="Y2661" s="166"/>
      <c r="Z2661" s="166"/>
      <c r="AA2661" s="166"/>
      <c r="AB2661" s="166"/>
      <c r="AC2661" s="166"/>
      <c r="AD2661" s="166"/>
      <c r="AE2661" s="166"/>
      <c r="AF2661" s="166"/>
      <c r="AG2661" s="166"/>
      <c r="AH2661" s="166"/>
      <c r="AI2661" s="166"/>
    </row>
    <row r="2662" spans="7:35" x14ac:dyDescent="0.25">
      <c r="G2662" s="165"/>
      <c r="H2662" s="166"/>
      <c r="I2662" s="167"/>
      <c r="J2662" s="167"/>
      <c r="K2662" s="166"/>
      <c r="L2662" s="166"/>
      <c r="M2662" s="166"/>
      <c r="N2662" s="166"/>
      <c r="O2662" s="166"/>
      <c r="P2662" s="166"/>
      <c r="Q2662" s="166"/>
      <c r="R2662" s="166"/>
      <c r="S2662" s="166"/>
      <c r="T2662" s="166"/>
      <c r="U2662" s="166"/>
      <c r="V2662" s="166"/>
      <c r="W2662" s="166"/>
      <c r="X2662" s="166"/>
      <c r="Y2662" s="166"/>
      <c r="Z2662" s="166"/>
      <c r="AA2662" s="166"/>
      <c r="AB2662" s="166"/>
      <c r="AC2662" s="166"/>
      <c r="AD2662" s="166"/>
      <c r="AE2662" s="166"/>
      <c r="AF2662" s="166"/>
      <c r="AG2662" s="166"/>
      <c r="AH2662" s="166"/>
      <c r="AI2662" s="166"/>
    </row>
    <row r="2663" spans="7:35" x14ac:dyDescent="0.25">
      <c r="G2663" s="165"/>
      <c r="H2663" s="166"/>
      <c r="I2663" s="167"/>
      <c r="J2663" s="167"/>
      <c r="K2663" s="166"/>
      <c r="L2663" s="166"/>
      <c r="M2663" s="166"/>
      <c r="N2663" s="166"/>
      <c r="O2663" s="166"/>
      <c r="P2663" s="166"/>
      <c r="Q2663" s="166"/>
      <c r="R2663" s="166"/>
      <c r="S2663" s="166"/>
      <c r="T2663" s="166"/>
      <c r="U2663" s="166"/>
      <c r="V2663" s="166"/>
      <c r="W2663" s="166"/>
      <c r="X2663" s="166"/>
      <c r="Y2663" s="166"/>
      <c r="Z2663" s="166"/>
      <c r="AA2663" s="166"/>
      <c r="AB2663" s="166"/>
      <c r="AC2663" s="166"/>
      <c r="AD2663" s="166"/>
      <c r="AE2663" s="166"/>
      <c r="AF2663" s="166"/>
      <c r="AG2663" s="166"/>
      <c r="AH2663" s="166"/>
      <c r="AI2663" s="166"/>
    </row>
    <row r="2664" spans="7:35" x14ac:dyDescent="0.25">
      <c r="G2664" s="165"/>
      <c r="H2664" s="166"/>
      <c r="I2664" s="167"/>
      <c r="J2664" s="167"/>
      <c r="K2664" s="166"/>
      <c r="L2664" s="166"/>
      <c r="M2664" s="166"/>
      <c r="N2664" s="166"/>
      <c r="O2664" s="166"/>
      <c r="P2664" s="166"/>
      <c r="Q2664" s="166"/>
      <c r="R2664" s="166"/>
      <c r="S2664" s="166"/>
      <c r="T2664" s="166"/>
      <c r="U2664" s="166"/>
      <c r="V2664" s="166"/>
      <c r="W2664" s="166"/>
      <c r="X2664" s="166"/>
      <c r="Y2664" s="166"/>
      <c r="Z2664" s="166"/>
      <c r="AA2664" s="166"/>
      <c r="AB2664" s="166"/>
      <c r="AC2664" s="166"/>
      <c r="AD2664" s="166"/>
      <c r="AE2664" s="166"/>
      <c r="AF2664" s="166"/>
      <c r="AG2664" s="166"/>
      <c r="AH2664" s="166"/>
      <c r="AI2664" s="166"/>
    </row>
    <row r="2665" spans="7:35" x14ac:dyDescent="0.25">
      <c r="G2665" s="165"/>
      <c r="H2665" s="166"/>
      <c r="I2665" s="167"/>
      <c r="J2665" s="167"/>
      <c r="K2665" s="166"/>
      <c r="L2665" s="166"/>
      <c r="M2665" s="166"/>
      <c r="N2665" s="166"/>
      <c r="O2665" s="166"/>
      <c r="P2665" s="166"/>
      <c r="Q2665" s="166"/>
      <c r="R2665" s="166"/>
      <c r="S2665" s="166"/>
      <c r="T2665" s="166"/>
      <c r="U2665" s="166"/>
      <c r="V2665" s="166"/>
      <c r="W2665" s="166"/>
      <c r="X2665" s="166"/>
      <c r="Y2665" s="166"/>
      <c r="Z2665" s="166"/>
      <c r="AA2665" s="166"/>
      <c r="AB2665" s="166"/>
      <c r="AC2665" s="166"/>
      <c r="AD2665" s="166"/>
      <c r="AE2665" s="166"/>
      <c r="AF2665" s="166"/>
      <c r="AG2665" s="166"/>
      <c r="AH2665" s="166"/>
      <c r="AI2665" s="166"/>
    </row>
    <row r="2666" spans="7:35" x14ac:dyDescent="0.25">
      <c r="G2666" s="165"/>
      <c r="H2666" s="166"/>
      <c r="I2666" s="167"/>
      <c r="J2666" s="167"/>
      <c r="K2666" s="166"/>
      <c r="L2666" s="166"/>
      <c r="M2666" s="166"/>
      <c r="N2666" s="166"/>
      <c r="O2666" s="166"/>
      <c r="P2666" s="166"/>
      <c r="Q2666" s="166"/>
      <c r="R2666" s="166"/>
      <c r="S2666" s="166"/>
      <c r="T2666" s="166"/>
      <c r="U2666" s="166"/>
      <c r="V2666" s="166"/>
      <c r="W2666" s="166"/>
      <c r="X2666" s="166"/>
      <c r="Y2666" s="166"/>
      <c r="Z2666" s="166"/>
      <c r="AA2666" s="166"/>
      <c r="AB2666" s="166"/>
      <c r="AC2666" s="166"/>
      <c r="AD2666" s="166"/>
      <c r="AE2666" s="166"/>
      <c r="AF2666" s="166"/>
      <c r="AG2666" s="166"/>
      <c r="AH2666" s="166"/>
      <c r="AI2666" s="166"/>
    </row>
    <row r="2667" spans="7:35" x14ac:dyDescent="0.25">
      <c r="G2667" s="165"/>
      <c r="H2667" s="166"/>
      <c r="I2667" s="167"/>
      <c r="J2667" s="167"/>
      <c r="K2667" s="166"/>
      <c r="L2667" s="166"/>
      <c r="M2667" s="166"/>
      <c r="N2667" s="166"/>
      <c r="O2667" s="166"/>
      <c r="P2667" s="166"/>
      <c r="Q2667" s="166"/>
      <c r="R2667" s="166"/>
      <c r="S2667" s="166"/>
      <c r="T2667" s="166"/>
      <c r="U2667" s="166"/>
      <c r="V2667" s="166"/>
      <c r="W2667" s="166"/>
      <c r="X2667" s="166"/>
      <c r="Y2667" s="166"/>
      <c r="Z2667" s="166"/>
      <c r="AA2667" s="166"/>
      <c r="AB2667" s="166"/>
      <c r="AC2667" s="166"/>
      <c r="AD2667" s="166"/>
      <c r="AE2667" s="166"/>
      <c r="AF2667" s="166"/>
      <c r="AG2667" s="166"/>
      <c r="AH2667" s="166"/>
      <c r="AI2667" s="166"/>
    </row>
    <row r="2668" spans="7:35" x14ac:dyDescent="0.25">
      <c r="G2668" s="165"/>
      <c r="H2668" s="166"/>
      <c r="I2668" s="167"/>
      <c r="J2668" s="167"/>
      <c r="K2668" s="166"/>
      <c r="L2668" s="166"/>
      <c r="M2668" s="166"/>
      <c r="N2668" s="166"/>
      <c r="O2668" s="166"/>
      <c r="P2668" s="166"/>
      <c r="Q2668" s="166"/>
      <c r="R2668" s="166"/>
      <c r="S2668" s="166"/>
      <c r="T2668" s="166"/>
      <c r="U2668" s="166"/>
      <c r="V2668" s="166"/>
      <c r="W2668" s="166"/>
      <c r="X2668" s="166"/>
      <c r="Y2668" s="166"/>
      <c r="Z2668" s="166"/>
      <c r="AA2668" s="166"/>
      <c r="AB2668" s="166"/>
      <c r="AC2668" s="166"/>
      <c r="AD2668" s="166"/>
      <c r="AE2668" s="166"/>
      <c r="AF2668" s="166"/>
      <c r="AG2668" s="166"/>
      <c r="AH2668" s="166"/>
      <c r="AI2668" s="166"/>
    </row>
    <row r="2669" spans="7:35" x14ac:dyDescent="0.25">
      <c r="G2669" s="165"/>
      <c r="H2669" s="166"/>
      <c r="I2669" s="167"/>
      <c r="J2669" s="167"/>
      <c r="K2669" s="166"/>
      <c r="L2669" s="166"/>
      <c r="M2669" s="166"/>
      <c r="N2669" s="166"/>
      <c r="O2669" s="166"/>
      <c r="P2669" s="166"/>
      <c r="Q2669" s="166"/>
      <c r="R2669" s="166"/>
      <c r="S2669" s="166"/>
      <c r="T2669" s="166"/>
      <c r="U2669" s="166"/>
      <c r="V2669" s="166"/>
      <c r="W2669" s="166"/>
      <c r="X2669" s="166"/>
      <c r="Y2669" s="166"/>
      <c r="Z2669" s="166"/>
      <c r="AA2669" s="166"/>
      <c r="AB2669" s="166"/>
      <c r="AC2669" s="166"/>
      <c r="AD2669" s="166"/>
      <c r="AE2669" s="166"/>
      <c r="AF2669" s="166"/>
      <c r="AG2669" s="166"/>
      <c r="AH2669" s="166"/>
      <c r="AI2669" s="166"/>
    </row>
    <row r="2670" spans="7:35" x14ac:dyDescent="0.25">
      <c r="G2670" s="165"/>
      <c r="H2670" s="166"/>
      <c r="I2670" s="167"/>
      <c r="J2670" s="167"/>
      <c r="K2670" s="166"/>
      <c r="L2670" s="166"/>
      <c r="M2670" s="166"/>
      <c r="N2670" s="166"/>
      <c r="O2670" s="166"/>
      <c r="P2670" s="166"/>
      <c r="Q2670" s="166"/>
      <c r="R2670" s="166"/>
      <c r="S2670" s="166"/>
      <c r="T2670" s="166"/>
      <c r="U2670" s="166"/>
      <c r="V2670" s="166"/>
      <c r="W2670" s="166"/>
      <c r="X2670" s="166"/>
      <c r="Y2670" s="166"/>
      <c r="Z2670" s="166"/>
      <c r="AA2670" s="166"/>
      <c r="AB2670" s="166"/>
      <c r="AC2670" s="166"/>
      <c r="AD2670" s="166"/>
      <c r="AE2670" s="166"/>
      <c r="AF2670" s="166"/>
      <c r="AG2670" s="166"/>
      <c r="AH2670" s="166"/>
      <c r="AI2670" s="166"/>
    </row>
    <row r="2671" spans="7:35" x14ac:dyDescent="0.25">
      <c r="G2671" s="165"/>
      <c r="H2671" s="166"/>
      <c r="I2671" s="167"/>
      <c r="J2671" s="167"/>
      <c r="K2671" s="166"/>
      <c r="L2671" s="166"/>
      <c r="M2671" s="166"/>
      <c r="N2671" s="166"/>
      <c r="O2671" s="166"/>
      <c r="P2671" s="166"/>
      <c r="Q2671" s="166"/>
      <c r="R2671" s="166"/>
      <c r="S2671" s="166"/>
      <c r="T2671" s="166"/>
      <c r="U2671" s="166"/>
      <c r="V2671" s="166"/>
      <c r="W2671" s="166"/>
      <c r="X2671" s="166"/>
      <c r="Y2671" s="166"/>
      <c r="Z2671" s="166"/>
      <c r="AA2671" s="166"/>
      <c r="AB2671" s="166"/>
      <c r="AC2671" s="166"/>
      <c r="AD2671" s="166"/>
      <c r="AE2671" s="166"/>
      <c r="AF2671" s="166"/>
      <c r="AG2671" s="166"/>
      <c r="AH2671" s="166"/>
      <c r="AI2671" s="166"/>
    </row>
    <row r="2672" spans="7:35" x14ac:dyDescent="0.25">
      <c r="G2672" s="165"/>
      <c r="H2672" s="166"/>
      <c r="I2672" s="167"/>
      <c r="J2672" s="167"/>
      <c r="K2672" s="166"/>
      <c r="L2672" s="166"/>
      <c r="M2672" s="166"/>
      <c r="N2672" s="166"/>
      <c r="O2672" s="166"/>
      <c r="P2672" s="166"/>
      <c r="Q2672" s="166"/>
      <c r="R2672" s="166"/>
      <c r="S2672" s="166"/>
      <c r="T2672" s="166"/>
      <c r="U2672" s="166"/>
      <c r="V2672" s="166"/>
      <c r="W2672" s="166"/>
      <c r="X2672" s="166"/>
      <c r="Y2672" s="166"/>
      <c r="Z2672" s="166"/>
      <c r="AA2672" s="166"/>
      <c r="AB2672" s="166"/>
      <c r="AC2672" s="166"/>
      <c r="AD2672" s="166"/>
      <c r="AE2672" s="166"/>
      <c r="AF2672" s="166"/>
      <c r="AG2672" s="166"/>
      <c r="AH2672" s="166"/>
      <c r="AI2672" s="166"/>
    </row>
    <row r="2673" spans="7:35" x14ac:dyDescent="0.25">
      <c r="G2673" s="165"/>
      <c r="H2673" s="166"/>
      <c r="I2673" s="167"/>
      <c r="J2673" s="167"/>
      <c r="K2673" s="166"/>
      <c r="L2673" s="166"/>
      <c r="M2673" s="166"/>
      <c r="N2673" s="166"/>
      <c r="O2673" s="166"/>
      <c r="P2673" s="166"/>
      <c r="Q2673" s="166"/>
      <c r="R2673" s="166"/>
      <c r="S2673" s="166"/>
      <c r="T2673" s="166"/>
      <c r="U2673" s="166"/>
      <c r="V2673" s="166"/>
      <c r="W2673" s="166"/>
      <c r="X2673" s="166"/>
      <c r="Y2673" s="166"/>
      <c r="Z2673" s="166"/>
      <c r="AA2673" s="166"/>
      <c r="AB2673" s="166"/>
      <c r="AC2673" s="166"/>
      <c r="AD2673" s="166"/>
      <c r="AE2673" s="166"/>
      <c r="AF2673" s="166"/>
      <c r="AG2673" s="166"/>
      <c r="AH2673" s="166"/>
      <c r="AI2673" s="166"/>
    </row>
    <row r="2674" spans="7:35" x14ac:dyDescent="0.25">
      <c r="G2674" s="165"/>
      <c r="H2674" s="166"/>
      <c r="I2674" s="167"/>
      <c r="J2674" s="167"/>
      <c r="K2674" s="166"/>
      <c r="L2674" s="166"/>
      <c r="M2674" s="166"/>
      <c r="N2674" s="166"/>
      <c r="O2674" s="166"/>
      <c r="P2674" s="166"/>
      <c r="Q2674" s="166"/>
      <c r="R2674" s="166"/>
      <c r="S2674" s="166"/>
      <c r="T2674" s="166"/>
      <c r="U2674" s="166"/>
      <c r="V2674" s="166"/>
      <c r="W2674" s="166"/>
      <c r="X2674" s="166"/>
      <c r="Y2674" s="166"/>
      <c r="Z2674" s="166"/>
      <c r="AA2674" s="166"/>
      <c r="AB2674" s="166"/>
      <c r="AC2674" s="166"/>
      <c r="AD2674" s="166"/>
      <c r="AE2674" s="166"/>
      <c r="AF2674" s="166"/>
      <c r="AG2674" s="166"/>
      <c r="AH2674" s="166"/>
      <c r="AI2674" s="166"/>
    </row>
    <row r="2675" spans="7:35" x14ac:dyDescent="0.25">
      <c r="G2675" s="165"/>
      <c r="H2675" s="166"/>
      <c r="I2675" s="167"/>
      <c r="J2675" s="167"/>
      <c r="K2675" s="166"/>
      <c r="L2675" s="166"/>
      <c r="M2675" s="166"/>
      <c r="N2675" s="166"/>
      <c r="O2675" s="166"/>
      <c r="P2675" s="166"/>
      <c r="Q2675" s="166"/>
      <c r="R2675" s="166"/>
      <c r="S2675" s="166"/>
      <c r="T2675" s="166"/>
      <c r="U2675" s="166"/>
      <c r="V2675" s="166"/>
      <c r="W2675" s="166"/>
      <c r="X2675" s="166"/>
      <c r="Y2675" s="166"/>
      <c r="Z2675" s="166"/>
      <c r="AA2675" s="166"/>
      <c r="AB2675" s="166"/>
      <c r="AC2675" s="166"/>
      <c r="AD2675" s="166"/>
      <c r="AE2675" s="166"/>
      <c r="AF2675" s="166"/>
      <c r="AG2675" s="166"/>
      <c r="AH2675" s="166"/>
      <c r="AI2675" s="166"/>
    </row>
    <row r="2676" spans="7:35" x14ac:dyDescent="0.25">
      <c r="G2676" s="165"/>
      <c r="H2676" s="166"/>
      <c r="I2676" s="167"/>
      <c r="J2676" s="167"/>
      <c r="K2676" s="166"/>
      <c r="L2676" s="166"/>
      <c r="M2676" s="166"/>
      <c r="N2676" s="166"/>
      <c r="O2676" s="166"/>
      <c r="P2676" s="166"/>
      <c r="Q2676" s="166"/>
      <c r="R2676" s="166"/>
      <c r="S2676" s="166"/>
      <c r="T2676" s="166"/>
      <c r="U2676" s="166"/>
      <c r="V2676" s="166"/>
      <c r="W2676" s="166"/>
      <c r="X2676" s="166"/>
      <c r="Y2676" s="166"/>
      <c r="Z2676" s="166"/>
      <c r="AA2676" s="166"/>
      <c r="AB2676" s="166"/>
      <c r="AC2676" s="166"/>
      <c r="AD2676" s="166"/>
      <c r="AE2676" s="166"/>
      <c r="AF2676" s="166"/>
      <c r="AG2676" s="166"/>
      <c r="AH2676" s="166"/>
      <c r="AI2676" s="166"/>
    </row>
    <row r="2677" spans="7:35" x14ac:dyDescent="0.25">
      <c r="G2677" s="165"/>
      <c r="H2677" s="166"/>
      <c r="I2677" s="167"/>
      <c r="J2677" s="167"/>
      <c r="K2677" s="166"/>
      <c r="L2677" s="166"/>
      <c r="M2677" s="166"/>
      <c r="N2677" s="166"/>
      <c r="O2677" s="166"/>
      <c r="P2677" s="166"/>
      <c r="Q2677" s="166"/>
      <c r="R2677" s="166"/>
      <c r="S2677" s="166"/>
      <c r="T2677" s="166"/>
      <c r="U2677" s="166"/>
      <c r="V2677" s="166"/>
      <c r="W2677" s="166"/>
      <c r="X2677" s="166"/>
      <c r="Y2677" s="166"/>
      <c r="Z2677" s="166"/>
      <c r="AA2677" s="166"/>
      <c r="AB2677" s="166"/>
      <c r="AC2677" s="166"/>
      <c r="AD2677" s="166"/>
      <c r="AE2677" s="166"/>
      <c r="AF2677" s="166"/>
      <c r="AG2677" s="166"/>
      <c r="AH2677" s="166"/>
      <c r="AI2677" s="166"/>
    </row>
    <row r="2678" spans="7:35" x14ac:dyDescent="0.25">
      <c r="G2678" s="165"/>
      <c r="H2678" s="166"/>
      <c r="I2678" s="167"/>
      <c r="J2678" s="167"/>
      <c r="K2678" s="166"/>
      <c r="L2678" s="166"/>
      <c r="M2678" s="166"/>
      <c r="N2678" s="166"/>
      <c r="O2678" s="166"/>
      <c r="P2678" s="166"/>
      <c r="Q2678" s="166"/>
      <c r="R2678" s="166"/>
      <c r="S2678" s="166"/>
      <c r="T2678" s="166"/>
      <c r="U2678" s="166"/>
      <c r="V2678" s="166"/>
      <c r="W2678" s="166"/>
      <c r="X2678" s="166"/>
      <c r="Y2678" s="166"/>
      <c r="Z2678" s="166"/>
      <c r="AA2678" s="166"/>
      <c r="AB2678" s="166"/>
      <c r="AC2678" s="166"/>
      <c r="AD2678" s="166"/>
      <c r="AE2678" s="166"/>
      <c r="AF2678" s="166"/>
      <c r="AG2678" s="166"/>
      <c r="AH2678" s="166"/>
      <c r="AI2678" s="166"/>
    </row>
    <row r="2679" spans="7:35" x14ac:dyDescent="0.25">
      <c r="G2679" s="165"/>
      <c r="H2679" s="166"/>
      <c r="I2679" s="167"/>
      <c r="J2679" s="167"/>
      <c r="K2679" s="166"/>
      <c r="L2679" s="166"/>
      <c r="M2679" s="166"/>
      <c r="N2679" s="166"/>
      <c r="O2679" s="166"/>
      <c r="P2679" s="166"/>
      <c r="Q2679" s="166"/>
      <c r="R2679" s="166"/>
      <c r="S2679" s="166"/>
      <c r="T2679" s="166"/>
      <c r="U2679" s="166"/>
      <c r="V2679" s="166"/>
      <c r="W2679" s="166"/>
      <c r="X2679" s="166"/>
      <c r="Y2679" s="166"/>
      <c r="Z2679" s="166"/>
      <c r="AA2679" s="166"/>
      <c r="AB2679" s="166"/>
      <c r="AC2679" s="166"/>
      <c r="AD2679" s="166"/>
      <c r="AE2679" s="166"/>
      <c r="AF2679" s="166"/>
      <c r="AG2679" s="166"/>
      <c r="AH2679" s="166"/>
      <c r="AI2679" s="166"/>
    </row>
    <row r="2680" spans="7:35" x14ac:dyDescent="0.25">
      <c r="G2680" s="165"/>
      <c r="H2680" s="166"/>
      <c r="I2680" s="167"/>
      <c r="J2680" s="167"/>
      <c r="K2680" s="166"/>
      <c r="L2680" s="166"/>
      <c r="M2680" s="166"/>
      <c r="N2680" s="166"/>
      <c r="O2680" s="166"/>
      <c r="P2680" s="166"/>
      <c r="Q2680" s="166"/>
      <c r="R2680" s="166"/>
      <c r="S2680" s="166"/>
      <c r="T2680" s="166"/>
      <c r="U2680" s="166"/>
      <c r="V2680" s="166"/>
      <c r="W2680" s="166"/>
      <c r="X2680" s="166"/>
      <c r="Y2680" s="166"/>
      <c r="Z2680" s="166"/>
      <c r="AA2680" s="166"/>
      <c r="AB2680" s="166"/>
      <c r="AC2680" s="166"/>
      <c r="AD2680" s="166"/>
      <c r="AE2680" s="166"/>
      <c r="AF2680" s="166"/>
      <c r="AG2680" s="166"/>
      <c r="AH2680" s="166"/>
      <c r="AI2680" s="166"/>
    </row>
    <row r="2681" spans="7:35" x14ac:dyDescent="0.25">
      <c r="G2681" s="165"/>
      <c r="H2681" s="166"/>
      <c r="I2681" s="167"/>
      <c r="J2681" s="167"/>
      <c r="K2681" s="166"/>
      <c r="L2681" s="166"/>
      <c r="M2681" s="166"/>
      <c r="N2681" s="166"/>
      <c r="O2681" s="166"/>
      <c r="P2681" s="166"/>
      <c r="Q2681" s="166"/>
      <c r="R2681" s="166"/>
      <c r="S2681" s="166"/>
      <c r="T2681" s="166"/>
      <c r="U2681" s="166"/>
      <c r="V2681" s="166"/>
      <c r="W2681" s="166"/>
      <c r="X2681" s="166"/>
      <c r="Y2681" s="166"/>
      <c r="Z2681" s="166"/>
      <c r="AA2681" s="166"/>
      <c r="AB2681" s="166"/>
      <c r="AC2681" s="166"/>
      <c r="AD2681" s="166"/>
      <c r="AE2681" s="166"/>
      <c r="AF2681" s="166"/>
      <c r="AG2681" s="166"/>
      <c r="AH2681" s="166"/>
      <c r="AI2681" s="166"/>
    </row>
    <row r="2682" spans="7:35" x14ac:dyDescent="0.25">
      <c r="G2682" s="165"/>
      <c r="H2682" s="166"/>
      <c r="I2682" s="167"/>
      <c r="J2682" s="167"/>
      <c r="K2682" s="166"/>
      <c r="L2682" s="166"/>
      <c r="M2682" s="166"/>
      <c r="N2682" s="166"/>
      <c r="O2682" s="166"/>
      <c r="P2682" s="166"/>
      <c r="Q2682" s="166"/>
      <c r="R2682" s="166"/>
      <c r="S2682" s="166"/>
      <c r="T2682" s="166"/>
      <c r="U2682" s="166"/>
      <c r="V2682" s="166"/>
      <c r="W2682" s="166"/>
      <c r="X2682" s="166"/>
      <c r="Y2682" s="166"/>
      <c r="Z2682" s="166"/>
      <c r="AA2682" s="166"/>
      <c r="AB2682" s="166"/>
      <c r="AC2682" s="166"/>
      <c r="AD2682" s="166"/>
      <c r="AE2682" s="166"/>
      <c r="AF2682" s="166"/>
      <c r="AG2682" s="166"/>
      <c r="AH2682" s="166"/>
      <c r="AI2682" s="166"/>
    </row>
    <row r="2683" spans="7:35" x14ac:dyDescent="0.25">
      <c r="G2683" s="165"/>
      <c r="H2683" s="166"/>
      <c r="I2683" s="167"/>
      <c r="J2683" s="167"/>
      <c r="K2683" s="166"/>
      <c r="L2683" s="166"/>
      <c r="M2683" s="166"/>
      <c r="N2683" s="166"/>
      <c r="O2683" s="166"/>
      <c r="P2683" s="166"/>
      <c r="Q2683" s="166"/>
      <c r="R2683" s="166"/>
      <c r="S2683" s="166"/>
      <c r="T2683" s="166"/>
      <c r="U2683" s="166"/>
      <c r="V2683" s="166"/>
      <c r="W2683" s="166"/>
      <c r="X2683" s="166"/>
      <c r="Y2683" s="166"/>
      <c r="Z2683" s="166"/>
      <c r="AA2683" s="166"/>
      <c r="AB2683" s="166"/>
      <c r="AC2683" s="166"/>
      <c r="AD2683" s="166"/>
      <c r="AE2683" s="166"/>
      <c r="AF2683" s="166"/>
      <c r="AG2683" s="166"/>
      <c r="AH2683" s="166"/>
      <c r="AI2683" s="166"/>
    </row>
    <row r="2684" spans="7:35" x14ac:dyDescent="0.25">
      <c r="G2684" s="165"/>
      <c r="H2684" s="166"/>
      <c r="I2684" s="167"/>
      <c r="J2684" s="167"/>
      <c r="K2684" s="166"/>
      <c r="L2684" s="166"/>
      <c r="M2684" s="166"/>
      <c r="N2684" s="166"/>
      <c r="O2684" s="166"/>
      <c r="P2684" s="166"/>
      <c r="Q2684" s="166"/>
      <c r="R2684" s="166"/>
      <c r="S2684" s="166"/>
      <c r="T2684" s="166"/>
      <c r="U2684" s="166"/>
      <c r="V2684" s="166"/>
      <c r="W2684" s="166"/>
      <c r="X2684" s="166"/>
      <c r="Y2684" s="166"/>
      <c r="Z2684" s="166"/>
      <c r="AA2684" s="166"/>
      <c r="AB2684" s="166"/>
      <c r="AC2684" s="166"/>
      <c r="AD2684" s="166"/>
      <c r="AE2684" s="166"/>
      <c r="AF2684" s="166"/>
      <c r="AG2684" s="166"/>
      <c r="AH2684" s="166"/>
      <c r="AI2684" s="166"/>
    </row>
    <row r="2685" spans="7:35" x14ac:dyDescent="0.25">
      <c r="G2685" s="165"/>
      <c r="H2685" s="166"/>
      <c r="I2685" s="167"/>
      <c r="J2685" s="167"/>
      <c r="K2685" s="166"/>
      <c r="L2685" s="166"/>
      <c r="M2685" s="166"/>
      <c r="N2685" s="166"/>
      <c r="O2685" s="166"/>
      <c r="P2685" s="166"/>
      <c r="Q2685" s="166"/>
      <c r="R2685" s="166"/>
      <c r="S2685" s="166"/>
      <c r="T2685" s="166"/>
      <c r="U2685" s="166"/>
      <c r="V2685" s="166"/>
      <c r="W2685" s="166"/>
      <c r="X2685" s="166"/>
      <c r="Y2685" s="166"/>
      <c r="Z2685" s="166"/>
      <c r="AA2685" s="166"/>
      <c r="AB2685" s="166"/>
      <c r="AC2685" s="166"/>
      <c r="AD2685" s="166"/>
      <c r="AE2685" s="166"/>
      <c r="AF2685" s="166"/>
      <c r="AG2685" s="166"/>
      <c r="AH2685" s="166"/>
      <c r="AI2685" s="166"/>
    </row>
    <row r="2686" spans="7:35" x14ac:dyDescent="0.25">
      <c r="G2686" s="165"/>
      <c r="H2686" s="166"/>
      <c r="I2686" s="167"/>
      <c r="J2686" s="167"/>
      <c r="K2686" s="166"/>
      <c r="L2686" s="166"/>
      <c r="M2686" s="166"/>
      <c r="N2686" s="166"/>
      <c r="O2686" s="166"/>
      <c r="P2686" s="166"/>
      <c r="Q2686" s="166"/>
      <c r="R2686" s="166"/>
      <c r="S2686" s="166"/>
      <c r="T2686" s="166"/>
      <c r="U2686" s="166"/>
      <c r="V2686" s="166"/>
      <c r="W2686" s="166"/>
      <c r="X2686" s="166"/>
      <c r="Y2686" s="166"/>
      <c r="Z2686" s="166"/>
      <c r="AA2686" s="166"/>
      <c r="AB2686" s="166"/>
      <c r="AC2686" s="166"/>
      <c r="AD2686" s="166"/>
      <c r="AE2686" s="166"/>
      <c r="AF2686" s="166"/>
      <c r="AG2686" s="166"/>
      <c r="AH2686" s="166"/>
      <c r="AI2686" s="166"/>
    </row>
    <row r="2687" spans="7:35" x14ac:dyDescent="0.25">
      <c r="G2687" s="165"/>
      <c r="H2687" s="166"/>
      <c r="I2687" s="167"/>
      <c r="J2687" s="167"/>
      <c r="K2687" s="166"/>
      <c r="L2687" s="166"/>
      <c r="M2687" s="166"/>
      <c r="N2687" s="166"/>
      <c r="O2687" s="166"/>
      <c r="P2687" s="166"/>
      <c r="Q2687" s="166"/>
      <c r="R2687" s="166"/>
      <c r="S2687" s="166"/>
      <c r="T2687" s="166"/>
      <c r="U2687" s="166"/>
      <c r="V2687" s="166"/>
      <c r="W2687" s="166"/>
      <c r="X2687" s="166"/>
      <c r="Y2687" s="166"/>
      <c r="Z2687" s="166"/>
      <c r="AA2687" s="166"/>
      <c r="AB2687" s="166"/>
      <c r="AC2687" s="166"/>
      <c r="AD2687" s="166"/>
      <c r="AE2687" s="166"/>
      <c r="AF2687" s="166"/>
      <c r="AG2687" s="166"/>
      <c r="AH2687" s="166"/>
      <c r="AI2687" s="166"/>
    </row>
    <row r="2688" spans="7:35" x14ac:dyDescent="0.25">
      <c r="G2688" s="165"/>
      <c r="H2688" s="166"/>
      <c r="I2688" s="167"/>
      <c r="J2688" s="167"/>
      <c r="K2688" s="166"/>
      <c r="L2688" s="166"/>
      <c r="M2688" s="166"/>
      <c r="N2688" s="166"/>
      <c r="O2688" s="166"/>
      <c r="P2688" s="166"/>
      <c r="Q2688" s="166"/>
      <c r="R2688" s="166"/>
      <c r="S2688" s="166"/>
      <c r="T2688" s="166"/>
      <c r="U2688" s="166"/>
      <c r="V2688" s="166"/>
      <c r="W2688" s="166"/>
      <c r="X2688" s="166"/>
      <c r="Y2688" s="166"/>
      <c r="Z2688" s="166"/>
      <c r="AA2688" s="166"/>
      <c r="AB2688" s="166"/>
      <c r="AC2688" s="166"/>
      <c r="AD2688" s="166"/>
      <c r="AE2688" s="166"/>
      <c r="AF2688" s="166"/>
      <c r="AG2688" s="166"/>
      <c r="AH2688" s="166"/>
      <c r="AI2688" s="166"/>
    </row>
    <row r="2689" spans="7:35" x14ac:dyDescent="0.25">
      <c r="G2689" s="165"/>
      <c r="H2689" s="166"/>
      <c r="I2689" s="167"/>
      <c r="J2689" s="167"/>
      <c r="K2689" s="166"/>
      <c r="L2689" s="166"/>
      <c r="M2689" s="166"/>
      <c r="N2689" s="166"/>
      <c r="O2689" s="166"/>
      <c r="P2689" s="166"/>
      <c r="Q2689" s="166"/>
      <c r="R2689" s="166"/>
      <c r="S2689" s="166"/>
      <c r="T2689" s="166"/>
      <c r="U2689" s="166"/>
      <c r="V2689" s="166"/>
      <c r="W2689" s="166"/>
      <c r="X2689" s="166"/>
      <c r="Y2689" s="166"/>
      <c r="Z2689" s="166"/>
      <c r="AA2689" s="166"/>
      <c r="AB2689" s="166"/>
      <c r="AC2689" s="166"/>
      <c r="AD2689" s="166"/>
      <c r="AE2689" s="166"/>
      <c r="AF2689" s="166"/>
      <c r="AG2689" s="166"/>
      <c r="AH2689" s="166"/>
      <c r="AI2689" s="166"/>
    </row>
    <row r="2690" spans="7:35" x14ac:dyDescent="0.25">
      <c r="G2690" s="165"/>
      <c r="H2690" s="166"/>
      <c r="I2690" s="167"/>
      <c r="J2690" s="167"/>
      <c r="K2690" s="166"/>
      <c r="L2690" s="166"/>
      <c r="M2690" s="166"/>
      <c r="N2690" s="166"/>
      <c r="O2690" s="166"/>
      <c r="P2690" s="166"/>
      <c r="Q2690" s="166"/>
      <c r="R2690" s="166"/>
      <c r="S2690" s="166"/>
      <c r="T2690" s="166"/>
      <c r="U2690" s="166"/>
      <c r="V2690" s="166"/>
      <c r="W2690" s="166"/>
      <c r="X2690" s="166"/>
      <c r="Y2690" s="166"/>
      <c r="Z2690" s="166"/>
      <c r="AA2690" s="166"/>
      <c r="AB2690" s="166"/>
      <c r="AC2690" s="166"/>
      <c r="AD2690" s="166"/>
      <c r="AE2690" s="166"/>
      <c r="AF2690" s="166"/>
      <c r="AG2690" s="166"/>
      <c r="AH2690" s="166"/>
      <c r="AI2690" s="166"/>
    </row>
    <row r="2691" spans="7:35" x14ac:dyDescent="0.25">
      <c r="G2691" s="165"/>
      <c r="H2691" s="166"/>
      <c r="I2691" s="167"/>
      <c r="J2691" s="167"/>
      <c r="K2691" s="166"/>
      <c r="L2691" s="166"/>
      <c r="M2691" s="166"/>
      <c r="N2691" s="166"/>
      <c r="O2691" s="166"/>
      <c r="P2691" s="166"/>
      <c r="Q2691" s="166"/>
      <c r="R2691" s="166"/>
      <c r="S2691" s="166"/>
      <c r="T2691" s="166"/>
      <c r="U2691" s="166"/>
      <c r="V2691" s="166"/>
      <c r="W2691" s="166"/>
      <c r="X2691" s="166"/>
      <c r="Y2691" s="166"/>
      <c r="Z2691" s="166"/>
      <c r="AA2691" s="166"/>
      <c r="AB2691" s="166"/>
      <c r="AC2691" s="166"/>
      <c r="AD2691" s="166"/>
      <c r="AE2691" s="166"/>
      <c r="AF2691" s="166"/>
      <c r="AG2691" s="166"/>
      <c r="AH2691" s="166"/>
      <c r="AI2691" s="166"/>
    </row>
    <row r="2692" spans="7:35" x14ac:dyDescent="0.25">
      <c r="G2692" s="165"/>
      <c r="H2692" s="166"/>
      <c r="I2692" s="167"/>
      <c r="J2692" s="167"/>
      <c r="K2692" s="166"/>
      <c r="L2692" s="166"/>
      <c r="M2692" s="166"/>
      <c r="N2692" s="166"/>
      <c r="O2692" s="166"/>
      <c r="P2692" s="166"/>
      <c r="Q2692" s="166"/>
      <c r="R2692" s="166"/>
      <c r="S2692" s="166"/>
      <c r="T2692" s="166"/>
      <c r="U2692" s="166"/>
      <c r="V2692" s="166"/>
      <c r="W2692" s="166"/>
      <c r="X2692" s="166"/>
      <c r="Y2692" s="166"/>
      <c r="Z2692" s="166"/>
      <c r="AA2692" s="166"/>
      <c r="AB2692" s="166"/>
      <c r="AC2692" s="166"/>
      <c r="AD2692" s="166"/>
      <c r="AE2692" s="166"/>
      <c r="AF2692" s="166"/>
      <c r="AG2692" s="166"/>
      <c r="AH2692" s="166"/>
      <c r="AI2692" s="166"/>
    </row>
    <row r="2693" spans="7:35" x14ac:dyDescent="0.25">
      <c r="G2693" s="165"/>
      <c r="H2693" s="166"/>
      <c r="I2693" s="167"/>
      <c r="J2693" s="167"/>
      <c r="K2693" s="166"/>
      <c r="L2693" s="166"/>
      <c r="M2693" s="166"/>
      <c r="N2693" s="166"/>
      <c r="O2693" s="166"/>
      <c r="P2693" s="166"/>
      <c r="Q2693" s="166"/>
      <c r="R2693" s="166"/>
      <c r="S2693" s="166"/>
      <c r="T2693" s="166"/>
      <c r="U2693" s="166"/>
      <c r="V2693" s="166"/>
      <c r="W2693" s="166"/>
      <c r="X2693" s="166"/>
      <c r="Y2693" s="166"/>
      <c r="Z2693" s="166"/>
      <c r="AA2693" s="166"/>
      <c r="AB2693" s="166"/>
      <c r="AC2693" s="166"/>
      <c r="AD2693" s="166"/>
      <c r="AE2693" s="166"/>
      <c r="AF2693" s="166"/>
      <c r="AG2693" s="166"/>
      <c r="AH2693" s="166"/>
      <c r="AI2693" s="166"/>
    </row>
    <row r="2694" spans="7:35" x14ac:dyDescent="0.25">
      <c r="G2694" s="165"/>
      <c r="H2694" s="166"/>
      <c r="I2694" s="167"/>
      <c r="J2694" s="167"/>
      <c r="K2694" s="166"/>
      <c r="L2694" s="166"/>
      <c r="M2694" s="166"/>
      <c r="N2694" s="166"/>
      <c r="O2694" s="166"/>
      <c r="P2694" s="166"/>
      <c r="Q2694" s="166"/>
      <c r="R2694" s="166"/>
      <c r="S2694" s="166"/>
      <c r="T2694" s="166"/>
      <c r="U2694" s="166"/>
      <c r="V2694" s="166"/>
      <c r="W2694" s="166"/>
      <c r="X2694" s="166"/>
      <c r="Y2694" s="166"/>
      <c r="Z2694" s="166"/>
      <c r="AA2694" s="166"/>
      <c r="AB2694" s="166"/>
      <c r="AC2694" s="166"/>
      <c r="AD2694" s="166"/>
      <c r="AE2694" s="166"/>
      <c r="AF2694" s="166"/>
      <c r="AG2694" s="166"/>
      <c r="AH2694" s="166"/>
      <c r="AI2694" s="166"/>
    </row>
    <row r="2695" spans="7:35" x14ac:dyDescent="0.25">
      <c r="G2695" s="165"/>
      <c r="H2695" s="166"/>
      <c r="I2695" s="167"/>
      <c r="J2695" s="167"/>
      <c r="K2695" s="166"/>
      <c r="L2695" s="166"/>
      <c r="M2695" s="166"/>
      <c r="N2695" s="166"/>
      <c r="O2695" s="166"/>
      <c r="P2695" s="166"/>
      <c r="Q2695" s="166"/>
      <c r="R2695" s="166"/>
      <c r="S2695" s="166"/>
      <c r="T2695" s="166"/>
      <c r="U2695" s="166"/>
      <c r="V2695" s="166"/>
      <c r="W2695" s="166"/>
      <c r="X2695" s="166"/>
      <c r="Y2695" s="166"/>
      <c r="Z2695" s="166"/>
      <c r="AA2695" s="166"/>
      <c r="AB2695" s="166"/>
      <c r="AC2695" s="166"/>
      <c r="AD2695" s="166"/>
      <c r="AE2695" s="166"/>
      <c r="AF2695" s="166"/>
      <c r="AG2695" s="166"/>
      <c r="AH2695" s="166"/>
      <c r="AI2695" s="166"/>
    </row>
    <row r="2696" spans="7:35" x14ac:dyDescent="0.25">
      <c r="G2696" s="165"/>
      <c r="H2696" s="166"/>
      <c r="I2696" s="167"/>
      <c r="J2696" s="167"/>
      <c r="K2696" s="166"/>
      <c r="L2696" s="166"/>
      <c r="M2696" s="166"/>
      <c r="N2696" s="166"/>
      <c r="O2696" s="166"/>
      <c r="P2696" s="166"/>
      <c r="Q2696" s="166"/>
      <c r="R2696" s="166"/>
      <c r="S2696" s="166"/>
      <c r="T2696" s="166"/>
      <c r="U2696" s="166"/>
      <c r="V2696" s="166"/>
      <c r="W2696" s="166"/>
      <c r="X2696" s="166"/>
      <c r="Y2696" s="166"/>
      <c r="Z2696" s="166"/>
      <c r="AA2696" s="166"/>
      <c r="AB2696" s="166"/>
      <c r="AC2696" s="166"/>
      <c r="AD2696" s="166"/>
      <c r="AE2696" s="166"/>
      <c r="AF2696" s="166"/>
      <c r="AG2696" s="166"/>
      <c r="AH2696" s="166"/>
      <c r="AI2696" s="166"/>
    </row>
    <row r="2697" spans="7:35" x14ac:dyDescent="0.25">
      <c r="G2697" s="165"/>
      <c r="H2697" s="166"/>
      <c r="I2697" s="167"/>
      <c r="J2697" s="167"/>
      <c r="K2697" s="166"/>
      <c r="L2697" s="166"/>
      <c r="M2697" s="166"/>
      <c r="N2697" s="166"/>
      <c r="O2697" s="166"/>
      <c r="P2697" s="166"/>
      <c r="Q2697" s="166"/>
      <c r="R2697" s="166"/>
      <c r="S2697" s="166"/>
      <c r="T2697" s="166"/>
      <c r="U2697" s="166"/>
      <c r="V2697" s="166"/>
      <c r="W2697" s="166"/>
      <c r="X2697" s="166"/>
      <c r="Y2697" s="166"/>
      <c r="Z2697" s="166"/>
      <c r="AA2697" s="166"/>
      <c r="AB2697" s="166"/>
      <c r="AC2697" s="166"/>
      <c r="AD2697" s="166"/>
      <c r="AE2697" s="166"/>
      <c r="AF2697" s="166"/>
      <c r="AG2697" s="166"/>
      <c r="AH2697" s="166"/>
      <c r="AI2697" s="166"/>
    </row>
    <row r="2698" spans="7:35" x14ac:dyDescent="0.25">
      <c r="G2698" s="165"/>
      <c r="H2698" s="166"/>
      <c r="I2698" s="167"/>
      <c r="J2698" s="167"/>
      <c r="K2698" s="166"/>
      <c r="L2698" s="166"/>
      <c r="M2698" s="166"/>
      <c r="N2698" s="166"/>
      <c r="O2698" s="166"/>
      <c r="P2698" s="166"/>
      <c r="Q2698" s="166"/>
      <c r="R2698" s="166"/>
      <c r="S2698" s="166"/>
      <c r="T2698" s="166"/>
      <c r="U2698" s="166"/>
      <c r="V2698" s="166"/>
      <c r="W2698" s="166"/>
      <c r="X2698" s="166"/>
      <c r="Y2698" s="166"/>
      <c r="Z2698" s="166"/>
      <c r="AA2698" s="166"/>
      <c r="AB2698" s="166"/>
      <c r="AC2698" s="166"/>
      <c r="AD2698" s="166"/>
      <c r="AE2698" s="166"/>
      <c r="AF2698" s="166"/>
      <c r="AG2698" s="166"/>
      <c r="AH2698" s="166"/>
      <c r="AI2698" s="166"/>
    </row>
    <row r="2699" spans="7:35" x14ac:dyDescent="0.25">
      <c r="G2699" s="165"/>
      <c r="H2699" s="166"/>
      <c r="I2699" s="167"/>
      <c r="J2699" s="167"/>
      <c r="K2699" s="166"/>
      <c r="L2699" s="166"/>
      <c r="M2699" s="166"/>
      <c r="N2699" s="166"/>
      <c r="O2699" s="166"/>
      <c r="P2699" s="166"/>
      <c r="Q2699" s="166"/>
      <c r="R2699" s="166"/>
      <c r="S2699" s="166"/>
      <c r="T2699" s="166"/>
      <c r="U2699" s="166"/>
      <c r="V2699" s="166"/>
      <c r="W2699" s="166"/>
      <c r="X2699" s="166"/>
      <c r="Y2699" s="166"/>
      <c r="Z2699" s="166"/>
      <c r="AA2699" s="166"/>
      <c r="AB2699" s="166"/>
      <c r="AC2699" s="166"/>
      <c r="AD2699" s="166"/>
      <c r="AE2699" s="166"/>
      <c r="AF2699" s="166"/>
      <c r="AG2699" s="166"/>
      <c r="AH2699" s="166"/>
      <c r="AI2699" s="166"/>
    </row>
    <row r="2700" spans="7:35" x14ac:dyDescent="0.25">
      <c r="G2700" s="165"/>
      <c r="H2700" s="166"/>
      <c r="I2700" s="167"/>
      <c r="J2700" s="167"/>
      <c r="K2700" s="166"/>
      <c r="L2700" s="166"/>
      <c r="M2700" s="166"/>
      <c r="N2700" s="166"/>
      <c r="O2700" s="166"/>
      <c r="P2700" s="166"/>
      <c r="Q2700" s="166"/>
      <c r="R2700" s="166"/>
      <c r="S2700" s="166"/>
      <c r="T2700" s="166"/>
      <c r="U2700" s="166"/>
      <c r="V2700" s="166"/>
      <c r="W2700" s="166"/>
      <c r="X2700" s="166"/>
      <c r="Y2700" s="166"/>
      <c r="Z2700" s="166"/>
      <c r="AA2700" s="166"/>
      <c r="AB2700" s="166"/>
      <c r="AC2700" s="166"/>
      <c r="AD2700" s="166"/>
      <c r="AE2700" s="166"/>
      <c r="AF2700" s="166"/>
      <c r="AG2700" s="166"/>
      <c r="AH2700" s="166"/>
      <c r="AI2700" s="166"/>
    </row>
    <row r="2701" spans="7:35" x14ac:dyDescent="0.25">
      <c r="G2701" s="165"/>
      <c r="H2701" s="166"/>
      <c r="I2701" s="167"/>
      <c r="J2701" s="167"/>
      <c r="K2701" s="166"/>
      <c r="L2701" s="166"/>
      <c r="M2701" s="166"/>
      <c r="N2701" s="166"/>
      <c r="O2701" s="166"/>
      <c r="P2701" s="166"/>
      <c r="Q2701" s="166"/>
      <c r="R2701" s="166"/>
      <c r="S2701" s="166"/>
      <c r="T2701" s="166"/>
      <c r="U2701" s="166"/>
      <c r="V2701" s="166"/>
      <c r="W2701" s="166"/>
      <c r="X2701" s="166"/>
      <c r="Y2701" s="166"/>
      <c r="Z2701" s="166"/>
      <c r="AA2701" s="166"/>
      <c r="AB2701" s="166"/>
      <c r="AC2701" s="166"/>
      <c r="AD2701" s="166"/>
      <c r="AE2701" s="166"/>
      <c r="AF2701" s="166"/>
      <c r="AG2701" s="166"/>
      <c r="AH2701" s="166"/>
      <c r="AI2701" s="166"/>
    </row>
    <row r="2702" spans="7:35" x14ac:dyDescent="0.25">
      <c r="G2702" s="165"/>
      <c r="H2702" s="166"/>
      <c r="I2702" s="167"/>
      <c r="J2702" s="167"/>
      <c r="K2702" s="166"/>
      <c r="L2702" s="166"/>
      <c r="M2702" s="166"/>
      <c r="N2702" s="166"/>
      <c r="O2702" s="166"/>
      <c r="P2702" s="166"/>
      <c r="Q2702" s="166"/>
      <c r="R2702" s="166"/>
      <c r="S2702" s="166"/>
      <c r="T2702" s="166"/>
      <c r="U2702" s="166"/>
      <c r="V2702" s="166"/>
      <c r="W2702" s="166"/>
      <c r="X2702" s="166"/>
      <c r="Y2702" s="166"/>
      <c r="Z2702" s="166"/>
      <c r="AA2702" s="166"/>
      <c r="AB2702" s="166"/>
      <c r="AC2702" s="166"/>
      <c r="AD2702" s="166"/>
      <c r="AE2702" s="166"/>
      <c r="AF2702" s="166"/>
      <c r="AG2702" s="166"/>
      <c r="AH2702" s="166"/>
      <c r="AI2702" s="166"/>
    </row>
    <row r="2703" spans="7:35" x14ac:dyDescent="0.25">
      <c r="G2703" s="165"/>
      <c r="H2703" s="166"/>
      <c r="I2703" s="167"/>
      <c r="J2703" s="167"/>
      <c r="K2703" s="166"/>
      <c r="L2703" s="166"/>
      <c r="M2703" s="166"/>
      <c r="N2703" s="166"/>
      <c r="O2703" s="166"/>
      <c r="P2703" s="166"/>
      <c r="Q2703" s="166"/>
      <c r="R2703" s="166"/>
      <c r="S2703" s="166"/>
      <c r="T2703" s="166"/>
      <c r="U2703" s="166"/>
      <c r="V2703" s="166"/>
      <c r="W2703" s="166"/>
      <c r="X2703" s="166"/>
      <c r="Y2703" s="166"/>
      <c r="Z2703" s="166"/>
      <c r="AA2703" s="166"/>
      <c r="AB2703" s="166"/>
      <c r="AC2703" s="166"/>
      <c r="AD2703" s="166"/>
      <c r="AE2703" s="166"/>
      <c r="AF2703" s="166"/>
      <c r="AG2703" s="166"/>
      <c r="AH2703" s="166"/>
      <c r="AI2703" s="166"/>
    </row>
    <row r="2704" spans="7:35" x14ac:dyDescent="0.25">
      <c r="G2704" s="165"/>
      <c r="H2704" s="166"/>
      <c r="I2704" s="167"/>
      <c r="J2704" s="167"/>
      <c r="K2704" s="166"/>
      <c r="L2704" s="166"/>
      <c r="M2704" s="166"/>
      <c r="N2704" s="166"/>
      <c r="O2704" s="166"/>
      <c r="P2704" s="166"/>
      <c r="Q2704" s="166"/>
      <c r="R2704" s="166"/>
      <c r="S2704" s="166"/>
      <c r="T2704" s="166"/>
      <c r="U2704" s="166"/>
      <c r="V2704" s="166"/>
      <c r="W2704" s="166"/>
      <c r="X2704" s="166"/>
      <c r="Y2704" s="166"/>
      <c r="Z2704" s="166"/>
      <c r="AA2704" s="166"/>
      <c r="AB2704" s="166"/>
      <c r="AC2704" s="166"/>
      <c r="AD2704" s="166"/>
      <c r="AE2704" s="166"/>
      <c r="AF2704" s="166"/>
      <c r="AG2704" s="166"/>
      <c r="AH2704" s="166"/>
      <c r="AI2704" s="166"/>
    </row>
    <row r="2705" spans="7:35" x14ac:dyDescent="0.25">
      <c r="G2705" s="165"/>
      <c r="H2705" s="166"/>
      <c r="I2705" s="167"/>
      <c r="J2705" s="167"/>
      <c r="K2705" s="166"/>
      <c r="L2705" s="166"/>
      <c r="M2705" s="166"/>
      <c r="N2705" s="166"/>
      <c r="O2705" s="166"/>
      <c r="P2705" s="166"/>
      <c r="Q2705" s="166"/>
      <c r="R2705" s="166"/>
      <c r="S2705" s="166"/>
      <c r="T2705" s="166"/>
      <c r="U2705" s="166"/>
      <c r="V2705" s="166"/>
      <c r="W2705" s="166"/>
      <c r="X2705" s="166"/>
      <c r="Y2705" s="166"/>
      <c r="Z2705" s="166"/>
      <c r="AA2705" s="166"/>
      <c r="AB2705" s="166"/>
      <c r="AC2705" s="166"/>
      <c r="AD2705" s="166"/>
      <c r="AE2705" s="166"/>
      <c r="AF2705" s="166"/>
      <c r="AG2705" s="166"/>
      <c r="AH2705" s="166"/>
      <c r="AI2705" s="166"/>
    </row>
    <row r="2706" spans="7:35" x14ac:dyDescent="0.25">
      <c r="G2706" s="165"/>
      <c r="H2706" s="166"/>
      <c r="I2706" s="167"/>
      <c r="J2706" s="167"/>
      <c r="K2706" s="166"/>
      <c r="L2706" s="166"/>
      <c r="M2706" s="166"/>
      <c r="N2706" s="166"/>
      <c r="O2706" s="166"/>
      <c r="P2706" s="166"/>
      <c r="Q2706" s="166"/>
      <c r="R2706" s="166"/>
      <c r="S2706" s="166"/>
      <c r="T2706" s="166"/>
      <c r="U2706" s="166"/>
      <c r="V2706" s="166"/>
      <c r="W2706" s="166"/>
      <c r="X2706" s="166"/>
      <c r="Y2706" s="166"/>
      <c r="Z2706" s="166"/>
      <c r="AA2706" s="166"/>
      <c r="AB2706" s="166"/>
      <c r="AC2706" s="166"/>
      <c r="AD2706" s="166"/>
      <c r="AE2706" s="166"/>
      <c r="AF2706" s="166"/>
      <c r="AG2706" s="166"/>
      <c r="AH2706" s="166"/>
      <c r="AI2706" s="166"/>
    </row>
    <row r="2707" spans="7:35" x14ac:dyDescent="0.25">
      <c r="G2707" s="165"/>
      <c r="H2707" s="166"/>
      <c r="I2707" s="167"/>
      <c r="J2707" s="167"/>
      <c r="K2707" s="166"/>
      <c r="L2707" s="166"/>
      <c r="M2707" s="166"/>
      <c r="N2707" s="166"/>
      <c r="O2707" s="166"/>
      <c r="P2707" s="166"/>
      <c r="Q2707" s="166"/>
      <c r="R2707" s="166"/>
      <c r="S2707" s="166"/>
      <c r="T2707" s="166"/>
      <c r="U2707" s="166"/>
      <c r="V2707" s="166"/>
      <c r="W2707" s="166"/>
      <c r="X2707" s="166"/>
      <c r="Y2707" s="166"/>
      <c r="Z2707" s="166"/>
      <c r="AA2707" s="166"/>
      <c r="AB2707" s="166"/>
      <c r="AC2707" s="166"/>
      <c r="AD2707" s="166"/>
      <c r="AE2707" s="166"/>
      <c r="AF2707" s="166"/>
      <c r="AG2707" s="166"/>
      <c r="AH2707" s="166"/>
      <c r="AI2707" s="166"/>
    </row>
    <row r="2708" spans="7:35" x14ac:dyDescent="0.25">
      <c r="G2708" s="165"/>
      <c r="H2708" s="166"/>
      <c r="I2708" s="167"/>
      <c r="J2708" s="167"/>
      <c r="K2708" s="166"/>
      <c r="L2708" s="166"/>
      <c r="M2708" s="166"/>
      <c r="N2708" s="166"/>
      <c r="O2708" s="166"/>
      <c r="P2708" s="166"/>
      <c r="Q2708" s="166"/>
      <c r="R2708" s="166"/>
      <c r="S2708" s="166"/>
      <c r="T2708" s="166"/>
      <c r="U2708" s="166"/>
      <c r="V2708" s="166"/>
      <c r="W2708" s="166"/>
      <c r="X2708" s="166"/>
      <c r="Y2708" s="166"/>
      <c r="Z2708" s="166"/>
      <c r="AA2708" s="166"/>
      <c r="AB2708" s="166"/>
      <c r="AC2708" s="166"/>
      <c r="AD2708" s="166"/>
      <c r="AE2708" s="166"/>
      <c r="AF2708" s="166"/>
      <c r="AG2708" s="166"/>
      <c r="AH2708" s="166"/>
      <c r="AI2708" s="166"/>
    </row>
    <row r="2709" spans="7:35" x14ac:dyDescent="0.25">
      <c r="G2709" s="165"/>
      <c r="H2709" s="166"/>
      <c r="I2709" s="167"/>
      <c r="J2709" s="167"/>
      <c r="K2709" s="166"/>
      <c r="L2709" s="166"/>
      <c r="M2709" s="166"/>
      <c r="N2709" s="166"/>
      <c r="O2709" s="166"/>
      <c r="P2709" s="166"/>
      <c r="Q2709" s="166"/>
      <c r="R2709" s="166"/>
      <c r="S2709" s="166"/>
      <c r="T2709" s="166"/>
      <c r="U2709" s="166"/>
      <c r="V2709" s="166"/>
      <c r="W2709" s="166"/>
      <c r="X2709" s="166"/>
      <c r="Y2709" s="166"/>
      <c r="Z2709" s="166"/>
      <c r="AA2709" s="166"/>
      <c r="AB2709" s="166"/>
      <c r="AC2709" s="166"/>
      <c r="AD2709" s="166"/>
      <c r="AE2709" s="166"/>
      <c r="AF2709" s="166"/>
      <c r="AG2709" s="166"/>
      <c r="AH2709" s="166"/>
      <c r="AI2709" s="166"/>
    </row>
    <row r="2710" spans="7:35" x14ac:dyDescent="0.25">
      <c r="G2710" s="165"/>
      <c r="H2710" s="166"/>
      <c r="I2710" s="167"/>
      <c r="J2710" s="167"/>
      <c r="K2710" s="166"/>
      <c r="L2710" s="166"/>
      <c r="M2710" s="166"/>
      <c r="N2710" s="166"/>
      <c r="O2710" s="166"/>
      <c r="P2710" s="166"/>
      <c r="Q2710" s="166"/>
      <c r="R2710" s="166"/>
      <c r="S2710" s="166"/>
      <c r="T2710" s="166"/>
      <c r="U2710" s="166"/>
      <c r="V2710" s="166"/>
      <c r="W2710" s="166"/>
      <c r="X2710" s="166"/>
      <c r="Y2710" s="166"/>
      <c r="Z2710" s="166"/>
      <c r="AA2710" s="166"/>
      <c r="AB2710" s="166"/>
      <c r="AC2710" s="166"/>
      <c r="AD2710" s="166"/>
      <c r="AE2710" s="166"/>
      <c r="AF2710" s="166"/>
      <c r="AG2710" s="166"/>
      <c r="AH2710" s="166"/>
      <c r="AI2710" s="166"/>
    </row>
    <row r="2711" spans="7:35" x14ac:dyDescent="0.25">
      <c r="G2711" s="165"/>
      <c r="H2711" s="166"/>
      <c r="I2711" s="167"/>
      <c r="J2711" s="167"/>
      <c r="K2711" s="166"/>
      <c r="L2711" s="166"/>
      <c r="M2711" s="166"/>
      <c r="N2711" s="166"/>
      <c r="O2711" s="166"/>
      <c r="P2711" s="166"/>
      <c r="Q2711" s="166"/>
      <c r="R2711" s="166"/>
      <c r="S2711" s="166"/>
      <c r="T2711" s="166"/>
      <c r="U2711" s="166"/>
      <c r="V2711" s="166"/>
      <c r="W2711" s="166"/>
      <c r="X2711" s="166"/>
      <c r="Y2711" s="166"/>
      <c r="Z2711" s="166"/>
      <c r="AA2711" s="166"/>
      <c r="AB2711" s="166"/>
      <c r="AC2711" s="166"/>
      <c r="AD2711" s="166"/>
      <c r="AE2711" s="166"/>
      <c r="AF2711" s="166"/>
      <c r="AG2711" s="166"/>
      <c r="AH2711" s="166"/>
      <c r="AI2711" s="166"/>
    </row>
    <row r="2712" spans="7:35" x14ac:dyDescent="0.25">
      <c r="G2712" s="165"/>
      <c r="H2712" s="166"/>
      <c r="I2712" s="167"/>
      <c r="J2712" s="167"/>
      <c r="K2712" s="166"/>
      <c r="L2712" s="166"/>
      <c r="M2712" s="166"/>
      <c r="N2712" s="166"/>
      <c r="O2712" s="166"/>
      <c r="P2712" s="166"/>
      <c r="Q2712" s="166"/>
      <c r="R2712" s="166"/>
      <c r="S2712" s="166"/>
      <c r="T2712" s="166"/>
      <c r="U2712" s="166"/>
      <c r="V2712" s="166"/>
      <c r="W2712" s="166"/>
      <c r="X2712" s="166"/>
      <c r="Y2712" s="166"/>
      <c r="Z2712" s="166"/>
      <c r="AA2712" s="166"/>
      <c r="AB2712" s="166"/>
      <c r="AC2712" s="166"/>
      <c r="AD2712" s="166"/>
      <c r="AE2712" s="166"/>
      <c r="AF2712" s="166"/>
      <c r="AG2712" s="166"/>
      <c r="AH2712" s="166"/>
      <c r="AI2712" s="166"/>
    </row>
    <row r="2713" spans="7:35" x14ac:dyDescent="0.25">
      <c r="G2713" s="165"/>
      <c r="H2713" s="166"/>
      <c r="I2713" s="167"/>
      <c r="J2713" s="167"/>
      <c r="K2713" s="166"/>
      <c r="L2713" s="166"/>
      <c r="M2713" s="166"/>
      <c r="N2713" s="166"/>
      <c r="O2713" s="166"/>
      <c r="P2713" s="166"/>
      <c r="Q2713" s="166"/>
      <c r="R2713" s="166"/>
      <c r="S2713" s="166"/>
      <c r="T2713" s="166"/>
      <c r="U2713" s="166"/>
      <c r="V2713" s="166"/>
      <c r="W2713" s="166"/>
      <c r="X2713" s="166"/>
      <c r="Y2713" s="166"/>
      <c r="Z2713" s="166"/>
      <c r="AA2713" s="166"/>
      <c r="AB2713" s="166"/>
      <c r="AC2713" s="166"/>
      <c r="AD2713" s="166"/>
      <c r="AE2713" s="166"/>
      <c r="AF2713" s="166"/>
      <c r="AG2713" s="166"/>
      <c r="AH2713" s="166"/>
      <c r="AI2713" s="166"/>
    </row>
    <row r="2714" spans="7:35" x14ac:dyDescent="0.25">
      <c r="G2714" s="165"/>
      <c r="H2714" s="166"/>
      <c r="I2714" s="167"/>
      <c r="J2714" s="167"/>
      <c r="K2714" s="166"/>
      <c r="L2714" s="166"/>
      <c r="M2714" s="166"/>
      <c r="N2714" s="166"/>
      <c r="O2714" s="166"/>
      <c r="P2714" s="166"/>
      <c r="Q2714" s="166"/>
      <c r="R2714" s="166"/>
      <c r="S2714" s="166"/>
      <c r="T2714" s="166"/>
      <c r="U2714" s="166"/>
      <c r="V2714" s="166"/>
      <c r="W2714" s="166"/>
      <c r="X2714" s="166"/>
      <c r="Y2714" s="166"/>
      <c r="Z2714" s="166"/>
      <c r="AA2714" s="166"/>
      <c r="AB2714" s="166"/>
      <c r="AC2714" s="166"/>
      <c r="AD2714" s="166"/>
      <c r="AE2714" s="166"/>
      <c r="AF2714" s="166"/>
      <c r="AG2714" s="166"/>
      <c r="AH2714" s="166"/>
      <c r="AI2714" s="166"/>
    </row>
    <row r="2715" spans="7:35" x14ac:dyDescent="0.25">
      <c r="G2715" s="165"/>
      <c r="H2715" s="166"/>
      <c r="I2715" s="167"/>
      <c r="J2715" s="167"/>
      <c r="K2715" s="166"/>
      <c r="L2715" s="166"/>
      <c r="M2715" s="166"/>
      <c r="N2715" s="166"/>
      <c r="O2715" s="166"/>
      <c r="P2715" s="166"/>
      <c r="Q2715" s="166"/>
      <c r="R2715" s="166"/>
      <c r="S2715" s="166"/>
      <c r="T2715" s="166"/>
      <c r="U2715" s="166"/>
      <c r="V2715" s="166"/>
      <c r="W2715" s="166"/>
      <c r="X2715" s="166"/>
      <c r="Y2715" s="166"/>
      <c r="Z2715" s="166"/>
      <c r="AA2715" s="166"/>
      <c r="AB2715" s="166"/>
      <c r="AC2715" s="166"/>
      <c r="AD2715" s="166"/>
      <c r="AE2715" s="166"/>
      <c r="AF2715" s="166"/>
      <c r="AG2715" s="166"/>
      <c r="AH2715" s="166"/>
      <c r="AI2715" s="166"/>
    </row>
    <row r="2716" spans="7:35" x14ac:dyDescent="0.25">
      <c r="G2716" s="165"/>
      <c r="H2716" s="166"/>
      <c r="I2716" s="167"/>
      <c r="J2716" s="167"/>
      <c r="K2716" s="166"/>
      <c r="L2716" s="166"/>
      <c r="M2716" s="166"/>
      <c r="N2716" s="166"/>
      <c r="O2716" s="166"/>
      <c r="P2716" s="166"/>
      <c r="Q2716" s="166"/>
      <c r="R2716" s="166"/>
      <c r="S2716" s="166"/>
      <c r="T2716" s="166"/>
      <c r="U2716" s="166"/>
      <c r="V2716" s="166"/>
      <c r="W2716" s="166"/>
      <c r="X2716" s="166"/>
      <c r="Y2716" s="166"/>
      <c r="Z2716" s="166"/>
      <c r="AA2716" s="166"/>
      <c r="AB2716" s="166"/>
      <c r="AC2716" s="166"/>
      <c r="AD2716" s="166"/>
      <c r="AE2716" s="166"/>
      <c r="AF2716" s="166"/>
      <c r="AG2716" s="166"/>
      <c r="AH2716" s="166"/>
      <c r="AI2716" s="166"/>
    </row>
    <row r="2717" spans="7:35" x14ac:dyDescent="0.25">
      <c r="G2717" s="165"/>
      <c r="H2717" s="166"/>
      <c r="I2717" s="167"/>
      <c r="J2717" s="167"/>
      <c r="K2717" s="166"/>
      <c r="L2717" s="166"/>
      <c r="M2717" s="166"/>
      <c r="N2717" s="166"/>
      <c r="O2717" s="166"/>
      <c r="P2717" s="166"/>
      <c r="Q2717" s="166"/>
      <c r="R2717" s="166"/>
      <c r="S2717" s="166"/>
      <c r="T2717" s="166"/>
      <c r="U2717" s="166"/>
      <c r="V2717" s="166"/>
      <c r="W2717" s="166"/>
      <c r="X2717" s="166"/>
      <c r="Y2717" s="166"/>
      <c r="Z2717" s="166"/>
      <c r="AA2717" s="166"/>
      <c r="AB2717" s="166"/>
      <c r="AC2717" s="166"/>
      <c r="AD2717" s="166"/>
      <c r="AE2717" s="166"/>
      <c r="AF2717" s="166"/>
      <c r="AG2717" s="166"/>
      <c r="AH2717" s="166"/>
      <c r="AI2717" s="166"/>
    </row>
    <row r="2718" spans="7:35" x14ac:dyDescent="0.25">
      <c r="G2718" s="165"/>
      <c r="H2718" s="166"/>
      <c r="I2718" s="167"/>
      <c r="J2718" s="167"/>
      <c r="K2718" s="166"/>
      <c r="L2718" s="166"/>
      <c r="M2718" s="166"/>
      <c r="N2718" s="166"/>
      <c r="O2718" s="166"/>
      <c r="P2718" s="166"/>
      <c r="Q2718" s="166"/>
      <c r="R2718" s="166"/>
      <c r="S2718" s="166"/>
      <c r="T2718" s="166"/>
      <c r="U2718" s="166"/>
      <c r="V2718" s="166"/>
      <c r="W2718" s="166"/>
      <c r="X2718" s="166"/>
      <c r="Y2718" s="166"/>
      <c r="Z2718" s="166"/>
      <c r="AA2718" s="166"/>
      <c r="AB2718" s="166"/>
      <c r="AC2718" s="166"/>
      <c r="AD2718" s="166"/>
      <c r="AE2718" s="166"/>
      <c r="AF2718" s="166"/>
      <c r="AG2718" s="166"/>
      <c r="AH2718" s="166"/>
      <c r="AI2718" s="166"/>
    </row>
    <row r="2719" spans="7:35" x14ac:dyDescent="0.25">
      <c r="G2719" s="165"/>
      <c r="H2719" s="166"/>
      <c r="I2719" s="167"/>
      <c r="J2719" s="167"/>
      <c r="K2719" s="166"/>
      <c r="L2719" s="166"/>
      <c r="M2719" s="166"/>
      <c r="N2719" s="166"/>
      <c r="O2719" s="166"/>
      <c r="P2719" s="166"/>
      <c r="Q2719" s="166"/>
      <c r="R2719" s="166"/>
      <c r="S2719" s="166"/>
      <c r="T2719" s="166"/>
      <c r="U2719" s="166"/>
      <c r="V2719" s="166"/>
      <c r="W2719" s="166"/>
      <c r="X2719" s="166"/>
      <c r="Y2719" s="166"/>
      <c r="Z2719" s="166"/>
      <c r="AA2719" s="166"/>
      <c r="AB2719" s="166"/>
      <c r="AC2719" s="166"/>
      <c r="AD2719" s="166"/>
      <c r="AE2719" s="166"/>
      <c r="AF2719" s="166"/>
      <c r="AG2719" s="166"/>
      <c r="AH2719" s="166"/>
      <c r="AI2719" s="166"/>
    </row>
    <row r="2720" spans="7:35" x14ac:dyDescent="0.25">
      <c r="G2720" s="165"/>
      <c r="H2720" s="166"/>
      <c r="I2720" s="167"/>
      <c r="J2720" s="167"/>
      <c r="K2720" s="166"/>
      <c r="L2720" s="166"/>
      <c r="M2720" s="166"/>
      <c r="N2720" s="166"/>
      <c r="O2720" s="166"/>
      <c r="P2720" s="166"/>
      <c r="Q2720" s="166"/>
      <c r="R2720" s="166"/>
      <c r="S2720" s="166"/>
      <c r="T2720" s="166"/>
      <c r="U2720" s="166"/>
      <c r="V2720" s="166"/>
      <c r="W2720" s="166"/>
      <c r="X2720" s="166"/>
      <c r="Y2720" s="166"/>
      <c r="Z2720" s="166"/>
      <c r="AA2720" s="166"/>
      <c r="AB2720" s="166"/>
      <c r="AC2720" s="166"/>
      <c r="AD2720" s="166"/>
      <c r="AE2720" s="166"/>
      <c r="AF2720" s="166"/>
      <c r="AG2720" s="166"/>
      <c r="AH2720" s="166"/>
      <c r="AI2720" s="166"/>
    </row>
    <row r="2721" spans="7:35" x14ac:dyDescent="0.25">
      <c r="G2721" s="165"/>
      <c r="H2721" s="166"/>
      <c r="I2721" s="167"/>
      <c r="J2721" s="167"/>
      <c r="K2721" s="166"/>
      <c r="L2721" s="166"/>
      <c r="M2721" s="166"/>
      <c r="N2721" s="166"/>
      <c r="O2721" s="166"/>
      <c r="P2721" s="166"/>
      <c r="Q2721" s="166"/>
      <c r="R2721" s="166"/>
      <c r="S2721" s="166"/>
      <c r="T2721" s="166"/>
      <c r="U2721" s="166"/>
      <c r="V2721" s="166"/>
      <c r="W2721" s="166"/>
      <c r="X2721" s="166"/>
      <c r="Y2721" s="166"/>
      <c r="Z2721" s="166"/>
      <c r="AA2721" s="166"/>
      <c r="AB2721" s="166"/>
      <c r="AC2721" s="166"/>
      <c r="AD2721" s="166"/>
      <c r="AE2721" s="166"/>
      <c r="AF2721" s="166"/>
      <c r="AG2721" s="166"/>
      <c r="AH2721" s="166"/>
      <c r="AI2721" s="166"/>
    </row>
    <row r="2722" spans="7:35" x14ac:dyDescent="0.25">
      <c r="G2722" s="165"/>
      <c r="H2722" s="166"/>
      <c r="I2722" s="167"/>
      <c r="J2722" s="167"/>
      <c r="K2722" s="166"/>
      <c r="L2722" s="166"/>
      <c r="M2722" s="166"/>
      <c r="N2722" s="166"/>
      <c r="O2722" s="166"/>
      <c r="P2722" s="166"/>
      <c r="Q2722" s="166"/>
      <c r="R2722" s="166"/>
      <c r="S2722" s="166"/>
      <c r="T2722" s="166"/>
      <c r="U2722" s="166"/>
      <c r="V2722" s="166"/>
      <c r="W2722" s="166"/>
      <c r="X2722" s="166"/>
      <c r="Y2722" s="166"/>
      <c r="Z2722" s="166"/>
      <c r="AA2722" s="166"/>
      <c r="AB2722" s="166"/>
      <c r="AC2722" s="166"/>
      <c r="AD2722" s="166"/>
      <c r="AE2722" s="166"/>
      <c r="AF2722" s="166"/>
      <c r="AG2722" s="166"/>
      <c r="AH2722" s="166"/>
      <c r="AI2722" s="166"/>
    </row>
    <row r="2723" spans="7:35" x14ac:dyDescent="0.25">
      <c r="G2723" s="165"/>
      <c r="H2723" s="166"/>
      <c r="I2723" s="167"/>
      <c r="J2723" s="167"/>
      <c r="K2723" s="166"/>
      <c r="L2723" s="166"/>
      <c r="M2723" s="166"/>
      <c r="N2723" s="166"/>
      <c r="O2723" s="166"/>
      <c r="P2723" s="166"/>
      <c r="Q2723" s="166"/>
      <c r="R2723" s="166"/>
      <c r="S2723" s="166"/>
      <c r="T2723" s="166"/>
      <c r="U2723" s="166"/>
      <c r="V2723" s="166"/>
      <c r="W2723" s="166"/>
      <c r="X2723" s="166"/>
      <c r="Y2723" s="166"/>
      <c r="Z2723" s="166"/>
      <c r="AA2723" s="166"/>
      <c r="AB2723" s="166"/>
      <c r="AC2723" s="166"/>
      <c r="AD2723" s="166"/>
      <c r="AE2723" s="166"/>
      <c r="AF2723" s="166"/>
      <c r="AG2723" s="166"/>
      <c r="AH2723" s="166"/>
      <c r="AI2723" s="166"/>
    </row>
    <row r="2724" spans="7:35" x14ac:dyDescent="0.25">
      <c r="G2724" s="165"/>
      <c r="H2724" s="166"/>
      <c r="I2724" s="167"/>
      <c r="J2724" s="167"/>
      <c r="K2724" s="166"/>
      <c r="L2724" s="166"/>
      <c r="M2724" s="166"/>
      <c r="N2724" s="166"/>
      <c r="O2724" s="166"/>
      <c r="P2724" s="166"/>
      <c r="Q2724" s="166"/>
      <c r="R2724" s="166"/>
      <c r="S2724" s="166"/>
      <c r="T2724" s="166"/>
      <c r="U2724" s="166"/>
      <c r="V2724" s="166"/>
      <c r="W2724" s="166"/>
      <c r="X2724" s="166"/>
      <c r="Y2724" s="166"/>
      <c r="Z2724" s="166"/>
      <c r="AA2724" s="166"/>
      <c r="AB2724" s="166"/>
      <c r="AC2724" s="166"/>
      <c r="AD2724" s="166"/>
      <c r="AE2724" s="166"/>
      <c r="AF2724" s="166"/>
      <c r="AG2724" s="166"/>
      <c r="AH2724" s="166"/>
      <c r="AI2724" s="166"/>
    </row>
    <row r="2725" spans="7:35" x14ac:dyDescent="0.25">
      <c r="G2725" s="165"/>
      <c r="H2725" s="166"/>
      <c r="I2725" s="167"/>
      <c r="J2725" s="167"/>
      <c r="K2725" s="166"/>
      <c r="L2725" s="166"/>
      <c r="M2725" s="166"/>
      <c r="N2725" s="166"/>
      <c r="O2725" s="166"/>
      <c r="P2725" s="166"/>
      <c r="Q2725" s="166"/>
      <c r="R2725" s="166"/>
      <c r="S2725" s="166"/>
      <c r="T2725" s="166"/>
      <c r="U2725" s="166"/>
      <c r="V2725" s="166"/>
      <c r="W2725" s="166"/>
      <c r="X2725" s="166"/>
      <c r="Y2725" s="166"/>
      <c r="Z2725" s="166"/>
      <c r="AA2725" s="166"/>
      <c r="AB2725" s="166"/>
      <c r="AC2725" s="166"/>
      <c r="AD2725" s="166"/>
      <c r="AE2725" s="166"/>
      <c r="AF2725" s="166"/>
      <c r="AG2725" s="166"/>
      <c r="AH2725" s="166"/>
      <c r="AI2725" s="166"/>
    </row>
    <row r="2726" spans="7:35" x14ac:dyDescent="0.25">
      <c r="G2726" s="165"/>
      <c r="H2726" s="166"/>
      <c r="I2726" s="167"/>
      <c r="J2726" s="167"/>
      <c r="K2726" s="166"/>
      <c r="L2726" s="166"/>
      <c r="M2726" s="166"/>
      <c r="N2726" s="166"/>
      <c r="O2726" s="166"/>
      <c r="P2726" s="166"/>
      <c r="Q2726" s="166"/>
      <c r="R2726" s="166"/>
      <c r="S2726" s="166"/>
      <c r="T2726" s="166"/>
      <c r="U2726" s="166"/>
      <c r="V2726" s="166"/>
      <c r="W2726" s="166"/>
      <c r="X2726" s="166"/>
      <c r="Y2726" s="166"/>
      <c r="Z2726" s="166"/>
      <c r="AA2726" s="166"/>
      <c r="AB2726" s="166"/>
      <c r="AC2726" s="166"/>
      <c r="AD2726" s="166"/>
      <c r="AE2726" s="166"/>
      <c r="AF2726" s="166"/>
      <c r="AG2726" s="166"/>
      <c r="AH2726" s="166"/>
      <c r="AI2726" s="166"/>
    </row>
    <row r="2727" spans="7:35" x14ac:dyDescent="0.25">
      <c r="G2727" s="165"/>
      <c r="H2727" s="166"/>
      <c r="I2727" s="167"/>
      <c r="J2727" s="167"/>
      <c r="K2727" s="166"/>
      <c r="L2727" s="166"/>
      <c r="M2727" s="166"/>
      <c r="N2727" s="166"/>
      <c r="O2727" s="166"/>
      <c r="P2727" s="166"/>
      <c r="Q2727" s="166"/>
      <c r="R2727" s="166"/>
      <c r="S2727" s="166"/>
      <c r="T2727" s="166"/>
      <c r="U2727" s="166"/>
      <c r="V2727" s="166"/>
      <c r="W2727" s="166"/>
      <c r="X2727" s="166"/>
      <c r="Y2727" s="166"/>
      <c r="Z2727" s="166"/>
      <c r="AA2727" s="166"/>
      <c r="AB2727" s="166"/>
      <c r="AC2727" s="166"/>
      <c r="AD2727" s="166"/>
      <c r="AE2727" s="166"/>
      <c r="AF2727" s="166"/>
      <c r="AG2727" s="166"/>
      <c r="AH2727" s="166"/>
      <c r="AI2727" s="166"/>
    </row>
    <row r="2728" spans="7:35" x14ac:dyDescent="0.25">
      <c r="G2728" s="165"/>
      <c r="H2728" s="166"/>
      <c r="I2728" s="167"/>
      <c r="J2728" s="167"/>
      <c r="K2728" s="166"/>
      <c r="L2728" s="166"/>
      <c r="M2728" s="166"/>
      <c r="N2728" s="166"/>
      <c r="O2728" s="166"/>
      <c r="P2728" s="166"/>
      <c r="Q2728" s="166"/>
      <c r="R2728" s="166"/>
      <c r="S2728" s="166"/>
      <c r="T2728" s="166"/>
      <c r="U2728" s="166"/>
      <c r="V2728" s="166"/>
      <c r="W2728" s="166"/>
      <c r="X2728" s="166"/>
      <c r="Y2728" s="166"/>
      <c r="Z2728" s="166"/>
      <c r="AA2728" s="166"/>
      <c r="AB2728" s="166"/>
      <c r="AC2728" s="166"/>
      <c r="AD2728" s="166"/>
      <c r="AE2728" s="166"/>
      <c r="AF2728" s="166"/>
      <c r="AG2728" s="166"/>
      <c r="AH2728" s="166"/>
      <c r="AI2728" s="166"/>
    </row>
    <row r="2729" spans="7:35" x14ac:dyDescent="0.25">
      <c r="G2729" s="165"/>
      <c r="H2729" s="166"/>
      <c r="I2729" s="167"/>
      <c r="J2729" s="167"/>
      <c r="K2729" s="166"/>
      <c r="L2729" s="166"/>
      <c r="M2729" s="166"/>
      <c r="N2729" s="166"/>
      <c r="O2729" s="166"/>
      <c r="P2729" s="166"/>
      <c r="Q2729" s="166"/>
      <c r="R2729" s="166"/>
      <c r="S2729" s="166"/>
      <c r="T2729" s="166"/>
      <c r="U2729" s="166"/>
      <c r="V2729" s="166"/>
      <c r="W2729" s="166"/>
      <c r="X2729" s="166"/>
      <c r="Y2729" s="166"/>
      <c r="Z2729" s="166"/>
      <c r="AA2729" s="166"/>
      <c r="AB2729" s="166"/>
      <c r="AC2729" s="166"/>
      <c r="AD2729" s="166"/>
      <c r="AE2729" s="166"/>
      <c r="AF2729" s="166"/>
      <c r="AG2729" s="166"/>
      <c r="AH2729" s="166"/>
      <c r="AI2729" s="166"/>
    </row>
    <row r="2730" spans="7:35" x14ac:dyDescent="0.25">
      <c r="G2730" s="165"/>
      <c r="H2730" s="166"/>
      <c r="I2730" s="167"/>
      <c r="J2730" s="167"/>
      <c r="K2730" s="166"/>
      <c r="L2730" s="166"/>
      <c r="M2730" s="166"/>
      <c r="N2730" s="166"/>
      <c r="O2730" s="166"/>
      <c r="P2730" s="166"/>
      <c r="Q2730" s="166"/>
      <c r="R2730" s="166"/>
      <c r="S2730" s="166"/>
      <c r="T2730" s="166"/>
      <c r="U2730" s="166"/>
      <c r="V2730" s="166"/>
      <c r="W2730" s="166"/>
      <c r="X2730" s="166"/>
      <c r="Y2730" s="166"/>
      <c r="Z2730" s="166"/>
      <c r="AA2730" s="166"/>
      <c r="AB2730" s="166"/>
      <c r="AC2730" s="166"/>
      <c r="AD2730" s="166"/>
      <c r="AE2730" s="166"/>
      <c r="AF2730" s="166"/>
      <c r="AG2730" s="166"/>
      <c r="AH2730" s="166"/>
      <c r="AI2730" s="166"/>
    </row>
    <row r="2731" spans="7:35" x14ac:dyDescent="0.25">
      <c r="G2731" s="165"/>
      <c r="H2731" s="166"/>
      <c r="I2731" s="167"/>
      <c r="J2731" s="167"/>
      <c r="K2731" s="166"/>
      <c r="L2731" s="166"/>
      <c r="M2731" s="166"/>
      <c r="N2731" s="166"/>
      <c r="O2731" s="166"/>
      <c r="P2731" s="166"/>
      <c r="Q2731" s="166"/>
      <c r="R2731" s="166"/>
      <c r="S2731" s="166"/>
      <c r="T2731" s="166"/>
      <c r="U2731" s="166"/>
      <c r="V2731" s="166"/>
      <c r="W2731" s="166"/>
      <c r="X2731" s="166"/>
      <c r="Y2731" s="166"/>
      <c r="Z2731" s="166"/>
      <c r="AA2731" s="166"/>
      <c r="AB2731" s="166"/>
      <c r="AC2731" s="166"/>
      <c r="AD2731" s="166"/>
      <c r="AE2731" s="166"/>
      <c r="AF2731" s="166"/>
      <c r="AG2731" s="166"/>
      <c r="AH2731" s="166"/>
      <c r="AI2731" s="166"/>
    </row>
    <row r="2732" spans="7:35" x14ac:dyDescent="0.25">
      <c r="G2732" s="165"/>
      <c r="H2732" s="166"/>
      <c r="I2732" s="167"/>
      <c r="J2732" s="167"/>
      <c r="K2732" s="166"/>
      <c r="L2732" s="166"/>
      <c r="M2732" s="166"/>
      <c r="N2732" s="166"/>
      <c r="O2732" s="166"/>
      <c r="P2732" s="166"/>
      <c r="Q2732" s="166"/>
      <c r="R2732" s="166"/>
      <c r="S2732" s="166"/>
      <c r="T2732" s="166"/>
      <c r="U2732" s="166"/>
      <c r="V2732" s="166"/>
      <c r="W2732" s="166"/>
      <c r="X2732" s="166"/>
      <c r="Y2732" s="166"/>
      <c r="Z2732" s="166"/>
      <c r="AA2732" s="166"/>
      <c r="AB2732" s="166"/>
      <c r="AC2732" s="166"/>
      <c r="AD2732" s="166"/>
      <c r="AE2732" s="166"/>
      <c r="AF2732" s="166"/>
      <c r="AG2732" s="166"/>
      <c r="AH2732" s="166"/>
      <c r="AI2732" s="166"/>
    </row>
    <row r="2733" spans="7:35" x14ac:dyDescent="0.25">
      <c r="G2733" s="165"/>
      <c r="H2733" s="166"/>
      <c r="I2733" s="167"/>
      <c r="J2733" s="167"/>
      <c r="K2733" s="166"/>
      <c r="L2733" s="166"/>
      <c r="M2733" s="166"/>
      <c r="N2733" s="166"/>
      <c r="O2733" s="166"/>
      <c r="P2733" s="166"/>
      <c r="Q2733" s="166"/>
      <c r="R2733" s="166"/>
      <c r="S2733" s="166"/>
      <c r="T2733" s="166"/>
      <c r="U2733" s="166"/>
      <c r="V2733" s="166"/>
      <c r="W2733" s="166"/>
      <c r="X2733" s="166"/>
      <c r="Y2733" s="166"/>
      <c r="Z2733" s="166"/>
      <c r="AA2733" s="166"/>
      <c r="AB2733" s="166"/>
      <c r="AC2733" s="166"/>
      <c r="AD2733" s="166"/>
      <c r="AE2733" s="166"/>
      <c r="AF2733" s="166"/>
      <c r="AG2733" s="166"/>
      <c r="AH2733" s="166"/>
      <c r="AI2733" s="166"/>
    </row>
    <row r="2734" spans="7:35" x14ac:dyDescent="0.25">
      <c r="G2734" s="165"/>
      <c r="H2734" s="166"/>
      <c r="I2734" s="167"/>
      <c r="J2734" s="167"/>
      <c r="K2734" s="166"/>
      <c r="L2734" s="166"/>
      <c r="M2734" s="166"/>
      <c r="N2734" s="166"/>
      <c r="O2734" s="166"/>
      <c r="P2734" s="166"/>
      <c r="Q2734" s="166"/>
      <c r="R2734" s="166"/>
      <c r="S2734" s="166"/>
      <c r="T2734" s="166"/>
      <c r="U2734" s="166"/>
      <c r="V2734" s="166"/>
      <c r="W2734" s="166"/>
      <c r="X2734" s="166"/>
      <c r="Y2734" s="166"/>
      <c r="Z2734" s="166"/>
      <c r="AA2734" s="166"/>
      <c r="AB2734" s="166"/>
      <c r="AC2734" s="166"/>
      <c r="AD2734" s="166"/>
      <c r="AE2734" s="166"/>
      <c r="AF2734" s="166"/>
      <c r="AG2734" s="166"/>
      <c r="AH2734" s="166"/>
      <c r="AI2734" s="166"/>
    </row>
    <row r="2735" spans="7:35" x14ac:dyDescent="0.25">
      <c r="G2735" s="165"/>
      <c r="H2735" s="166"/>
      <c r="I2735" s="167"/>
      <c r="J2735" s="167"/>
      <c r="K2735" s="166"/>
      <c r="L2735" s="166"/>
      <c r="M2735" s="166"/>
      <c r="N2735" s="166"/>
      <c r="O2735" s="166"/>
      <c r="P2735" s="166"/>
      <c r="Q2735" s="166"/>
      <c r="R2735" s="166"/>
      <c r="S2735" s="166"/>
      <c r="T2735" s="166"/>
      <c r="U2735" s="166"/>
      <c r="V2735" s="166"/>
      <c r="W2735" s="166"/>
      <c r="X2735" s="166"/>
      <c r="Y2735" s="166"/>
      <c r="Z2735" s="166"/>
      <c r="AA2735" s="166"/>
      <c r="AB2735" s="166"/>
      <c r="AC2735" s="166"/>
      <c r="AD2735" s="166"/>
      <c r="AE2735" s="166"/>
      <c r="AF2735" s="166"/>
      <c r="AG2735" s="166"/>
      <c r="AH2735" s="166"/>
      <c r="AI2735" s="166"/>
    </row>
    <row r="2736" spans="7:35" x14ac:dyDescent="0.25">
      <c r="G2736" s="165"/>
      <c r="H2736" s="166"/>
      <c r="I2736" s="167"/>
      <c r="J2736" s="167"/>
      <c r="K2736" s="166"/>
      <c r="L2736" s="166"/>
      <c r="M2736" s="166"/>
      <c r="N2736" s="166"/>
      <c r="O2736" s="166"/>
      <c r="P2736" s="166"/>
      <c r="Q2736" s="166"/>
      <c r="R2736" s="166"/>
      <c r="S2736" s="166"/>
      <c r="T2736" s="166"/>
      <c r="U2736" s="166"/>
      <c r="V2736" s="166"/>
      <c r="W2736" s="166"/>
      <c r="X2736" s="166"/>
      <c r="Y2736" s="166"/>
      <c r="Z2736" s="166"/>
      <c r="AA2736" s="166"/>
      <c r="AB2736" s="166"/>
      <c r="AC2736" s="166"/>
      <c r="AD2736" s="166"/>
      <c r="AE2736" s="166"/>
      <c r="AF2736" s="166"/>
      <c r="AG2736" s="166"/>
      <c r="AH2736" s="166"/>
      <c r="AI2736" s="166"/>
    </row>
    <row r="2737" spans="7:35" x14ac:dyDescent="0.25">
      <c r="G2737" s="165"/>
      <c r="H2737" s="166"/>
      <c r="I2737" s="167"/>
      <c r="J2737" s="167"/>
      <c r="K2737" s="166"/>
      <c r="L2737" s="166"/>
      <c r="M2737" s="166"/>
      <c r="N2737" s="166"/>
      <c r="O2737" s="166"/>
      <c r="P2737" s="166"/>
      <c r="Q2737" s="166"/>
      <c r="R2737" s="166"/>
      <c r="S2737" s="166"/>
      <c r="T2737" s="166"/>
      <c r="U2737" s="166"/>
      <c r="V2737" s="166"/>
      <c r="W2737" s="166"/>
      <c r="X2737" s="166"/>
      <c r="Y2737" s="166"/>
      <c r="Z2737" s="166"/>
      <c r="AA2737" s="166"/>
      <c r="AB2737" s="166"/>
      <c r="AC2737" s="166"/>
      <c r="AD2737" s="166"/>
      <c r="AE2737" s="166"/>
      <c r="AF2737" s="166"/>
      <c r="AG2737" s="166"/>
      <c r="AH2737" s="166"/>
      <c r="AI2737" s="166"/>
    </row>
    <row r="2738" spans="7:35" x14ac:dyDescent="0.25">
      <c r="G2738" s="165"/>
      <c r="H2738" s="166"/>
      <c r="I2738" s="167"/>
      <c r="J2738" s="167"/>
      <c r="K2738" s="166"/>
      <c r="L2738" s="166"/>
      <c r="M2738" s="166"/>
      <c r="N2738" s="166"/>
      <c r="O2738" s="166"/>
      <c r="P2738" s="166"/>
      <c r="Q2738" s="166"/>
      <c r="R2738" s="166"/>
      <c r="S2738" s="166"/>
      <c r="T2738" s="166"/>
      <c r="U2738" s="166"/>
      <c r="V2738" s="166"/>
      <c r="W2738" s="166"/>
      <c r="X2738" s="166"/>
      <c r="Y2738" s="166"/>
      <c r="Z2738" s="166"/>
      <c r="AA2738" s="166"/>
      <c r="AB2738" s="166"/>
      <c r="AC2738" s="166"/>
      <c r="AD2738" s="166"/>
      <c r="AE2738" s="166"/>
      <c r="AF2738" s="166"/>
      <c r="AG2738" s="166"/>
      <c r="AH2738" s="166"/>
      <c r="AI2738" s="166"/>
    </row>
    <row r="2739" spans="7:35" x14ac:dyDescent="0.25">
      <c r="G2739" s="165"/>
      <c r="H2739" s="166"/>
      <c r="I2739" s="167"/>
      <c r="J2739" s="167"/>
      <c r="K2739" s="166"/>
      <c r="L2739" s="166"/>
      <c r="M2739" s="166"/>
      <c r="N2739" s="166"/>
      <c r="O2739" s="166"/>
      <c r="P2739" s="166"/>
      <c r="Q2739" s="166"/>
      <c r="R2739" s="166"/>
      <c r="S2739" s="166"/>
      <c r="T2739" s="166"/>
      <c r="U2739" s="166"/>
      <c r="V2739" s="166"/>
      <c r="W2739" s="166"/>
      <c r="X2739" s="166"/>
      <c r="Y2739" s="166"/>
      <c r="Z2739" s="166"/>
      <c r="AA2739" s="166"/>
      <c r="AB2739" s="166"/>
      <c r="AC2739" s="166"/>
      <c r="AD2739" s="166"/>
      <c r="AE2739" s="166"/>
      <c r="AF2739" s="166"/>
      <c r="AG2739" s="166"/>
      <c r="AH2739" s="166"/>
      <c r="AI2739" s="166"/>
    </row>
    <row r="2740" spans="7:35" x14ac:dyDescent="0.25">
      <c r="G2740" s="165"/>
      <c r="H2740" s="166"/>
      <c r="I2740" s="167"/>
      <c r="J2740" s="167"/>
      <c r="K2740" s="166"/>
      <c r="L2740" s="166"/>
      <c r="M2740" s="166"/>
      <c r="N2740" s="166"/>
      <c r="O2740" s="166"/>
      <c r="P2740" s="166"/>
      <c r="Q2740" s="166"/>
      <c r="R2740" s="166"/>
      <c r="S2740" s="166"/>
      <c r="T2740" s="166"/>
      <c r="U2740" s="166"/>
      <c r="V2740" s="166"/>
      <c r="W2740" s="166"/>
      <c r="X2740" s="166"/>
      <c r="Y2740" s="166"/>
      <c r="Z2740" s="166"/>
      <c r="AA2740" s="166"/>
      <c r="AB2740" s="166"/>
      <c r="AC2740" s="166"/>
      <c r="AD2740" s="166"/>
      <c r="AE2740" s="166"/>
      <c r="AF2740" s="166"/>
      <c r="AG2740" s="166"/>
      <c r="AH2740" s="166"/>
      <c r="AI2740" s="166"/>
    </row>
    <row r="2741" spans="7:35" x14ac:dyDescent="0.25">
      <c r="G2741" s="165"/>
      <c r="H2741" s="166"/>
      <c r="I2741" s="167"/>
      <c r="J2741" s="167"/>
      <c r="K2741" s="166"/>
      <c r="L2741" s="166"/>
      <c r="M2741" s="166"/>
      <c r="N2741" s="166"/>
      <c r="O2741" s="166"/>
      <c r="P2741" s="166"/>
      <c r="Q2741" s="166"/>
      <c r="R2741" s="166"/>
      <c r="S2741" s="166"/>
      <c r="T2741" s="166"/>
      <c r="U2741" s="166"/>
      <c r="V2741" s="166"/>
      <c r="W2741" s="166"/>
      <c r="X2741" s="166"/>
      <c r="Y2741" s="166"/>
      <c r="Z2741" s="166"/>
      <c r="AA2741" s="166"/>
      <c r="AB2741" s="166"/>
      <c r="AC2741" s="166"/>
      <c r="AD2741" s="166"/>
      <c r="AE2741" s="166"/>
      <c r="AF2741" s="166"/>
      <c r="AG2741" s="166"/>
      <c r="AH2741" s="166"/>
      <c r="AI2741" s="166"/>
    </row>
    <row r="2742" spans="7:35" x14ac:dyDescent="0.25">
      <c r="G2742" s="165"/>
      <c r="H2742" s="166"/>
      <c r="I2742" s="167"/>
      <c r="J2742" s="167"/>
      <c r="K2742" s="166"/>
      <c r="L2742" s="166"/>
      <c r="M2742" s="166"/>
      <c r="N2742" s="166"/>
      <c r="O2742" s="166"/>
      <c r="P2742" s="166"/>
      <c r="Q2742" s="166"/>
      <c r="R2742" s="166"/>
      <c r="S2742" s="166"/>
      <c r="T2742" s="166"/>
      <c r="U2742" s="166"/>
      <c r="V2742" s="166"/>
      <c r="W2742" s="166"/>
      <c r="X2742" s="166"/>
      <c r="Y2742" s="166"/>
      <c r="Z2742" s="166"/>
      <c r="AA2742" s="166"/>
      <c r="AB2742" s="166"/>
      <c r="AC2742" s="166"/>
      <c r="AD2742" s="166"/>
      <c r="AE2742" s="166"/>
      <c r="AF2742" s="166"/>
      <c r="AG2742" s="166"/>
      <c r="AH2742" s="166"/>
      <c r="AI2742" s="166"/>
    </row>
    <row r="2743" spans="7:35" x14ac:dyDescent="0.25">
      <c r="G2743" s="165"/>
      <c r="H2743" s="166"/>
      <c r="I2743" s="167"/>
      <c r="J2743" s="167"/>
      <c r="K2743" s="166"/>
      <c r="L2743" s="166"/>
      <c r="M2743" s="166"/>
      <c r="N2743" s="166"/>
      <c r="O2743" s="166"/>
      <c r="P2743" s="166"/>
      <c r="Q2743" s="166"/>
      <c r="R2743" s="166"/>
      <c r="S2743" s="166"/>
      <c r="T2743" s="166"/>
      <c r="U2743" s="166"/>
      <c r="V2743" s="166"/>
      <c r="W2743" s="166"/>
      <c r="X2743" s="166"/>
      <c r="Y2743" s="166"/>
      <c r="Z2743" s="166"/>
      <c r="AA2743" s="166"/>
      <c r="AB2743" s="166"/>
      <c r="AC2743" s="166"/>
      <c r="AD2743" s="166"/>
      <c r="AE2743" s="166"/>
      <c r="AF2743" s="166"/>
      <c r="AG2743" s="166"/>
      <c r="AH2743" s="166"/>
      <c r="AI2743" s="166"/>
    </row>
    <row r="2744" spans="7:35" x14ac:dyDescent="0.25">
      <c r="G2744" s="165"/>
      <c r="H2744" s="166"/>
      <c r="I2744" s="167"/>
      <c r="J2744" s="167"/>
      <c r="K2744" s="166"/>
      <c r="L2744" s="166"/>
      <c r="M2744" s="166"/>
      <c r="N2744" s="166"/>
      <c r="O2744" s="166"/>
      <c r="P2744" s="166"/>
      <c r="Q2744" s="166"/>
      <c r="R2744" s="166"/>
      <c r="S2744" s="166"/>
      <c r="T2744" s="166"/>
      <c r="U2744" s="166"/>
      <c r="V2744" s="166"/>
      <c r="W2744" s="166"/>
      <c r="X2744" s="166"/>
      <c r="Y2744" s="166"/>
      <c r="Z2744" s="166"/>
      <c r="AA2744" s="166"/>
      <c r="AB2744" s="166"/>
      <c r="AC2744" s="166"/>
      <c r="AD2744" s="166"/>
      <c r="AE2744" s="166"/>
      <c r="AF2744" s="166"/>
      <c r="AG2744" s="166"/>
      <c r="AH2744" s="166"/>
      <c r="AI2744" s="166"/>
    </row>
    <row r="2745" spans="7:35" x14ac:dyDescent="0.25">
      <c r="G2745" s="165"/>
      <c r="H2745" s="166"/>
      <c r="I2745" s="167"/>
      <c r="J2745" s="167"/>
      <c r="K2745" s="166"/>
      <c r="L2745" s="166"/>
      <c r="M2745" s="166"/>
      <c r="N2745" s="166"/>
      <c r="O2745" s="166"/>
      <c r="P2745" s="166"/>
      <c r="Q2745" s="166"/>
      <c r="R2745" s="166"/>
      <c r="S2745" s="166"/>
      <c r="T2745" s="166"/>
      <c r="U2745" s="166"/>
      <c r="V2745" s="166"/>
      <c r="W2745" s="166"/>
      <c r="X2745" s="166"/>
      <c r="Y2745" s="166"/>
      <c r="Z2745" s="166"/>
      <c r="AA2745" s="166"/>
      <c r="AB2745" s="166"/>
      <c r="AC2745" s="166"/>
      <c r="AD2745" s="166"/>
      <c r="AE2745" s="166"/>
      <c r="AF2745" s="166"/>
      <c r="AG2745" s="166"/>
      <c r="AH2745" s="166"/>
      <c r="AI2745" s="166"/>
    </row>
    <row r="2746" spans="7:35" x14ac:dyDescent="0.25">
      <c r="G2746" s="165"/>
      <c r="H2746" s="166"/>
      <c r="I2746" s="167"/>
      <c r="J2746" s="167"/>
      <c r="K2746" s="166"/>
      <c r="L2746" s="166"/>
      <c r="M2746" s="166"/>
      <c r="N2746" s="166"/>
      <c r="O2746" s="166"/>
      <c r="P2746" s="166"/>
      <c r="Q2746" s="166"/>
      <c r="R2746" s="166"/>
      <c r="S2746" s="166"/>
      <c r="T2746" s="166"/>
      <c r="U2746" s="166"/>
      <c r="V2746" s="166"/>
      <c r="W2746" s="166"/>
      <c r="X2746" s="166"/>
      <c r="Y2746" s="166"/>
      <c r="Z2746" s="166"/>
      <c r="AA2746" s="166"/>
      <c r="AB2746" s="166"/>
      <c r="AC2746" s="166"/>
      <c r="AD2746" s="166"/>
      <c r="AE2746" s="166"/>
      <c r="AF2746" s="166"/>
      <c r="AG2746" s="166"/>
      <c r="AH2746" s="166"/>
      <c r="AI2746" s="166"/>
    </row>
    <row r="2747" spans="7:35" x14ac:dyDescent="0.25">
      <c r="G2747" s="165"/>
      <c r="H2747" s="166"/>
      <c r="I2747" s="167"/>
      <c r="J2747" s="167"/>
      <c r="K2747" s="166"/>
      <c r="L2747" s="166"/>
      <c r="M2747" s="166"/>
      <c r="N2747" s="166"/>
      <c r="O2747" s="166"/>
      <c r="P2747" s="166"/>
      <c r="Q2747" s="166"/>
      <c r="R2747" s="166"/>
      <c r="S2747" s="166"/>
      <c r="T2747" s="166"/>
      <c r="U2747" s="166"/>
      <c r="V2747" s="166"/>
      <c r="W2747" s="166"/>
      <c r="X2747" s="166"/>
      <c r="Y2747" s="166"/>
      <c r="Z2747" s="166"/>
      <c r="AA2747" s="166"/>
      <c r="AB2747" s="166"/>
      <c r="AC2747" s="166"/>
      <c r="AD2747" s="166"/>
      <c r="AE2747" s="166"/>
      <c r="AF2747" s="166"/>
      <c r="AG2747" s="166"/>
      <c r="AH2747" s="166"/>
      <c r="AI2747" s="166"/>
    </row>
    <row r="2748" spans="7:35" x14ac:dyDescent="0.25">
      <c r="G2748" s="165"/>
      <c r="H2748" s="166"/>
      <c r="I2748" s="167"/>
      <c r="J2748" s="167"/>
      <c r="K2748" s="166"/>
      <c r="L2748" s="166"/>
      <c r="M2748" s="166"/>
      <c r="N2748" s="166"/>
      <c r="O2748" s="166"/>
      <c r="P2748" s="166"/>
      <c r="Q2748" s="166"/>
      <c r="R2748" s="166"/>
      <c r="S2748" s="166"/>
      <c r="T2748" s="166"/>
      <c r="U2748" s="166"/>
      <c r="V2748" s="166"/>
      <c r="W2748" s="166"/>
      <c r="X2748" s="166"/>
      <c r="Y2748" s="166"/>
      <c r="Z2748" s="166"/>
      <c r="AA2748" s="166"/>
      <c r="AB2748" s="166"/>
      <c r="AC2748" s="166"/>
      <c r="AD2748" s="166"/>
      <c r="AE2748" s="166"/>
      <c r="AF2748" s="166"/>
      <c r="AG2748" s="166"/>
      <c r="AH2748" s="166"/>
      <c r="AI2748" s="166"/>
    </row>
    <row r="2749" spans="7:35" x14ac:dyDescent="0.25">
      <c r="G2749" s="165"/>
      <c r="H2749" s="166"/>
      <c r="I2749" s="167"/>
      <c r="J2749" s="167"/>
      <c r="K2749" s="166"/>
      <c r="L2749" s="166"/>
      <c r="M2749" s="166"/>
      <c r="N2749" s="166"/>
      <c r="O2749" s="166"/>
      <c r="P2749" s="166"/>
      <c r="Q2749" s="166"/>
      <c r="R2749" s="166"/>
      <c r="S2749" s="166"/>
      <c r="T2749" s="166"/>
      <c r="U2749" s="166"/>
      <c r="V2749" s="166"/>
      <c r="W2749" s="166"/>
      <c r="X2749" s="166"/>
      <c r="Y2749" s="166"/>
      <c r="Z2749" s="166"/>
      <c r="AA2749" s="166"/>
      <c r="AB2749" s="166"/>
      <c r="AC2749" s="166"/>
      <c r="AD2749" s="166"/>
      <c r="AE2749" s="166"/>
      <c r="AF2749" s="166"/>
      <c r="AG2749" s="166"/>
      <c r="AH2749" s="166"/>
      <c r="AI2749" s="166"/>
    </row>
    <row r="2750" spans="7:35" x14ac:dyDescent="0.25">
      <c r="G2750" s="165"/>
      <c r="H2750" s="166"/>
      <c r="I2750" s="167"/>
      <c r="J2750" s="167"/>
      <c r="K2750" s="166"/>
      <c r="L2750" s="166"/>
      <c r="M2750" s="166"/>
      <c r="N2750" s="166"/>
      <c r="O2750" s="166"/>
      <c r="P2750" s="166"/>
      <c r="Q2750" s="166"/>
      <c r="R2750" s="166"/>
      <c r="S2750" s="166"/>
      <c r="T2750" s="166"/>
      <c r="U2750" s="166"/>
      <c r="V2750" s="166"/>
      <c r="W2750" s="166"/>
      <c r="X2750" s="166"/>
      <c r="Y2750" s="166"/>
      <c r="Z2750" s="166"/>
      <c r="AA2750" s="166"/>
      <c r="AB2750" s="166"/>
      <c r="AC2750" s="166"/>
      <c r="AD2750" s="166"/>
      <c r="AE2750" s="166"/>
      <c r="AF2750" s="166"/>
      <c r="AG2750" s="166"/>
      <c r="AH2750" s="166"/>
      <c r="AI2750" s="166"/>
    </row>
    <row r="2751" spans="7:35" x14ac:dyDescent="0.25">
      <c r="G2751" s="165"/>
      <c r="H2751" s="166"/>
      <c r="I2751" s="167"/>
      <c r="J2751" s="167"/>
      <c r="K2751" s="166"/>
      <c r="L2751" s="166"/>
      <c r="M2751" s="166"/>
      <c r="N2751" s="166"/>
      <c r="O2751" s="166"/>
      <c r="P2751" s="166"/>
      <c r="Q2751" s="166"/>
      <c r="R2751" s="166"/>
      <c r="S2751" s="166"/>
      <c r="T2751" s="166"/>
      <c r="U2751" s="166"/>
      <c r="V2751" s="166"/>
      <c r="W2751" s="166"/>
      <c r="X2751" s="166"/>
      <c r="Y2751" s="166"/>
      <c r="Z2751" s="166"/>
      <c r="AA2751" s="166"/>
      <c r="AB2751" s="166"/>
      <c r="AC2751" s="166"/>
      <c r="AD2751" s="166"/>
      <c r="AE2751" s="166"/>
      <c r="AF2751" s="166"/>
      <c r="AG2751" s="166"/>
      <c r="AH2751" s="166"/>
      <c r="AI2751" s="166"/>
    </row>
    <row r="2752" spans="7:35" x14ac:dyDescent="0.25">
      <c r="G2752" s="165"/>
      <c r="H2752" s="166"/>
      <c r="I2752" s="167"/>
      <c r="J2752" s="167"/>
      <c r="K2752" s="166"/>
      <c r="L2752" s="166"/>
      <c r="M2752" s="166"/>
      <c r="N2752" s="166"/>
      <c r="O2752" s="166"/>
      <c r="P2752" s="166"/>
      <c r="Q2752" s="166"/>
      <c r="R2752" s="166"/>
      <c r="S2752" s="166"/>
      <c r="T2752" s="166"/>
      <c r="U2752" s="166"/>
      <c r="V2752" s="166"/>
      <c r="W2752" s="166"/>
      <c r="X2752" s="166"/>
      <c r="Y2752" s="166"/>
      <c r="Z2752" s="166"/>
      <c r="AA2752" s="166"/>
      <c r="AB2752" s="166"/>
      <c r="AC2752" s="166"/>
      <c r="AD2752" s="166"/>
      <c r="AE2752" s="166"/>
      <c r="AF2752" s="166"/>
      <c r="AG2752" s="166"/>
      <c r="AH2752" s="166"/>
      <c r="AI2752" s="166"/>
    </row>
    <row r="2753" spans="7:35" x14ac:dyDescent="0.25">
      <c r="G2753" s="165"/>
      <c r="H2753" s="166"/>
      <c r="I2753" s="167"/>
      <c r="J2753" s="167"/>
      <c r="K2753" s="166"/>
      <c r="L2753" s="166"/>
      <c r="M2753" s="166"/>
      <c r="N2753" s="166"/>
      <c r="O2753" s="166"/>
      <c r="P2753" s="166"/>
      <c r="Q2753" s="166"/>
      <c r="R2753" s="166"/>
      <c r="S2753" s="166"/>
      <c r="T2753" s="166"/>
      <c r="U2753" s="166"/>
      <c r="V2753" s="166"/>
      <c r="W2753" s="166"/>
      <c r="X2753" s="166"/>
      <c r="Y2753" s="166"/>
      <c r="Z2753" s="166"/>
      <c r="AA2753" s="166"/>
      <c r="AB2753" s="166"/>
      <c r="AC2753" s="166"/>
      <c r="AD2753" s="166"/>
      <c r="AE2753" s="166"/>
      <c r="AF2753" s="166"/>
      <c r="AG2753" s="166"/>
      <c r="AH2753" s="166"/>
      <c r="AI2753" s="166"/>
    </row>
    <row r="2754" spans="7:35" x14ac:dyDescent="0.25">
      <c r="G2754" s="165"/>
      <c r="H2754" s="166"/>
      <c r="I2754" s="167"/>
      <c r="J2754" s="167"/>
      <c r="K2754" s="166"/>
      <c r="L2754" s="166"/>
      <c r="M2754" s="166"/>
      <c r="N2754" s="166"/>
      <c r="O2754" s="166"/>
      <c r="P2754" s="166"/>
      <c r="Q2754" s="166"/>
      <c r="R2754" s="166"/>
      <c r="S2754" s="166"/>
      <c r="T2754" s="166"/>
      <c r="U2754" s="166"/>
      <c r="V2754" s="166"/>
      <c r="W2754" s="166"/>
      <c r="X2754" s="166"/>
      <c r="Y2754" s="166"/>
      <c r="Z2754" s="166"/>
      <c r="AA2754" s="166"/>
      <c r="AB2754" s="166"/>
      <c r="AC2754" s="166"/>
      <c r="AD2754" s="166"/>
      <c r="AE2754" s="166"/>
      <c r="AF2754" s="166"/>
      <c r="AG2754" s="166"/>
      <c r="AH2754" s="166"/>
      <c r="AI2754" s="166"/>
    </row>
    <row r="2755" spans="7:35" x14ac:dyDescent="0.25">
      <c r="G2755" s="165"/>
      <c r="H2755" s="166"/>
      <c r="I2755" s="167"/>
      <c r="J2755" s="167"/>
      <c r="K2755" s="166"/>
      <c r="L2755" s="166"/>
      <c r="M2755" s="166"/>
      <c r="N2755" s="166"/>
      <c r="O2755" s="166"/>
      <c r="P2755" s="166"/>
      <c r="Q2755" s="166"/>
      <c r="R2755" s="166"/>
      <c r="S2755" s="166"/>
      <c r="T2755" s="166"/>
      <c r="U2755" s="166"/>
      <c r="V2755" s="166"/>
      <c r="W2755" s="166"/>
      <c r="X2755" s="166"/>
      <c r="Y2755" s="166"/>
      <c r="Z2755" s="166"/>
      <c r="AA2755" s="166"/>
      <c r="AB2755" s="166"/>
      <c r="AC2755" s="166"/>
      <c r="AD2755" s="166"/>
      <c r="AE2755" s="166"/>
      <c r="AF2755" s="166"/>
      <c r="AG2755" s="166"/>
      <c r="AH2755" s="166"/>
      <c r="AI2755" s="166"/>
    </row>
    <row r="2756" spans="7:35" x14ac:dyDescent="0.25">
      <c r="G2756" s="165"/>
      <c r="H2756" s="166"/>
      <c r="I2756" s="167"/>
      <c r="J2756" s="167"/>
      <c r="K2756" s="166"/>
      <c r="L2756" s="166"/>
      <c r="M2756" s="166"/>
      <c r="N2756" s="166"/>
      <c r="O2756" s="166"/>
      <c r="P2756" s="166"/>
      <c r="Q2756" s="166"/>
      <c r="R2756" s="166"/>
      <c r="S2756" s="166"/>
      <c r="T2756" s="166"/>
      <c r="U2756" s="166"/>
      <c r="V2756" s="166"/>
      <c r="W2756" s="166"/>
      <c r="X2756" s="166"/>
      <c r="Y2756" s="166"/>
      <c r="Z2756" s="166"/>
      <c r="AA2756" s="166"/>
      <c r="AB2756" s="166"/>
      <c r="AC2756" s="166"/>
      <c r="AD2756" s="166"/>
      <c r="AE2756" s="166"/>
      <c r="AF2756" s="166"/>
      <c r="AG2756" s="166"/>
      <c r="AH2756" s="166"/>
      <c r="AI2756" s="166"/>
    </row>
    <row r="2757" spans="7:35" x14ac:dyDescent="0.25">
      <c r="G2757" s="165"/>
      <c r="H2757" s="166"/>
      <c r="I2757" s="167"/>
      <c r="J2757" s="167"/>
      <c r="K2757" s="166"/>
      <c r="L2757" s="166"/>
      <c r="M2757" s="166"/>
      <c r="N2757" s="166"/>
      <c r="O2757" s="166"/>
      <c r="P2757" s="166"/>
      <c r="Q2757" s="166"/>
      <c r="R2757" s="166"/>
      <c r="S2757" s="166"/>
      <c r="T2757" s="166"/>
      <c r="U2757" s="166"/>
      <c r="V2757" s="166"/>
      <c r="W2757" s="166"/>
      <c r="X2757" s="166"/>
      <c r="Y2757" s="166"/>
      <c r="Z2757" s="166"/>
      <c r="AA2757" s="166"/>
      <c r="AB2757" s="166"/>
      <c r="AC2757" s="166"/>
      <c r="AD2757" s="166"/>
      <c r="AE2757" s="166"/>
      <c r="AF2757" s="166"/>
      <c r="AG2757" s="166"/>
      <c r="AH2757" s="166"/>
      <c r="AI2757" s="166"/>
    </row>
    <row r="2758" spans="7:35" x14ac:dyDescent="0.25">
      <c r="G2758" s="165"/>
      <c r="H2758" s="166"/>
      <c r="I2758" s="167"/>
      <c r="J2758" s="167"/>
      <c r="K2758" s="166"/>
      <c r="L2758" s="166"/>
      <c r="M2758" s="166"/>
      <c r="N2758" s="166"/>
      <c r="O2758" s="166"/>
      <c r="P2758" s="166"/>
      <c r="Q2758" s="166"/>
      <c r="R2758" s="166"/>
      <c r="S2758" s="166"/>
      <c r="T2758" s="166"/>
      <c r="U2758" s="166"/>
      <c r="V2758" s="166"/>
      <c r="W2758" s="166"/>
      <c r="X2758" s="166"/>
      <c r="Y2758" s="166"/>
      <c r="Z2758" s="166"/>
      <c r="AA2758" s="166"/>
      <c r="AB2758" s="166"/>
      <c r="AC2758" s="166"/>
      <c r="AD2758" s="166"/>
      <c r="AE2758" s="166"/>
      <c r="AF2758" s="166"/>
      <c r="AG2758" s="166"/>
      <c r="AH2758" s="166"/>
      <c r="AI2758" s="166"/>
    </row>
    <row r="2759" spans="7:35" x14ac:dyDescent="0.25">
      <c r="G2759" s="165"/>
      <c r="H2759" s="166"/>
      <c r="I2759" s="167"/>
      <c r="J2759" s="167"/>
      <c r="K2759" s="166"/>
      <c r="L2759" s="166"/>
      <c r="M2759" s="166"/>
      <c r="N2759" s="166"/>
      <c r="O2759" s="166"/>
      <c r="P2759" s="166"/>
      <c r="Q2759" s="166"/>
      <c r="R2759" s="166"/>
      <c r="S2759" s="166"/>
      <c r="T2759" s="166"/>
      <c r="U2759" s="166"/>
      <c r="V2759" s="166"/>
      <c r="W2759" s="166"/>
      <c r="X2759" s="166"/>
      <c r="Y2759" s="166"/>
      <c r="Z2759" s="166"/>
      <c r="AA2759" s="166"/>
      <c r="AB2759" s="166"/>
      <c r="AC2759" s="166"/>
      <c r="AD2759" s="166"/>
      <c r="AE2759" s="166"/>
      <c r="AF2759" s="166"/>
      <c r="AG2759" s="166"/>
      <c r="AH2759" s="166"/>
      <c r="AI2759" s="166"/>
    </row>
    <row r="2760" spans="7:35" x14ac:dyDescent="0.25">
      <c r="G2760" s="165"/>
      <c r="H2760" s="166"/>
      <c r="I2760" s="167"/>
      <c r="J2760" s="167"/>
      <c r="K2760" s="166"/>
      <c r="L2760" s="166"/>
      <c r="M2760" s="166"/>
      <c r="N2760" s="166"/>
      <c r="O2760" s="166"/>
      <c r="P2760" s="166"/>
      <c r="Q2760" s="166"/>
      <c r="R2760" s="166"/>
      <c r="S2760" s="166"/>
      <c r="T2760" s="166"/>
      <c r="U2760" s="166"/>
      <c r="V2760" s="166"/>
      <c r="W2760" s="166"/>
      <c r="X2760" s="166"/>
      <c r="Y2760" s="166"/>
      <c r="Z2760" s="166"/>
      <c r="AA2760" s="166"/>
      <c r="AB2760" s="166"/>
      <c r="AC2760" s="166"/>
      <c r="AD2760" s="166"/>
      <c r="AE2760" s="166"/>
      <c r="AF2760" s="166"/>
      <c r="AG2760" s="166"/>
      <c r="AH2760" s="166"/>
      <c r="AI2760" s="166"/>
    </row>
    <row r="2761" spans="7:35" x14ac:dyDescent="0.25">
      <c r="G2761" s="165"/>
      <c r="H2761" s="166"/>
      <c r="I2761" s="167"/>
      <c r="J2761" s="167"/>
      <c r="K2761" s="166"/>
      <c r="L2761" s="166"/>
      <c r="M2761" s="166"/>
      <c r="N2761" s="166"/>
      <c r="O2761" s="166"/>
      <c r="P2761" s="166"/>
      <c r="Q2761" s="166"/>
      <c r="R2761" s="166"/>
      <c r="S2761" s="166"/>
      <c r="T2761" s="166"/>
      <c r="U2761" s="166"/>
      <c r="V2761" s="166"/>
      <c r="W2761" s="166"/>
      <c r="X2761" s="166"/>
      <c r="Y2761" s="166"/>
      <c r="Z2761" s="166"/>
      <c r="AA2761" s="166"/>
      <c r="AB2761" s="166"/>
      <c r="AC2761" s="166"/>
      <c r="AD2761" s="166"/>
      <c r="AE2761" s="166"/>
      <c r="AF2761" s="166"/>
      <c r="AG2761" s="166"/>
      <c r="AH2761" s="166"/>
      <c r="AI2761" s="166"/>
    </row>
    <row r="2762" spans="7:35" x14ac:dyDescent="0.25">
      <c r="G2762" s="165"/>
      <c r="H2762" s="166"/>
      <c r="I2762" s="167"/>
      <c r="J2762" s="167"/>
      <c r="K2762" s="166"/>
      <c r="L2762" s="166"/>
      <c r="M2762" s="166"/>
      <c r="N2762" s="166"/>
      <c r="O2762" s="166"/>
      <c r="P2762" s="166"/>
      <c r="Q2762" s="166"/>
      <c r="R2762" s="166"/>
      <c r="S2762" s="166"/>
      <c r="T2762" s="166"/>
      <c r="U2762" s="166"/>
      <c r="V2762" s="166"/>
      <c r="W2762" s="166"/>
      <c r="X2762" s="166"/>
      <c r="Y2762" s="166"/>
      <c r="Z2762" s="166"/>
      <c r="AA2762" s="166"/>
      <c r="AB2762" s="166"/>
      <c r="AC2762" s="166"/>
      <c r="AD2762" s="166"/>
      <c r="AE2762" s="166"/>
      <c r="AF2762" s="166"/>
      <c r="AG2762" s="166"/>
      <c r="AH2762" s="166"/>
      <c r="AI2762" s="166"/>
    </row>
    <row r="2763" spans="7:35" x14ac:dyDescent="0.25">
      <c r="G2763" s="165"/>
      <c r="H2763" s="166"/>
      <c r="I2763" s="167"/>
      <c r="J2763" s="167"/>
      <c r="K2763" s="166"/>
      <c r="L2763" s="166"/>
      <c r="M2763" s="166"/>
      <c r="N2763" s="166"/>
      <c r="O2763" s="166"/>
      <c r="P2763" s="166"/>
      <c r="Q2763" s="166"/>
      <c r="R2763" s="166"/>
      <c r="S2763" s="166"/>
      <c r="T2763" s="166"/>
      <c r="U2763" s="166"/>
      <c r="V2763" s="166"/>
      <c r="W2763" s="166"/>
      <c r="X2763" s="166"/>
      <c r="Y2763" s="166"/>
      <c r="Z2763" s="166"/>
      <c r="AA2763" s="166"/>
      <c r="AB2763" s="166"/>
      <c r="AC2763" s="166"/>
      <c r="AD2763" s="166"/>
      <c r="AE2763" s="166"/>
      <c r="AF2763" s="166"/>
      <c r="AG2763" s="166"/>
      <c r="AH2763" s="166"/>
      <c r="AI2763" s="166"/>
    </row>
    <row r="2764" spans="7:35" x14ac:dyDescent="0.25">
      <c r="G2764" s="165"/>
      <c r="H2764" s="166"/>
      <c r="I2764" s="167"/>
      <c r="J2764" s="167"/>
      <c r="K2764" s="166"/>
      <c r="L2764" s="166"/>
      <c r="M2764" s="166"/>
      <c r="N2764" s="166"/>
      <c r="O2764" s="166"/>
      <c r="P2764" s="166"/>
      <c r="Q2764" s="166"/>
      <c r="R2764" s="166"/>
      <c r="S2764" s="166"/>
      <c r="T2764" s="166"/>
      <c r="U2764" s="166"/>
      <c r="V2764" s="166"/>
      <c r="W2764" s="166"/>
      <c r="X2764" s="166"/>
      <c r="Y2764" s="166"/>
      <c r="Z2764" s="166"/>
      <c r="AA2764" s="166"/>
      <c r="AB2764" s="166"/>
      <c r="AC2764" s="166"/>
      <c r="AD2764" s="166"/>
      <c r="AE2764" s="166"/>
      <c r="AF2764" s="166"/>
      <c r="AG2764" s="166"/>
      <c r="AH2764" s="166"/>
      <c r="AI2764" s="166"/>
    </row>
    <row r="2765" spans="7:35" x14ac:dyDescent="0.25">
      <c r="G2765" s="165"/>
      <c r="H2765" s="166"/>
      <c r="I2765" s="167"/>
      <c r="J2765" s="167"/>
      <c r="K2765" s="166"/>
      <c r="L2765" s="166"/>
      <c r="M2765" s="166"/>
      <c r="N2765" s="166"/>
      <c r="O2765" s="166"/>
      <c r="P2765" s="166"/>
      <c r="Q2765" s="166"/>
      <c r="R2765" s="166"/>
      <c r="S2765" s="166"/>
      <c r="T2765" s="166"/>
      <c r="U2765" s="166"/>
      <c r="V2765" s="166"/>
      <c r="W2765" s="166"/>
      <c r="X2765" s="166"/>
      <c r="Y2765" s="166"/>
      <c r="Z2765" s="166"/>
      <c r="AA2765" s="166"/>
      <c r="AB2765" s="166"/>
      <c r="AC2765" s="166"/>
      <c r="AD2765" s="166"/>
      <c r="AE2765" s="166"/>
      <c r="AF2765" s="166"/>
      <c r="AG2765" s="166"/>
      <c r="AH2765" s="166"/>
      <c r="AI2765" s="166"/>
    </row>
    <row r="2766" spans="7:35" x14ac:dyDescent="0.25">
      <c r="G2766" s="165"/>
      <c r="H2766" s="166"/>
      <c r="I2766" s="167"/>
      <c r="J2766" s="167"/>
      <c r="K2766" s="166"/>
      <c r="L2766" s="166"/>
      <c r="M2766" s="166"/>
      <c r="N2766" s="166"/>
      <c r="O2766" s="166"/>
      <c r="P2766" s="166"/>
      <c r="Q2766" s="166"/>
      <c r="R2766" s="166"/>
      <c r="S2766" s="166"/>
      <c r="T2766" s="166"/>
      <c r="U2766" s="166"/>
      <c r="V2766" s="166"/>
      <c r="W2766" s="166"/>
      <c r="X2766" s="166"/>
      <c r="Y2766" s="166"/>
      <c r="Z2766" s="166"/>
      <c r="AA2766" s="166"/>
      <c r="AB2766" s="166"/>
      <c r="AC2766" s="166"/>
      <c r="AD2766" s="166"/>
      <c r="AE2766" s="166"/>
      <c r="AF2766" s="166"/>
      <c r="AG2766" s="166"/>
      <c r="AH2766" s="166"/>
      <c r="AI2766" s="166"/>
    </row>
    <row r="2767" spans="7:35" x14ac:dyDescent="0.25">
      <c r="G2767" s="165"/>
      <c r="H2767" s="166"/>
      <c r="I2767" s="167"/>
      <c r="J2767" s="167"/>
      <c r="K2767" s="166"/>
      <c r="L2767" s="166"/>
      <c r="M2767" s="166"/>
      <c r="N2767" s="166"/>
      <c r="O2767" s="166"/>
      <c r="P2767" s="166"/>
      <c r="Q2767" s="166"/>
      <c r="R2767" s="166"/>
      <c r="S2767" s="166"/>
      <c r="T2767" s="166"/>
      <c r="U2767" s="166"/>
      <c r="V2767" s="166"/>
      <c r="W2767" s="166"/>
      <c r="X2767" s="166"/>
      <c r="Y2767" s="166"/>
      <c r="Z2767" s="166"/>
      <c r="AA2767" s="166"/>
      <c r="AB2767" s="166"/>
      <c r="AC2767" s="166"/>
      <c r="AD2767" s="166"/>
      <c r="AE2767" s="166"/>
      <c r="AF2767" s="166"/>
      <c r="AG2767" s="166"/>
      <c r="AH2767" s="166"/>
      <c r="AI2767" s="166"/>
    </row>
    <row r="2768" spans="7:35" x14ac:dyDescent="0.25">
      <c r="G2768" s="165"/>
      <c r="H2768" s="166"/>
      <c r="I2768" s="167"/>
      <c r="J2768" s="167"/>
      <c r="K2768" s="166"/>
      <c r="L2768" s="166"/>
      <c r="M2768" s="166"/>
      <c r="N2768" s="166"/>
      <c r="O2768" s="166"/>
      <c r="P2768" s="166"/>
      <c r="Q2768" s="166"/>
      <c r="R2768" s="166"/>
      <c r="S2768" s="166"/>
      <c r="T2768" s="166"/>
      <c r="U2768" s="166"/>
      <c r="V2768" s="166"/>
      <c r="W2768" s="166"/>
      <c r="X2768" s="166"/>
      <c r="Y2768" s="166"/>
      <c r="Z2768" s="166"/>
      <c r="AA2768" s="166"/>
      <c r="AB2768" s="166"/>
      <c r="AC2768" s="166"/>
      <c r="AD2768" s="166"/>
      <c r="AE2768" s="166"/>
      <c r="AF2768" s="166"/>
      <c r="AG2768" s="166"/>
      <c r="AH2768" s="166"/>
      <c r="AI2768" s="166"/>
    </row>
    <row r="2769" spans="7:35" x14ac:dyDescent="0.25">
      <c r="G2769" s="165"/>
      <c r="H2769" s="166"/>
      <c r="I2769" s="167"/>
      <c r="J2769" s="167"/>
      <c r="K2769" s="166"/>
      <c r="L2769" s="166"/>
      <c r="M2769" s="166"/>
      <c r="N2769" s="166"/>
      <c r="O2769" s="166"/>
      <c r="P2769" s="166"/>
      <c r="Q2769" s="166"/>
      <c r="R2769" s="166"/>
      <c r="S2769" s="166"/>
      <c r="T2769" s="166"/>
      <c r="U2769" s="166"/>
      <c r="V2769" s="166"/>
      <c r="W2769" s="166"/>
      <c r="X2769" s="166"/>
      <c r="Y2769" s="166"/>
      <c r="Z2769" s="166"/>
      <c r="AA2769" s="166"/>
      <c r="AB2769" s="166"/>
      <c r="AC2769" s="166"/>
      <c r="AD2769" s="166"/>
      <c r="AE2769" s="166"/>
      <c r="AF2769" s="166"/>
      <c r="AG2769" s="166"/>
      <c r="AH2769" s="166"/>
      <c r="AI2769" s="166"/>
    </row>
    <row r="2770" spans="7:35" x14ac:dyDescent="0.25">
      <c r="G2770" s="165"/>
      <c r="H2770" s="166"/>
      <c r="I2770" s="167"/>
      <c r="J2770" s="167"/>
      <c r="K2770" s="166"/>
      <c r="L2770" s="166"/>
      <c r="M2770" s="166"/>
      <c r="N2770" s="166"/>
      <c r="O2770" s="166"/>
      <c r="P2770" s="166"/>
      <c r="Q2770" s="166"/>
      <c r="R2770" s="166"/>
      <c r="S2770" s="166"/>
      <c r="T2770" s="166"/>
      <c r="U2770" s="166"/>
      <c r="V2770" s="166"/>
      <c r="W2770" s="166"/>
      <c r="X2770" s="166"/>
      <c r="Y2770" s="166"/>
      <c r="Z2770" s="166"/>
      <c r="AA2770" s="166"/>
      <c r="AB2770" s="166"/>
      <c r="AC2770" s="166"/>
      <c r="AD2770" s="166"/>
      <c r="AE2770" s="166"/>
      <c r="AF2770" s="166"/>
      <c r="AG2770" s="166"/>
      <c r="AH2770" s="166"/>
      <c r="AI2770" s="166"/>
    </row>
    <row r="2771" spans="7:35" x14ac:dyDescent="0.25">
      <c r="G2771" s="165"/>
      <c r="H2771" s="166"/>
      <c r="I2771" s="167"/>
      <c r="J2771" s="167"/>
      <c r="K2771" s="166"/>
      <c r="L2771" s="166"/>
      <c r="M2771" s="166"/>
      <c r="N2771" s="166"/>
      <c r="O2771" s="166"/>
      <c r="P2771" s="166"/>
      <c r="Q2771" s="166"/>
      <c r="R2771" s="166"/>
      <c r="S2771" s="166"/>
      <c r="T2771" s="166"/>
      <c r="U2771" s="166"/>
      <c r="V2771" s="166"/>
      <c r="W2771" s="166"/>
      <c r="X2771" s="166"/>
      <c r="Y2771" s="166"/>
      <c r="Z2771" s="166"/>
      <c r="AA2771" s="166"/>
      <c r="AB2771" s="166"/>
      <c r="AC2771" s="166"/>
      <c r="AD2771" s="166"/>
      <c r="AE2771" s="166"/>
      <c r="AF2771" s="166"/>
      <c r="AG2771" s="166"/>
      <c r="AH2771" s="166"/>
      <c r="AI2771" s="166"/>
    </row>
    <row r="2772" spans="7:35" x14ac:dyDescent="0.25">
      <c r="G2772" s="165"/>
      <c r="H2772" s="166"/>
      <c r="I2772" s="167"/>
      <c r="J2772" s="167"/>
      <c r="K2772" s="166"/>
      <c r="L2772" s="166"/>
      <c r="M2772" s="166"/>
      <c r="N2772" s="166"/>
      <c r="O2772" s="166"/>
      <c r="P2772" s="166"/>
      <c r="Q2772" s="166"/>
      <c r="R2772" s="166"/>
      <c r="S2772" s="166"/>
      <c r="T2772" s="166"/>
      <c r="U2772" s="166"/>
      <c r="V2772" s="166"/>
      <c r="W2772" s="166"/>
      <c r="X2772" s="166"/>
      <c r="Y2772" s="166"/>
      <c r="Z2772" s="166"/>
      <c r="AA2772" s="166"/>
      <c r="AB2772" s="166"/>
      <c r="AC2772" s="166"/>
      <c r="AD2772" s="166"/>
      <c r="AE2772" s="166"/>
      <c r="AF2772" s="166"/>
      <c r="AG2772" s="166"/>
      <c r="AH2772" s="166"/>
      <c r="AI2772" s="166"/>
    </row>
    <row r="2773" spans="7:35" x14ac:dyDescent="0.25">
      <c r="G2773" s="165"/>
      <c r="H2773" s="166"/>
      <c r="I2773" s="167"/>
      <c r="J2773" s="167"/>
      <c r="K2773" s="166"/>
      <c r="L2773" s="166"/>
      <c r="M2773" s="166"/>
      <c r="N2773" s="166"/>
      <c r="O2773" s="166"/>
      <c r="P2773" s="166"/>
      <c r="Q2773" s="166"/>
      <c r="R2773" s="166"/>
      <c r="S2773" s="166"/>
      <c r="T2773" s="166"/>
      <c r="U2773" s="166"/>
      <c r="V2773" s="166"/>
      <c r="W2773" s="166"/>
      <c r="X2773" s="166"/>
      <c r="Y2773" s="166"/>
      <c r="Z2773" s="166"/>
      <c r="AA2773" s="166"/>
      <c r="AB2773" s="166"/>
      <c r="AC2773" s="166"/>
      <c r="AD2773" s="166"/>
      <c r="AE2773" s="166"/>
      <c r="AF2773" s="166"/>
      <c r="AG2773" s="166"/>
      <c r="AH2773" s="166"/>
      <c r="AI2773" s="166"/>
    </row>
    <row r="2774" spans="7:35" x14ac:dyDescent="0.25">
      <c r="G2774" s="165"/>
      <c r="H2774" s="166"/>
      <c r="I2774" s="167"/>
      <c r="J2774" s="167"/>
      <c r="K2774" s="166"/>
      <c r="L2774" s="166"/>
      <c r="M2774" s="166"/>
      <c r="N2774" s="166"/>
      <c r="O2774" s="166"/>
      <c r="P2774" s="166"/>
      <c r="Q2774" s="166"/>
      <c r="R2774" s="166"/>
      <c r="S2774" s="166"/>
      <c r="T2774" s="166"/>
      <c r="U2774" s="166"/>
      <c r="V2774" s="166"/>
      <c r="W2774" s="166"/>
      <c r="X2774" s="166"/>
      <c r="Y2774" s="166"/>
      <c r="Z2774" s="166"/>
      <c r="AA2774" s="166"/>
      <c r="AB2774" s="166"/>
      <c r="AC2774" s="166"/>
      <c r="AD2774" s="166"/>
      <c r="AE2774" s="166"/>
      <c r="AF2774" s="166"/>
      <c r="AG2774" s="166"/>
      <c r="AH2774" s="166"/>
      <c r="AI2774" s="166"/>
    </row>
    <row r="2775" spans="7:35" x14ac:dyDescent="0.25">
      <c r="G2775" s="165"/>
      <c r="H2775" s="166"/>
      <c r="I2775" s="167"/>
      <c r="J2775" s="167"/>
      <c r="K2775" s="166"/>
      <c r="L2775" s="166"/>
      <c r="M2775" s="166"/>
      <c r="N2775" s="166"/>
      <c r="O2775" s="166"/>
      <c r="P2775" s="166"/>
      <c r="Q2775" s="166"/>
      <c r="R2775" s="166"/>
      <c r="S2775" s="166"/>
      <c r="T2775" s="166"/>
      <c r="U2775" s="166"/>
      <c r="V2775" s="166"/>
      <c r="W2775" s="166"/>
      <c r="X2775" s="166"/>
      <c r="Y2775" s="166"/>
      <c r="Z2775" s="166"/>
      <c r="AA2775" s="166"/>
      <c r="AB2775" s="166"/>
      <c r="AC2775" s="166"/>
      <c r="AD2775" s="166"/>
      <c r="AE2775" s="166"/>
      <c r="AF2775" s="166"/>
      <c r="AG2775" s="166"/>
      <c r="AH2775" s="166"/>
      <c r="AI2775" s="166"/>
    </row>
    <row r="2776" spans="7:35" x14ac:dyDescent="0.25">
      <c r="G2776" s="165"/>
      <c r="H2776" s="166"/>
      <c r="I2776" s="167"/>
      <c r="J2776" s="167"/>
      <c r="K2776" s="166"/>
      <c r="L2776" s="166"/>
      <c r="M2776" s="166"/>
      <c r="N2776" s="166"/>
      <c r="O2776" s="166"/>
      <c r="P2776" s="166"/>
      <c r="Q2776" s="166"/>
      <c r="R2776" s="166"/>
      <c r="S2776" s="166"/>
      <c r="T2776" s="166"/>
      <c r="U2776" s="166"/>
      <c r="V2776" s="166"/>
      <c r="W2776" s="166"/>
      <c r="X2776" s="166"/>
      <c r="Y2776" s="166"/>
      <c r="Z2776" s="166"/>
      <c r="AA2776" s="166"/>
      <c r="AB2776" s="166"/>
      <c r="AC2776" s="166"/>
      <c r="AD2776" s="166"/>
      <c r="AE2776" s="166"/>
      <c r="AF2776" s="166"/>
      <c r="AG2776" s="166"/>
      <c r="AH2776" s="166"/>
      <c r="AI2776" s="166"/>
    </row>
    <row r="2777" spans="7:35" x14ac:dyDescent="0.25">
      <c r="G2777" s="165"/>
      <c r="H2777" s="166"/>
      <c r="I2777" s="167"/>
      <c r="J2777" s="167"/>
      <c r="K2777" s="166"/>
      <c r="L2777" s="166"/>
      <c r="M2777" s="166"/>
      <c r="N2777" s="166"/>
      <c r="O2777" s="166"/>
      <c r="P2777" s="166"/>
      <c r="Q2777" s="166"/>
      <c r="R2777" s="166"/>
      <c r="S2777" s="166"/>
      <c r="T2777" s="166"/>
      <c r="U2777" s="166"/>
      <c r="V2777" s="166"/>
      <c r="W2777" s="166"/>
      <c r="X2777" s="166"/>
      <c r="Y2777" s="166"/>
      <c r="Z2777" s="166"/>
      <c r="AA2777" s="166"/>
      <c r="AB2777" s="166"/>
      <c r="AC2777" s="166"/>
      <c r="AD2777" s="166"/>
      <c r="AE2777" s="166"/>
      <c r="AF2777" s="166"/>
      <c r="AG2777" s="166"/>
      <c r="AH2777" s="166"/>
      <c r="AI2777" s="166"/>
    </row>
    <row r="2778" spans="7:35" x14ac:dyDescent="0.25">
      <c r="G2778" s="165"/>
      <c r="H2778" s="166"/>
      <c r="I2778" s="167"/>
      <c r="J2778" s="167"/>
      <c r="K2778" s="166"/>
      <c r="L2778" s="166"/>
      <c r="M2778" s="166"/>
      <c r="N2778" s="166"/>
      <c r="O2778" s="166"/>
      <c r="P2778" s="166"/>
      <c r="Q2778" s="166"/>
      <c r="R2778" s="166"/>
      <c r="S2778" s="166"/>
      <c r="T2778" s="166"/>
      <c r="U2778" s="166"/>
      <c r="V2778" s="166"/>
      <c r="W2778" s="166"/>
      <c r="X2778" s="166"/>
      <c r="Y2778" s="166"/>
      <c r="Z2778" s="166"/>
      <c r="AA2778" s="166"/>
      <c r="AB2778" s="166"/>
      <c r="AC2778" s="166"/>
      <c r="AD2778" s="166"/>
      <c r="AE2778" s="166"/>
      <c r="AF2778" s="166"/>
      <c r="AG2778" s="166"/>
      <c r="AH2778" s="166"/>
      <c r="AI2778" s="166"/>
    </row>
    <row r="2779" spans="7:35" x14ac:dyDescent="0.25">
      <c r="G2779" s="165"/>
      <c r="H2779" s="166"/>
      <c r="I2779" s="167"/>
      <c r="J2779" s="167"/>
      <c r="K2779" s="166"/>
      <c r="L2779" s="166"/>
      <c r="M2779" s="166"/>
      <c r="N2779" s="166"/>
      <c r="O2779" s="166"/>
      <c r="P2779" s="166"/>
      <c r="Q2779" s="166"/>
      <c r="R2779" s="166"/>
      <c r="S2779" s="166"/>
      <c r="T2779" s="166"/>
      <c r="U2779" s="166"/>
      <c r="V2779" s="166"/>
      <c r="W2779" s="166"/>
      <c r="X2779" s="166"/>
      <c r="Y2779" s="166"/>
      <c r="Z2779" s="166"/>
      <c r="AA2779" s="166"/>
      <c r="AB2779" s="166"/>
      <c r="AC2779" s="166"/>
      <c r="AD2779" s="166"/>
      <c r="AE2779" s="166"/>
      <c r="AF2779" s="166"/>
      <c r="AG2779" s="166"/>
      <c r="AH2779" s="166"/>
      <c r="AI2779" s="166"/>
    </row>
    <row r="2780" spans="7:35" x14ac:dyDescent="0.25">
      <c r="G2780" s="165"/>
      <c r="H2780" s="166"/>
      <c r="I2780" s="167"/>
      <c r="J2780" s="167"/>
      <c r="K2780" s="166"/>
      <c r="L2780" s="166"/>
      <c r="M2780" s="166"/>
      <c r="N2780" s="166"/>
      <c r="O2780" s="166"/>
      <c r="P2780" s="166"/>
      <c r="Q2780" s="166"/>
      <c r="R2780" s="166"/>
      <c r="S2780" s="166"/>
      <c r="T2780" s="166"/>
      <c r="U2780" s="166"/>
      <c r="V2780" s="166"/>
      <c r="W2780" s="166"/>
      <c r="X2780" s="166"/>
      <c r="Y2780" s="166"/>
      <c r="Z2780" s="166"/>
      <c r="AA2780" s="166"/>
      <c r="AB2780" s="166"/>
      <c r="AC2780" s="166"/>
      <c r="AD2780" s="166"/>
      <c r="AE2780" s="166"/>
      <c r="AF2780" s="166"/>
      <c r="AG2780" s="166"/>
      <c r="AH2780" s="166"/>
      <c r="AI2780" s="166"/>
    </row>
    <row r="2781" spans="7:35" x14ac:dyDescent="0.25">
      <c r="G2781" s="165"/>
      <c r="H2781" s="166"/>
      <c r="I2781" s="167"/>
      <c r="J2781" s="167"/>
      <c r="K2781" s="166"/>
      <c r="L2781" s="166"/>
      <c r="M2781" s="166"/>
      <c r="N2781" s="166"/>
      <c r="O2781" s="166"/>
      <c r="P2781" s="166"/>
      <c r="Q2781" s="166"/>
      <c r="R2781" s="166"/>
      <c r="S2781" s="166"/>
      <c r="T2781" s="166"/>
      <c r="U2781" s="166"/>
      <c r="V2781" s="166"/>
      <c r="W2781" s="166"/>
      <c r="X2781" s="166"/>
      <c r="Y2781" s="166"/>
      <c r="Z2781" s="166"/>
      <c r="AA2781" s="166"/>
      <c r="AB2781" s="166"/>
      <c r="AC2781" s="166"/>
      <c r="AD2781" s="166"/>
      <c r="AE2781" s="166"/>
      <c r="AF2781" s="166"/>
      <c r="AG2781" s="166"/>
      <c r="AH2781" s="166"/>
      <c r="AI2781" s="166"/>
    </row>
    <row r="2782" spans="7:35" x14ac:dyDescent="0.25">
      <c r="G2782" s="165"/>
      <c r="H2782" s="166"/>
      <c r="I2782" s="167"/>
      <c r="J2782" s="167"/>
      <c r="K2782" s="166"/>
      <c r="L2782" s="166"/>
      <c r="M2782" s="166"/>
      <c r="N2782" s="166"/>
      <c r="O2782" s="166"/>
      <c r="P2782" s="166"/>
      <c r="Q2782" s="166"/>
      <c r="R2782" s="166"/>
      <c r="S2782" s="166"/>
      <c r="T2782" s="166"/>
      <c r="U2782" s="166"/>
      <c r="V2782" s="166"/>
      <c r="W2782" s="166"/>
      <c r="X2782" s="166"/>
      <c r="Y2782" s="166"/>
      <c r="Z2782" s="166"/>
      <c r="AA2782" s="166"/>
      <c r="AB2782" s="166"/>
      <c r="AC2782" s="166"/>
      <c r="AD2782" s="166"/>
      <c r="AE2782" s="166"/>
      <c r="AF2782" s="166"/>
      <c r="AG2782" s="166"/>
      <c r="AH2782" s="166"/>
      <c r="AI2782" s="166"/>
    </row>
    <row r="2783" spans="7:35" x14ac:dyDescent="0.25">
      <c r="G2783" s="165"/>
      <c r="H2783" s="166"/>
      <c r="I2783" s="167"/>
      <c r="J2783" s="167"/>
      <c r="K2783" s="166"/>
      <c r="L2783" s="166"/>
      <c r="M2783" s="166"/>
      <c r="N2783" s="166"/>
      <c r="O2783" s="166"/>
      <c r="P2783" s="166"/>
      <c r="Q2783" s="166"/>
      <c r="R2783" s="166"/>
      <c r="S2783" s="166"/>
      <c r="T2783" s="166"/>
      <c r="U2783" s="166"/>
      <c r="V2783" s="166"/>
      <c r="W2783" s="166"/>
      <c r="X2783" s="166"/>
      <c r="Y2783" s="166"/>
      <c r="Z2783" s="166"/>
      <c r="AA2783" s="166"/>
      <c r="AB2783" s="166"/>
      <c r="AC2783" s="166"/>
      <c r="AD2783" s="166"/>
      <c r="AE2783" s="166"/>
      <c r="AF2783" s="166"/>
      <c r="AG2783" s="166"/>
      <c r="AH2783" s="166"/>
      <c r="AI2783" s="166"/>
    </row>
    <row r="2784" spans="7:35" x14ac:dyDescent="0.25">
      <c r="G2784" s="165"/>
      <c r="H2784" s="166"/>
      <c r="I2784" s="167"/>
      <c r="J2784" s="167"/>
      <c r="K2784" s="166"/>
      <c r="L2784" s="166"/>
      <c r="M2784" s="166"/>
      <c r="N2784" s="166"/>
      <c r="O2784" s="166"/>
      <c r="P2784" s="166"/>
      <c r="Q2784" s="166"/>
      <c r="R2784" s="166"/>
      <c r="S2784" s="166"/>
      <c r="T2784" s="166"/>
      <c r="U2784" s="166"/>
      <c r="V2784" s="166"/>
      <c r="W2784" s="166"/>
      <c r="X2784" s="166"/>
      <c r="Y2784" s="166"/>
      <c r="Z2784" s="166"/>
      <c r="AA2784" s="166"/>
      <c r="AB2784" s="166"/>
      <c r="AC2784" s="166"/>
      <c r="AD2784" s="166"/>
      <c r="AE2784" s="166"/>
      <c r="AF2784" s="166"/>
      <c r="AG2784" s="166"/>
      <c r="AH2784" s="166"/>
      <c r="AI2784" s="166"/>
    </row>
    <row r="2785" spans="7:35" x14ac:dyDescent="0.25">
      <c r="G2785" s="165"/>
      <c r="H2785" s="166"/>
      <c r="I2785" s="167"/>
      <c r="J2785" s="167"/>
      <c r="K2785" s="166"/>
      <c r="L2785" s="166"/>
      <c r="M2785" s="166"/>
      <c r="N2785" s="166"/>
      <c r="O2785" s="166"/>
      <c r="P2785" s="166"/>
      <c r="Q2785" s="166"/>
      <c r="R2785" s="166"/>
      <c r="S2785" s="166"/>
      <c r="T2785" s="166"/>
      <c r="U2785" s="166"/>
      <c r="V2785" s="166"/>
      <c r="W2785" s="166"/>
      <c r="X2785" s="166"/>
      <c r="Y2785" s="166"/>
      <c r="Z2785" s="166"/>
      <c r="AA2785" s="166"/>
      <c r="AB2785" s="166"/>
      <c r="AC2785" s="166"/>
      <c r="AD2785" s="166"/>
      <c r="AE2785" s="166"/>
      <c r="AF2785" s="166"/>
      <c r="AG2785" s="166"/>
      <c r="AH2785" s="166"/>
      <c r="AI2785" s="166"/>
    </row>
    <row r="2786" spans="7:35" x14ac:dyDescent="0.25">
      <c r="G2786" s="165"/>
      <c r="H2786" s="166"/>
      <c r="I2786" s="167"/>
      <c r="J2786" s="167"/>
      <c r="K2786" s="166"/>
      <c r="L2786" s="166"/>
      <c r="M2786" s="166"/>
      <c r="N2786" s="166"/>
      <c r="O2786" s="166"/>
      <c r="P2786" s="166"/>
      <c r="Q2786" s="166"/>
      <c r="R2786" s="166"/>
      <c r="S2786" s="166"/>
      <c r="T2786" s="166"/>
      <c r="U2786" s="166"/>
      <c r="V2786" s="166"/>
      <c r="W2786" s="166"/>
      <c r="X2786" s="166"/>
      <c r="Y2786" s="166"/>
      <c r="Z2786" s="166"/>
      <c r="AA2786" s="166"/>
      <c r="AB2786" s="166"/>
      <c r="AC2786" s="166"/>
      <c r="AD2786" s="166"/>
      <c r="AE2786" s="166"/>
      <c r="AF2786" s="166"/>
      <c r="AG2786" s="166"/>
      <c r="AH2786" s="166"/>
      <c r="AI2786" s="166"/>
    </row>
    <row r="2787" spans="7:35" x14ac:dyDescent="0.25">
      <c r="G2787" s="165"/>
      <c r="H2787" s="166"/>
      <c r="I2787" s="167"/>
      <c r="J2787" s="167"/>
      <c r="K2787" s="166"/>
      <c r="L2787" s="166"/>
      <c r="M2787" s="166"/>
      <c r="N2787" s="166"/>
      <c r="O2787" s="166"/>
      <c r="P2787" s="166"/>
      <c r="Q2787" s="166"/>
      <c r="R2787" s="166"/>
      <c r="S2787" s="166"/>
      <c r="T2787" s="166"/>
      <c r="U2787" s="166"/>
      <c r="V2787" s="166"/>
      <c r="W2787" s="166"/>
      <c r="X2787" s="166"/>
      <c r="Y2787" s="166"/>
      <c r="Z2787" s="166"/>
      <c r="AA2787" s="166"/>
      <c r="AB2787" s="166"/>
      <c r="AC2787" s="166"/>
      <c r="AD2787" s="166"/>
      <c r="AE2787" s="166"/>
      <c r="AF2787" s="166"/>
      <c r="AG2787" s="166"/>
      <c r="AH2787" s="166"/>
      <c r="AI2787" s="166"/>
    </row>
    <row r="2788" spans="7:35" x14ac:dyDescent="0.25">
      <c r="G2788" s="165"/>
      <c r="H2788" s="166"/>
      <c r="I2788" s="167"/>
      <c r="J2788" s="167"/>
      <c r="K2788" s="166"/>
      <c r="L2788" s="166"/>
      <c r="M2788" s="166"/>
      <c r="N2788" s="166"/>
      <c r="O2788" s="166"/>
      <c r="P2788" s="166"/>
      <c r="Q2788" s="166"/>
      <c r="R2788" s="166"/>
      <c r="S2788" s="166"/>
      <c r="T2788" s="166"/>
      <c r="U2788" s="166"/>
      <c r="V2788" s="166"/>
      <c r="W2788" s="166"/>
      <c r="X2788" s="166"/>
      <c r="Y2788" s="166"/>
      <c r="Z2788" s="166"/>
      <c r="AA2788" s="166"/>
      <c r="AB2788" s="166"/>
      <c r="AC2788" s="166"/>
      <c r="AD2788" s="166"/>
      <c r="AE2788" s="166"/>
      <c r="AF2788" s="166"/>
      <c r="AG2788" s="166"/>
      <c r="AH2788" s="166"/>
      <c r="AI2788" s="166"/>
    </row>
    <row r="2789" spans="7:35" x14ac:dyDescent="0.25">
      <c r="G2789" s="165"/>
      <c r="H2789" s="166"/>
      <c r="I2789" s="167"/>
      <c r="J2789" s="167"/>
      <c r="K2789" s="166"/>
      <c r="L2789" s="166"/>
      <c r="M2789" s="166"/>
      <c r="N2789" s="166"/>
      <c r="O2789" s="166"/>
      <c r="P2789" s="166"/>
      <c r="Q2789" s="166"/>
      <c r="R2789" s="166"/>
      <c r="S2789" s="166"/>
      <c r="T2789" s="166"/>
      <c r="U2789" s="166"/>
      <c r="V2789" s="166"/>
      <c r="W2789" s="166"/>
      <c r="X2789" s="166"/>
      <c r="Y2789" s="166"/>
      <c r="Z2789" s="166"/>
      <c r="AA2789" s="166"/>
      <c r="AB2789" s="166"/>
      <c r="AC2789" s="166"/>
      <c r="AD2789" s="166"/>
      <c r="AE2789" s="166"/>
      <c r="AF2789" s="166"/>
      <c r="AG2789" s="166"/>
      <c r="AH2789" s="166"/>
      <c r="AI2789" s="166"/>
    </row>
    <row r="2790" spans="7:35" x14ac:dyDescent="0.25">
      <c r="G2790" s="165"/>
      <c r="H2790" s="166"/>
      <c r="I2790" s="167"/>
      <c r="J2790" s="167"/>
      <c r="K2790" s="166"/>
      <c r="L2790" s="166"/>
      <c r="M2790" s="166"/>
      <c r="N2790" s="166"/>
      <c r="O2790" s="166"/>
      <c r="P2790" s="166"/>
      <c r="Q2790" s="166"/>
      <c r="R2790" s="166"/>
      <c r="S2790" s="166"/>
      <c r="T2790" s="166"/>
      <c r="U2790" s="166"/>
      <c r="V2790" s="166"/>
      <c r="W2790" s="166"/>
      <c r="X2790" s="166"/>
      <c r="Y2790" s="166"/>
      <c r="Z2790" s="166"/>
      <c r="AA2790" s="166"/>
      <c r="AB2790" s="166"/>
      <c r="AC2790" s="166"/>
      <c r="AD2790" s="166"/>
      <c r="AE2790" s="166"/>
      <c r="AF2790" s="166"/>
      <c r="AG2790" s="166"/>
      <c r="AH2790" s="166"/>
      <c r="AI2790" s="166"/>
    </row>
    <row r="2791" spans="7:35" x14ac:dyDescent="0.25">
      <c r="G2791" s="165"/>
      <c r="H2791" s="166"/>
      <c r="I2791" s="167"/>
      <c r="J2791" s="167"/>
      <c r="K2791" s="166"/>
      <c r="L2791" s="166"/>
      <c r="M2791" s="166"/>
      <c r="N2791" s="166"/>
      <c r="O2791" s="166"/>
      <c r="P2791" s="166"/>
      <c r="Q2791" s="166"/>
      <c r="R2791" s="166"/>
      <c r="S2791" s="166"/>
      <c r="T2791" s="166"/>
      <c r="U2791" s="166"/>
      <c r="V2791" s="166"/>
      <c r="W2791" s="166"/>
      <c r="X2791" s="166"/>
      <c r="Y2791" s="166"/>
      <c r="Z2791" s="166"/>
      <c r="AA2791" s="166"/>
      <c r="AB2791" s="166"/>
      <c r="AC2791" s="166"/>
      <c r="AD2791" s="166"/>
      <c r="AE2791" s="166"/>
      <c r="AF2791" s="166"/>
      <c r="AG2791" s="166"/>
      <c r="AH2791" s="166"/>
      <c r="AI2791" s="166"/>
    </row>
    <row r="2792" spans="7:35" x14ac:dyDescent="0.25">
      <c r="G2792" s="165"/>
      <c r="H2792" s="166"/>
      <c r="I2792" s="167"/>
      <c r="J2792" s="167"/>
      <c r="K2792" s="166"/>
      <c r="L2792" s="166"/>
      <c r="M2792" s="166"/>
      <c r="N2792" s="166"/>
      <c r="O2792" s="166"/>
      <c r="P2792" s="166"/>
      <c r="Q2792" s="166"/>
      <c r="R2792" s="166"/>
      <c r="S2792" s="166"/>
      <c r="T2792" s="166"/>
      <c r="U2792" s="166"/>
      <c r="V2792" s="166"/>
      <c r="W2792" s="166"/>
      <c r="X2792" s="166"/>
      <c r="Y2792" s="166"/>
      <c r="Z2792" s="166"/>
      <c r="AA2792" s="166"/>
      <c r="AB2792" s="166"/>
      <c r="AC2792" s="166"/>
      <c r="AD2792" s="166"/>
      <c r="AE2792" s="166"/>
      <c r="AF2792" s="166"/>
      <c r="AG2792" s="166"/>
      <c r="AH2792" s="166"/>
      <c r="AI2792" s="166"/>
    </row>
    <row r="2793" spans="7:35" x14ac:dyDescent="0.25">
      <c r="G2793" s="165"/>
      <c r="H2793" s="166"/>
      <c r="I2793" s="167"/>
      <c r="J2793" s="167"/>
      <c r="K2793" s="166"/>
      <c r="L2793" s="166"/>
      <c r="M2793" s="166"/>
      <c r="N2793" s="166"/>
      <c r="O2793" s="166"/>
      <c r="P2793" s="166"/>
      <c r="Q2793" s="166"/>
      <c r="R2793" s="166"/>
      <c r="S2793" s="166"/>
      <c r="T2793" s="166"/>
      <c r="U2793" s="166"/>
      <c r="V2793" s="166"/>
      <c r="W2793" s="166"/>
      <c r="X2793" s="166"/>
      <c r="Y2793" s="166"/>
      <c r="Z2793" s="166"/>
      <c r="AA2793" s="166"/>
      <c r="AB2793" s="166"/>
      <c r="AC2793" s="166"/>
      <c r="AD2793" s="166"/>
      <c r="AE2793" s="166"/>
      <c r="AF2793" s="166"/>
      <c r="AG2793" s="166"/>
      <c r="AH2793" s="166"/>
      <c r="AI2793" s="166"/>
    </row>
    <row r="2794" spans="7:35" x14ac:dyDescent="0.25">
      <c r="G2794" s="165"/>
      <c r="H2794" s="166"/>
      <c r="I2794" s="167"/>
      <c r="J2794" s="167"/>
      <c r="K2794" s="166"/>
      <c r="L2794" s="166"/>
      <c r="M2794" s="166"/>
      <c r="N2794" s="166"/>
      <c r="O2794" s="166"/>
      <c r="P2794" s="166"/>
      <c r="Q2794" s="166"/>
      <c r="R2794" s="166"/>
      <c r="S2794" s="166"/>
      <c r="T2794" s="166"/>
      <c r="U2794" s="166"/>
      <c r="V2794" s="166"/>
      <c r="W2794" s="166"/>
      <c r="X2794" s="166"/>
      <c r="Y2794" s="166"/>
      <c r="Z2794" s="166"/>
      <c r="AA2794" s="166"/>
      <c r="AB2794" s="166"/>
      <c r="AC2794" s="166"/>
      <c r="AD2794" s="166"/>
      <c r="AE2794" s="166"/>
      <c r="AF2794" s="166"/>
      <c r="AG2794" s="166"/>
      <c r="AH2794" s="166"/>
      <c r="AI2794" s="166"/>
    </row>
    <row r="2795" spans="7:35" x14ac:dyDescent="0.25">
      <c r="G2795" s="165"/>
      <c r="H2795" s="166"/>
      <c r="I2795" s="167"/>
      <c r="J2795" s="167"/>
      <c r="K2795" s="166"/>
      <c r="L2795" s="166"/>
      <c r="M2795" s="166"/>
      <c r="N2795" s="166"/>
      <c r="O2795" s="166"/>
      <c r="P2795" s="166"/>
      <c r="Q2795" s="166"/>
      <c r="R2795" s="166"/>
      <c r="S2795" s="166"/>
      <c r="T2795" s="166"/>
      <c r="U2795" s="166"/>
      <c r="V2795" s="166"/>
      <c r="W2795" s="166"/>
      <c r="X2795" s="166"/>
      <c r="Y2795" s="166"/>
      <c r="Z2795" s="166"/>
      <c r="AA2795" s="166"/>
      <c r="AB2795" s="166"/>
      <c r="AC2795" s="166"/>
      <c r="AD2795" s="166"/>
      <c r="AE2795" s="166"/>
      <c r="AF2795" s="166"/>
      <c r="AG2795" s="166"/>
      <c r="AH2795" s="166"/>
      <c r="AI2795" s="166"/>
    </row>
    <row r="2796" spans="7:35" x14ac:dyDescent="0.25">
      <c r="G2796" s="165"/>
      <c r="H2796" s="166"/>
      <c r="I2796" s="167"/>
      <c r="J2796" s="167"/>
      <c r="K2796" s="166"/>
      <c r="L2796" s="166"/>
      <c r="M2796" s="166"/>
      <c r="N2796" s="166"/>
      <c r="O2796" s="166"/>
      <c r="P2796" s="166"/>
      <c r="Q2796" s="166"/>
      <c r="R2796" s="166"/>
      <c r="S2796" s="166"/>
      <c r="T2796" s="166"/>
      <c r="U2796" s="166"/>
      <c r="V2796" s="166"/>
      <c r="W2796" s="166"/>
      <c r="X2796" s="166"/>
      <c r="Y2796" s="166"/>
      <c r="Z2796" s="166"/>
      <c r="AA2796" s="166"/>
      <c r="AB2796" s="166"/>
      <c r="AC2796" s="166"/>
      <c r="AD2796" s="166"/>
      <c r="AE2796" s="166"/>
      <c r="AF2796" s="166"/>
      <c r="AG2796" s="166"/>
      <c r="AH2796" s="166"/>
      <c r="AI2796" s="166"/>
    </row>
    <row r="2797" spans="7:35" x14ac:dyDescent="0.25">
      <c r="G2797" s="165"/>
      <c r="H2797" s="166"/>
      <c r="I2797" s="167"/>
      <c r="J2797" s="167"/>
      <c r="K2797" s="166"/>
      <c r="L2797" s="166"/>
      <c r="M2797" s="166"/>
      <c r="N2797" s="166"/>
      <c r="O2797" s="166"/>
      <c r="P2797" s="166"/>
      <c r="Q2797" s="166"/>
      <c r="R2797" s="166"/>
      <c r="S2797" s="166"/>
      <c r="T2797" s="166"/>
      <c r="U2797" s="166"/>
      <c r="V2797" s="166"/>
      <c r="W2797" s="166"/>
      <c r="X2797" s="166"/>
      <c r="Y2797" s="166"/>
      <c r="Z2797" s="166"/>
      <c r="AA2797" s="166"/>
      <c r="AB2797" s="166"/>
      <c r="AC2797" s="166"/>
      <c r="AD2797" s="166"/>
      <c r="AE2797" s="166"/>
      <c r="AF2797" s="166"/>
      <c r="AG2797" s="166"/>
      <c r="AH2797" s="166"/>
      <c r="AI2797" s="166"/>
    </row>
    <row r="2798" spans="7:35" x14ac:dyDescent="0.25">
      <c r="G2798" s="165"/>
      <c r="H2798" s="166"/>
      <c r="I2798" s="167"/>
      <c r="J2798" s="167"/>
      <c r="K2798" s="166"/>
      <c r="L2798" s="166"/>
      <c r="M2798" s="166"/>
      <c r="N2798" s="166"/>
      <c r="O2798" s="166"/>
      <c r="P2798" s="166"/>
      <c r="Q2798" s="166"/>
      <c r="R2798" s="166"/>
      <c r="S2798" s="166"/>
      <c r="T2798" s="166"/>
      <c r="U2798" s="166"/>
      <c r="V2798" s="166"/>
      <c r="W2798" s="166"/>
      <c r="X2798" s="166"/>
      <c r="Y2798" s="166"/>
      <c r="Z2798" s="166"/>
      <c r="AA2798" s="166"/>
      <c r="AB2798" s="166"/>
      <c r="AC2798" s="166"/>
      <c r="AD2798" s="166"/>
      <c r="AE2798" s="166"/>
      <c r="AF2798" s="166"/>
      <c r="AG2798" s="166"/>
      <c r="AH2798" s="166"/>
      <c r="AI2798" s="166"/>
    </row>
    <row r="2799" spans="7:35" x14ac:dyDescent="0.25">
      <c r="G2799" s="165"/>
      <c r="H2799" s="166"/>
      <c r="I2799" s="167"/>
      <c r="J2799" s="167"/>
      <c r="K2799" s="166"/>
      <c r="L2799" s="166"/>
      <c r="M2799" s="166"/>
      <c r="N2799" s="166"/>
      <c r="O2799" s="166"/>
      <c r="P2799" s="166"/>
      <c r="Q2799" s="166"/>
      <c r="R2799" s="166"/>
      <c r="S2799" s="166"/>
      <c r="T2799" s="166"/>
      <c r="U2799" s="166"/>
      <c r="V2799" s="166"/>
      <c r="W2799" s="166"/>
      <c r="X2799" s="166"/>
      <c r="Y2799" s="166"/>
      <c r="Z2799" s="166"/>
      <c r="AA2799" s="166"/>
      <c r="AB2799" s="166"/>
      <c r="AC2799" s="166"/>
      <c r="AD2799" s="166"/>
      <c r="AE2799" s="166"/>
      <c r="AF2799" s="166"/>
      <c r="AG2799" s="166"/>
      <c r="AH2799" s="166"/>
      <c r="AI2799" s="166"/>
    </row>
    <row r="2800" spans="7:35" x14ac:dyDescent="0.25">
      <c r="G2800" s="165"/>
      <c r="H2800" s="166"/>
      <c r="I2800" s="167"/>
      <c r="J2800" s="167"/>
      <c r="K2800" s="166"/>
      <c r="L2800" s="166"/>
      <c r="M2800" s="166"/>
      <c r="N2800" s="166"/>
      <c r="O2800" s="166"/>
      <c r="P2800" s="166"/>
      <c r="Q2800" s="166"/>
      <c r="R2800" s="166"/>
      <c r="S2800" s="166"/>
      <c r="T2800" s="166"/>
      <c r="U2800" s="166"/>
      <c r="V2800" s="166"/>
      <c r="W2800" s="166"/>
      <c r="X2800" s="166"/>
      <c r="Y2800" s="166"/>
      <c r="Z2800" s="166"/>
      <c r="AA2800" s="166"/>
      <c r="AB2800" s="166"/>
      <c r="AC2800" s="166"/>
      <c r="AD2800" s="166"/>
      <c r="AE2800" s="166"/>
      <c r="AF2800" s="166"/>
      <c r="AG2800" s="166"/>
      <c r="AH2800" s="166"/>
      <c r="AI2800" s="166"/>
    </row>
    <row r="2801" spans="7:35" x14ac:dyDescent="0.25">
      <c r="G2801" s="165"/>
      <c r="H2801" s="166"/>
      <c r="I2801" s="167"/>
      <c r="J2801" s="167"/>
      <c r="K2801" s="166"/>
      <c r="L2801" s="166"/>
      <c r="M2801" s="166"/>
      <c r="N2801" s="166"/>
      <c r="O2801" s="166"/>
      <c r="P2801" s="166"/>
      <c r="Q2801" s="166"/>
      <c r="R2801" s="166"/>
      <c r="S2801" s="166"/>
      <c r="T2801" s="166"/>
      <c r="U2801" s="166"/>
      <c r="V2801" s="166"/>
      <c r="W2801" s="166"/>
      <c r="X2801" s="166"/>
      <c r="Y2801" s="166"/>
      <c r="Z2801" s="166"/>
      <c r="AA2801" s="166"/>
      <c r="AB2801" s="166"/>
      <c r="AC2801" s="166"/>
      <c r="AD2801" s="166"/>
      <c r="AE2801" s="166"/>
      <c r="AF2801" s="166"/>
      <c r="AG2801" s="166"/>
      <c r="AH2801" s="166"/>
      <c r="AI2801" s="166"/>
    </row>
    <row r="2802" spans="7:35" x14ac:dyDescent="0.25">
      <c r="G2802" s="165"/>
      <c r="H2802" s="166"/>
      <c r="I2802" s="167"/>
      <c r="J2802" s="167"/>
      <c r="K2802" s="166"/>
      <c r="L2802" s="166"/>
      <c r="M2802" s="166"/>
      <c r="N2802" s="166"/>
      <c r="O2802" s="166"/>
      <c r="P2802" s="166"/>
      <c r="Q2802" s="166"/>
      <c r="R2802" s="166"/>
      <c r="S2802" s="166"/>
      <c r="T2802" s="166"/>
      <c r="U2802" s="166"/>
      <c r="V2802" s="166"/>
      <c r="W2802" s="166"/>
      <c r="X2802" s="166"/>
      <c r="Y2802" s="166"/>
      <c r="Z2802" s="166"/>
      <c r="AA2802" s="166"/>
      <c r="AB2802" s="166"/>
      <c r="AC2802" s="166"/>
      <c r="AD2802" s="166"/>
      <c r="AE2802" s="166"/>
      <c r="AF2802" s="166"/>
      <c r="AG2802" s="166"/>
      <c r="AH2802" s="166"/>
      <c r="AI2802" s="166"/>
    </row>
    <row r="2803" spans="7:35" x14ac:dyDescent="0.25">
      <c r="G2803" s="165"/>
      <c r="H2803" s="166"/>
      <c r="I2803" s="167"/>
      <c r="J2803" s="167"/>
      <c r="K2803" s="166"/>
      <c r="L2803" s="166"/>
      <c r="M2803" s="166"/>
      <c r="N2803" s="166"/>
      <c r="O2803" s="166"/>
      <c r="P2803" s="166"/>
      <c r="Q2803" s="166"/>
      <c r="R2803" s="166"/>
      <c r="S2803" s="166"/>
      <c r="T2803" s="166"/>
      <c r="U2803" s="166"/>
      <c r="V2803" s="166"/>
      <c r="W2803" s="166"/>
      <c r="X2803" s="166"/>
      <c r="Y2803" s="166"/>
      <c r="Z2803" s="166"/>
      <c r="AA2803" s="166"/>
      <c r="AB2803" s="166"/>
      <c r="AC2803" s="166"/>
      <c r="AD2803" s="166"/>
      <c r="AE2803" s="166"/>
      <c r="AF2803" s="166"/>
      <c r="AG2803" s="166"/>
      <c r="AH2803" s="166"/>
      <c r="AI2803" s="166"/>
    </row>
    <row r="2804" spans="7:35" x14ac:dyDescent="0.25">
      <c r="G2804" s="165"/>
      <c r="H2804" s="166"/>
      <c r="I2804" s="167"/>
      <c r="J2804" s="167"/>
      <c r="K2804" s="166"/>
      <c r="L2804" s="166"/>
      <c r="M2804" s="166"/>
      <c r="N2804" s="166"/>
      <c r="O2804" s="166"/>
      <c r="P2804" s="166"/>
      <c r="Q2804" s="166"/>
      <c r="R2804" s="166"/>
      <c r="S2804" s="166"/>
      <c r="T2804" s="166"/>
      <c r="U2804" s="166"/>
      <c r="V2804" s="166"/>
      <c r="W2804" s="166"/>
      <c r="X2804" s="166"/>
      <c r="Y2804" s="166"/>
      <c r="Z2804" s="166"/>
      <c r="AA2804" s="166"/>
      <c r="AB2804" s="166"/>
      <c r="AC2804" s="166"/>
      <c r="AD2804" s="166"/>
      <c r="AE2804" s="166"/>
      <c r="AF2804" s="166"/>
      <c r="AG2804" s="166"/>
      <c r="AH2804" s="166"/>
      <c r="AI2804" s="166"/>
    </row>
    <row r="2805" spans="7:35" x14ac:dyDescent="0.25">
      <c r="G2805" s="165"/>
      <c r="H2805" s="166"/>
      <c r="I2805" s="167"/>
      <c r="J2805" s="167"/>
      <c r="K2805" s="166"/>
      <c r="L2805" s="166"/>
      <c r="M2805" s="166"/>
      <c r="N2805" s="166"/>
      <c r="O2805" s="166"/>
      <c r="P2805" s="166"/>
      <c r="Q2805" s="166"/>
      <c r="R2805" s="166"/>
      <c r="S2805" s="166"/>
      <c r="T2805" s="166"/>
      <c r="U2805" s="166"/>
      <c r="V2805" s="166"/>
      <c r="W2805" s="166"/>
      <c r="X2805" s="166"/>
      <c r="Y2805" s="166"/>
      <c r="Z2805" s="166"/>
      <c r="AA2805" s="166"/>
      <c r="AB2805" s="166"/>
      <c r="AC2805" s="166"/>
      <c r="AD2805" s="166"/>
      <c r="AE2805" s="166"/>
      <c r="AF2805" s="166"/>
      <c r="AG2805" s="166"/>
      <c r="AH2805" s="166"/>
      <c r="AI2805" s="166"/>
    </row>
    <row r="2806" spans="7:35" x14ac:dyDescent="0.25">
      <c r="G2806" s="165"/>
      <c r="H2806" s="166"/>
      <c r="I2806" s="167"/>
      <c r="J2806" s="167"/>
      <c r="K2806" s="166"/>
      <c r="L2806" s="166"/>
      <c r="M2806" s="166"/>
      <c r="N2806" s="166"/>
      <c r="O2806" s="166"/>
      <c r="P2806" s="166"/>
      <c r="Q2806" s="166"/>
      <c r="R2806" s="166"/>
      <c r="S2806" s="166"/>
      <c r="T2806" s="166"/>
      <c r="U2806" s="166"/>
      <c r="V2806" s="166"/>
      <c r="W2806" s="166"/>
      <c r="X2806" s="166"/>
      <c r="Y2806" s="166"/>
      <c r="Z2806" s="166"/>
      <c r="AA2806" s="166"/>
      <c r="AB2806" s="166"/>
      <c r="AC2806" s="166"/>
      <c r="AD2806" s="166"/>
      <c r="AE2806" s="166"/>
      <c r="AF2806" s="166"/>
      <c r="AG2806" s="166"/>
      <c r="AH2806" s="166"/>
      <c r="AI2806" s="166"/>
    </row>
    <row r="2807" spans="7:35" x14ac:dyDescent="0.25">
      <c r="G2807" s="165"/>
      <c r="H2807" s="166"/>
      <c r="I2807" s="167"/>
      <c r="J2807" s="167"/>
      <c r="K2807" s="166"/>
      <c r="L2807" s="166"/>
      <c r="M2807" s="166"/>
      <c r="N2807" s="166"/>
      <c r="O2807" s="166"/>
      <c r="P2807" s="166"/>
      <c r="Q2807" s="166"/>
      <c r="R2807" s="166"/>
      <c r="S2807" s="166"/>
      <c r="T2807" s="166"/>
      <c r="U2807" s="166"/>
      <c r="V2807" s="166"/>
      <c r="W2807" s="166"/>
      <c r="X2807" s="166"/>
      <c r="Y2807" s="166"/>
      <c r="Z2807" s="166"/>
      <c r="AA2807" s="166"/>
      <c r="AB2807" s="166"/>
      <c r="AC2807" s="166"/>
      <c r="AD2807" s="166"/>
      <c r="AE2807" s="166"/>
      <c r="AF2807" s="166"/>
      <c r="AG2807" s="166"/>
      <c r="AH2807" s="166"/>
      <c r="AI2807" s="166"/>
    </row>
    <row r="2808" spans="7:35" x14ac:dyDescent="0.25">
      <c r="G2808" s="165"/>
      <c r="H2808" s="166"/>
      <c r="I2808" s="167"/>
      <c r="J2808" s="167"/>
      <c r="K2808" s="166"/>
      <c r="L2808" s="166"/>
      <c r="M2808" s="166"/>
      <c r="N2808" s="166"/>
      <c r="O2808" s="166"/>
      <c r="P2808" s="166"/>
      <c r="Q2808" s="166"/>
      <c r="R2808" s="166"/>
      <c r="S2808" s="166"/>
      <c r="T2808" s="166"/>
      <c r="U2808" s="166"/>
      <c r="V2808" s="166"/>
      <c r="W2808" s="166"/>
      <c r="X2808" s="166"/>
      <c r="Y2808" s="166"/>
      <c r="Z2808" s="166"/>
      <c r="AA2808" s="166"/>
      <c r="AB2808" s="166"/>
      <c r="AC2808" s="166"/>
      <c r="AD2808" s="166"/>
      <c r="AE2808" s="166"/>
      <c r="AF2808" s="166"/>
      <c r="AG2808" s="166"/>
      <c r="AH2808" s="166"/>
      <c r="AI2808" s="166"/>
    </row>
    <row r="2809" spans="7:35" x14ac:dyDescent="0.25">
      <c r="G2809" s="165"/>
      <c r="H2809" s="166"/>
      <c r="I2809" s="167"/>
      <c r="J2809" s="167"/>
      <c r="K2809" s="166"/>
      <c r="L2809" s="166"/>
      <c r="M2809" s="166"/>
      <c r="N2809" s="166"/>
      <c r="O2809" s="166"/>
      <c r="P2809" s="166"/>
      <c r="Q2809" s="166"/>
      <c r="R2809" s="166"/>
      <c r="S2809" s="166"/>
      <c r="T2809" s="166"/>
      <c r="U2809" s="166"/>
      <c r="V2809" s="166"/>
      <c r="W2809" s="166"/>
      <c r="X2809" s="166"/>
      <c r="Y2809" s="166"/>
      <c r="Z2809" s="166"/>
      <c r="AA2809" s="166"/>
      <c r="AB2809" s="166"/>
      <c r="AC2809" s="166"/>
      <c r="AD2809" s="166"/>
      <c r="AE2809" s="166"/>
      <c r="AF2809" s="166"/>
      <c r="AG2809" s="166"/>
      <c r="AH2809" s="166"/>
      <c r="AI2809" s="166"/>
    </row>
    <row r="2810" spans="7:35" x14ac:dyDescent="0.25">
      <c r="G2810" s="165"/>
      <c r="H2810" s="166"/>
      <c r="I2810" s="167"/>
      <c r="J2810" s="167"/>
      <c r="K2810" s="166"/>
      <c r="L2810" s="166"/>
      <c r="M2810" s="166"/>
      <c r="N2810" s="166"/>
      <c r="O2810" s="166"/>
      <c r="P2810" s="166"/>
      <c r="Q2810" s="166"/>
      <c r="R2810" s="166"/>
      <c r="S2810" s="166"/>
      <c r="T2810" s="166"/>
      <c r="U2810" s="166"/>
      <c r="V2810" s="166"/>
      <c r="W2810" s="166"/>
      <c r="X2810" s="166"/>
      <c r="Y2810" s="166"/>
      <c r="Z2810" s="166"/>
      <c r="AA2810" s="166"/>
      <c r="AB2810" s="166"/>
      <c r="AC2810" s="166"/>
      <c r="AD2810" s="166"/>
      <c r="AE2810" s="166"/>
      <c r="AF2810" s="166"/>
      <c r="AG2810" s="166"/>
      <c r="AH2810" s="166"/>
      <c r="AI2810" s="166"/>
    </row>
    <row r="2811" spans="7:35" x14ac:dyDescent="0.25">
      <c r="G2811" s="165"/>
      <c r="H2811" s="166"/>
      <c r="I2811" s="167"/>
      <c r="J2811" s="167"/>
      <c r="K2811" s="166"/>
      <c r="L2811" s="166"/>
      <c r="M2811" s="166"/>
      <c r="N2811" s="166"/>
      <c r="O2811" s="166"/>
      <c r="P2811" s="166"/>
      <c r="Q2811" s="166"/>
      <c r="R2811" s="166"/>
      <c r="S2811" s="166"/>
      <c r="T2811" s="166"/>
      <c r="U2811" s="166"/>
      <c r="V2811" s="166"/>
      <c r="W2811" s="166"/>
      <c r="X2811" s="166"/>
      <c r="Y2811" s="166"/>
      <c r="Z2811" s="166"/>
      <c r="AA2811" s="166"/>
      <c r="AB2811" s="166"/>
      <c r="AC2811" s="166"/>
      <c r="AD2811" s="166"/>
      <c r="AE2811" s="166"/>
      <c r="AF2811" s="166"/>
      <c r="AG2811" s="166"/>
      <c r="AH2811" s="166"/>
      <c r="AI2811" s="166"/>
    </row>
    <row r="2812" spans="7:35" x14ac:dyDescent="0.25">
      <c r="G2812" s="165"/>
      <c r="H2812" s="166"/>
      <c r="I2812" s="167"/>
      <c r="J2812" s="167"/>
      <c r="K2812" s="166"/>
      <c r="L2812" s="166"/>
      <c r="M2812" s="166"/>
      <c r="N2812" s="166"/>
      <c r="O2812" s="166"/>
      <c r="P2812" s="166"/>
      <c r="Q2812" s="166"/>
      <c r="R2812" s="166"/>
      <c r="S2812" s="166"/>
      <c r="T2812" s="166"/>
      <c r="U2812" s="166"/>
      <c r="V2812" s="166"/>
      <c r="W2812" s="166"/>
      <c r="X2812" s="166"/>
      <c r="Y2812" s="166"/>
      <c r="Z2812" s="166"/>
      <c r="AA2812" s="166"/>
      <c r="AB2812" s="166"/>
      <c r="AC2812" s="166"/>
      <c r="AD2812" s="166"/>
      <c r="AE2812" s="166"/>
      <c r="AF2812" s="166"/>
      <c r="AG2812" s="166"/>
      <c r="AH2812" s="166"/>
      <c r="AI2812" s="166"/>
    </row>
    <row r="2813" spans="7:35" x14ac:dyDescent="0.25">
      <c r="G2813" s="165"/>
      <c r="H2813" s="166"/>
      <c r="I2813" s="167"/>
      <c r="J2813" s="167"/>
      <c r="K2813" s="166"/>
      <c r="L2813" s="166"/>
      <c r="M2813" s="166"/>
      <c r="N2813" s="166"/>
      <c r="O2813" s="166"/>
      <c r="P2813" s="166"/>
      <c r="Q2813" s="166"/>
      <c r="R2813" s="166"/>
      <c r="S2813" s="166"/>
      <c r="T2813" s="166"/>
      <c r="U2813" s="166"/>
      <c r="V2813" s="166"/>
      <c r="W2813" s="166"/>
      <c r="X2813" s="166"/>
      <c r="Y2813" s="166"/>
      <c r="Z2813" s="166"/>
      <c r="AA2813" s="166"/>
      <c r="AB2813" s="166"/>
      <c r="AC2813" s="166"/>
      <c r="AD2813" s="166"/>
      <c r="AE2813" s="166"/>
      <c r="AF2813" s="166"/>
      <c r="AG2813" s="166"/>
      <c r="AH2813" s="166"/>
      <c r="AI2813" s="166"/>
    </row>
    <row r="2814" spans="7:35" x14ac:dyDescent="0.25">
      <c r="G2814" s="165"/>
      <c r="H2814" s="166"/>
      <c r="I2814" s="167"/>
      <c r="J2814" s="167"/>
      <c r="K2814" s="166"/>
      <c r="L2814" s="166"/>
      <c r="M2814" s="166"/>
      <c r="N2814" s="166"/>
      <c r="O2814" s="166"/>
      <c r="P2814" s="166"/>
      <c r="Q2814" s="166"/>
      <c r="R2814" s="166"/>
      <c r="S2814" s="166"/>
      <c r="T2814" s="166"/>
      <c r="U2814" s="166"/>
      <c r="V2814" s="166"/>
      <c r="W2814" s="166"/>
      <c r="X2814" s="166"/>
      <c r="Y2814" s="166"/>
      <c r="Z2814" s="166"/>
      <c r="AA2814" s="166"/>
      <c r="AB2814" s="166"/>
      <c r="AC2814" s="166"/>
      <c r="AD2814" s="166"/>
      <c r="AE2814" s="166"/>
      <c r="AF2814" s="166"/>
      <c r="AG2814" s="166"/>
      <c r="AH2814" s="166"/>
      <c r="AI2814" s="166"/>
    </row>
    <row r="2815" spans="7:35" x14ac:dyDescent="0.25">
      <c r="G2815" s="165"/>
      <c r="H2815" s="166"/>
      <c r="I2815" s="167"/>
      <c r="J2815" s="167"/>
      <c r="K2815" s="166"/>
      <c r="L2815" s="166"/>
      <c r="M2815" s="166"/>
      <c r="N2815" s="166"/>
      <c r="O2815" s="166"/>
      <c r="P2815" s="166"/>
      <c r="Q2815" s="166"/>
      <c r="R2815" s="166"/>
      <c r="S2815" s="166"/>
      <c r="T2815" s="166"/>
      <c r="U2815" s="166"/>
      <c r="V2815" s="166"/>
      <c r="W2815" s="166"/>
      <c r="X2815" s="166"/>
      <c r="Y2815" s="166"/>
      <c r="Z2815" s="166"/>
      <c r="AA2815" s="166"/>
      <c r="AB2815" s="166"/>
      <c r="AC2815" s="166"/>
      <c r="AD2815" s="166"/>
      <c r="AE2815" s="166"/>
      <c r="AF2815" s="166"/>
      <c r="AG2815" s="166"/>
      <c r="AH2815" s="166"/>
      <c r="AI2815" s="166"/>
    </row>
    <row r="2816" spans="7:35" x14ac:dyDescent="0.25">
      <c r="G2816" s="165"/>
      <c r="H2816" s="166"/>
      <c r="I2816" s="167"/>
      <c r="J2816" s="167"/>
      <c r="K2816" s="166"/>
      <c r="L2816" s="166"/>
      <c r="M2816" s="166"/>
      <c r="N2816" s="166"/>
      <c r="O2816" s="166"/>
      <c r="P2816" s="166"/>
      <c r="Q2816" s="166"/>
      <c r="R2816" s="166"/>
      <c r="S2816" s="166"/>
      <c r="T2816" s="166"/>
      <c r="U2816" s="166"/>
      <c r="V2816" s="166"/>
      <c r="W2816" s="166"/>
      <c r="X2816" s="166"/>
      <c r="Y2816" s="166"/>
      <c r="Z2816" s="166"/>
      <c r="AA2816" s="166"/>
      <c r="AB2816" s="166"/>
      <c r="AC2816" s="166"/>
      <c r="AD2816" s="166"/>
      <c r="AE2816" s="166"/>
      <c r="AF2816" s="166"/>
      <c r="AG2816" s="166"/>
      <c r="AH2816" s="166"/>
      <c r="AI2816" s="166"/>
    </row>
    <row r="2817" spans="7:35" x14ac:dyDescent="0.25">
      <c r="G2817" s="165"/>
      <c r="H2817" s="166"/>
      <c r="I2817" s="167"/>
      <c r="J2817" s="167"/>
      <c r="K2817" s="166"/>
      <c r="L2817" s="166"/>
      <c r="M2817" s="166"/>
      <c r="N2817" s="166"/>
      <c r="O2817" s="166"/>
      <c r="P2817" s="166"/>
      <c r="Q2817" s="166"/>
      <c r="R2817" s="166"/>
      <c r="S2817" s="166"/>
      <c r="T2817" s="166"/>
      <c r="U2817" s="166"/>
      <c r="V2817" s="166"/>
      <c r="W2817" s="166"/>
      <c r="X2817" s="166"/>
      <c r="Y2817" s="166"/>
      <c r="Z2817" s="166"/>
      <c r="AA2817" s="166"/>
      <c r="AB2817" s="166"/>
      <c r="AC2817" s="166"/>
      <c r="AD2817" s="166"/>
      <c r="AE2817" s="166"/>
      <c r="AF2817" s="166"/>
      <c r="AG2817" s="166"/>
      <c r="AH2817" s="166"/>
      <c r="AI2817" s="166"/>
    </row>
    <row r="2818" spans="7:35" x14ac:dyDescent="0.25">
      <c r="G2818" s="165"/>
      <c r="H2818" s="166"/>
      <c r="I2818" s="167"/>
      <c r="J2818" s="167"/>
      <c r="K2818" s="166"/>
      <c r="L2818" s="166"/>
      <c r="M2818" s="166"/>
      <c r="N2818" s="166"/>
      <c r="O2818" s="166"/>
      <c r="P2818" s="166"/>
      <c r="Q2818" s="166"/>
      <c r="R2818" s="166"/>
      <c r="S2818" s="166"/>
      <c r="T2818" s="166"/>
      <c r="U2818" s="166"/>
      <c r="V2818" s="166"/>
      <c r="W2818" s="166"/>
      <c r="X2818" s="166"/>
      <c r="Y2818" s="166"/>
      <c r="Z2818" s="166"/>
      <c r="AA2818" s="166"/>
      <c r="AB2818" s="166"/>
      <c r="AC2818" s="166"/>
      <c r="AD2818" s="166"/>
      <c r="AE2818" s="166"/>
      <c r="AF2818" s="166"/>
      <c r="AG2818" s="166"/>
      <c r="AH2818" s="166"/>
      <c r="AI2818" s="166"/>
    </row>
    <row r="2819" spans="7:35" x14ac:dyDescent="0.25">
      <c r="G2819" s="165"/>
      <c r="H2819" s="166"/>
      <c r="I2819" s="167"/>
      <c r="J2819" s="167"/>
      <c r="K2819" s="166"/>
      <c r="L2819" s="166"/>
      <c r="M2819" s="166"/>
      <c r="N2819" s="166"/>
      <c r="O2819" s="166"/>
      <c r="P2819" s="166"/>
      <c r="Q2819" s="166"/>
      <c r="R2819" s="166"/>
      <c r="S2819" s="166"/>
      <c r="T2819" s="166"/>
      <c r="U2819" s="166"/>
      <c r="V2819" s="166"/>
      <c r="W2819" s="166"/>
      <c r="X2819" s="166"/>
      <c r="Y2819" s="166"/>
      <c r="Z2819" s="166"/>
      <c r="AA2819" s="166"/>
      <c r="AB2819" s="166"/>
      <c r="AC2819" s="166"/>
      <c r="AD2819" s="166"/>
      <c r="AE2819" s="166"/>
      <c r="AF2819" s="166"/>
      <c r="AG2819" s="166"/>
      <c r="AH2819" s="166"/>
      <c r="AI2819" s="166"/>
    </row>
    <row r="2820" spans="7:35" x14ac:dyDescent="0.25">
      <c r="G2820" s="165"/>
      <c r="H2820" s="166"/>
      <c r="I2820" s="167"/>
      <c r="J2820" s="167"/>
      <c r="K2820" s="166"/>
      <c r="L2820" s="166"/>
      <c r="M2820" s="166"/>
      <c r="N2820" s="166"/>
      <c r="O2820" s="166"/>
      <c r="P2820" s="166"/>
      <c r="Q2820" s="166"/>
      <c r="R2820" s="166"/>
      <c r="S2820" s="166"/>
      <c r="T2820" s="166"/>
      <c r="U2820" s="166"/>
      <c r="V2820" s="166"/>
      <c r="W2820" s="166"/>
      <c r="X2820" s="166"/>
      <c r="Y2820" s="166"/>
      <c r="Z2820" s="166"/>
      <c r="AA2820" s="166"/>
      <c r="AB2820" s="166"/>
      <c r="AC2820" s="166"/>
      <c r="AD2820" s="166"/>
      <c r="AE2820" s="166"/>
      <c r="AF2820" s="166"/>
      <c r="AG2820" s="166"/>
      <c r="AH2820" s="166"/>
      <c r="AI2820" s="166"/>
    </row>
    <row r="2821" spans="7:35" x14ac:dyDescent="0.25">
      <c r="G2821" s="165"/>
      <c r="H2821" s="166"/>
      <c r="I2821" s="167"/>
      <c r="J2821" s="167"/>
      <c r="K2821" s="166"/>
      <c r="L2821" s="166"/>
      <c r="M2821" s="166"/>
      <c r="N2821" s="166"/>
      <c r="O2821" s="166"/>
      <c r="P2821" s="166"/>
      <c r="Q2821" s="166"/>
      <c r="R2821" s="166"/>
      <c r="S2821" s="166"/>
      <c r="T2821" s="166"/>
      <c r="U2821" s="166"/>
      <c r="V2821" s="166"/>
      <c r="W2821" s="166"/>
      <c r="X2821" s="166"/>
      <c r="Y2821" s="166"/>
      <c r="Z2821" s="166"/>
      <c r="AA2821" s="166"/>
      <c r="AB2821" s="166"/>
      <c r="AC2821" s="166"/>
      <c r="AD2821" s="166"/>
      <c r="AE2821" s="166"/>
      <c r="AF2821" s="166"/>
      <c r="AG2821" s="166"/>
      <c r="AH2821" s="166"/>
      <c r="AI2821" s="166"/>
    </row>
    <row r="2822" spans="7:35" x14ac:dyDescent="0.25">
      <c r="G2822" s="165"/>
      <c r="H2822" s="166"/>
      <c r="I2822" s="167"/>
      <c r="J2822" s="167"/>
      <c r="K2822" s="166"/>
      <c r="L2822" s="166"/>
      <c r="M2822" s="166"/>
      <c r="N2822" s="166"/>
      <c r="O2822" s="166"/>
      <c r="P2822" s="166"/>
      <c r="Q2822" s="166"/>
      <c r="R2822" s="166"/>
      <c r="S2822" s="166"/>
      <c r="T2822" s="166"/>
      <c r="U2822" s="166"/>
      <c r="V2822" s="166"/>
      <c r="W2822" s="166"/>
      <c r="X2822" s="166"/>
      <c r="Y2822" s="166"/>
      <c r="Z2822" s="166"/>
      <c r="AA2822" s="166"/>
      <c r="AB2822" s="166"/>
      <c r="AC2822" s="166"/>
      <c r="AD2822" s="166"/>
      <c r="AE2822" s="166"/>
      <c r="AF2822" s="166"/>
      <c r="AG2822" s="166"/>
      <c r="AH2822" s="166"/>
      <c r="AI2822" s="166"/>
    </row>
    <row r="2823" spans="7:35" x14ac:dyDescent="0.25">
      <c r="G2823" s="165"/>
      <c r="H2823" s="166"/>
      <c r="I2823" s="167"/>
      <c r="J2823" s="167"/>
      <c r="K2823" s="166"/>
      <c r="L2823" s="166"/>
      <c r="M2823" s="166"/>
      <c r="N2823" s="166"/>
      <c r="O2823" s="166"/>
      <c r="P2823" s="166"/>
      <c r="Q2823" s="166"/>
      <c r="R2823" s="166"/>
      <c r="S2823" s="166"/>
      <c r="T2823" s="166"/>
      <c r="U2823" s="166"/>
      <c r="V2823" s="166"/>
      <c r="W2823" s="166"/>
      <c r="X2823" s="166"/>
      <c r="Y2823" s="166"/>
      <c r="Z2823" s="166"/>
      <c r="AA2823" s="166"/>
      <c r="AB2823" s="166"/>
      <c r="AC2823" s="166"/>
      <c r="AD2823" s="166"/>
      <c r="AE2823" s="166"/>
      <c r="AF2823" s="166"/>
      <c r="AG2823" s="166"/>
      <c r="AH2823" s="166"/>
      <c r="AI2823" s="166"/>
    </row>
    <row r="2824" spans="7:35" x14ac:dyDescent="0.25">
      <c r="G2824" s="165"/>
      <c r="H2824" s="166"/>
      <c r="I2824" s="167"/>
      <c r="J2824" s="167"/>
      <c r="K2824" s="166"/>
      <c r="L2824" s="166"/>
      <c r="M2824" s="166"/>
      <c r="N2824" s="166"/>
      <c r="O2824" s="166"/>
      <c r="P2824" s="166"/>
      <c r="Q2824" s="166"/>
      <c r="R2824" s="166"/>
      <c r="S2824" s="166"/>
      <c r="T2824" s="166"/>
      <c r="U2824" s="166"/>
      <c r="V2824" s="166"/>
      <c r="W2824" s="166"/>
      <c r="X2824" s="166"/>
      <c r="Y2824" s="166"/>
      <c r="Z2824" s="166"/>
      <c r="AA2824" s="166"/>
      <c r="AB2824" s="166"/>
      <c r="AC2824" s="166"/>
      <c r="AD2824" s="166"/>
      <c r="AE2824" s="166"/>
      <c r="AF2824" s="166"/>
      <c r="AG2824" s="166"/>
      <c r="AH2824" s="166"/>
      <c r="AI2824" s="166"/>
    </row>
    <row r="2825" spans="7:35" x14ac:dyDescent="0.25">
      <c r="G2825" s="165"/>
      <c r="H2825" s="166"/>
      <c r="I2825" s="167"/>
      <c r="J2825" s="167"/>
      <c r="K2825" s="166"/>
      <c r="L2825" s="166"/>
      <c r="M2825" s="166"/>
      <c r="N2825" s="166"/>
      <c r="O2825" s="166"/>
      <c r="P2825" s="166"/>
      <c r="Q2825" s="166"/>
      <c r="R2825" s="166"/>
      <c r="S2825" s="166"/>
      <c r="T2825" s="166"/>
      <c r="U2825" s="166"/>
      <c r="V2825" s="166"/>
      <c r="W2825" s="166"/>
      <c r="X2825" s="166"/>
      <c r="Y2825" s="166"/>
      <c r="Z2825" s="166"/>
      <c r="AA2825" s="166"/>
      <c r="AB2825" s="166"/>
      <c r="AC2825" s="166"/>
      <c r="AD2825" s="166"/>
      <c r="AE2825" s="166"/>
      <c r="AF2825" s="166"/>
      <c r="AG2825" s="166"/>
      <c r="AH2825" s="166"/>
      <c r="AI2825" s="166"/>
    </row>
    <row r="2826" spans="7:35" x14ac:dyDescent="0.25">
      <c r="G2826" s="165"/>
      <c r="H2826" s="166"/>
      <c r="I2826" s="167"/>
      <c r="J2826" s="167"/>
      <c r="K2826" s="166"/>
      <c r="L2826" s="166"/>
      <c r="M2826" s="166"/>
      <c r="N2826" s="166"/>
      <c r="O2826" s="166"/>
      <c r="P2826" s="166"/>
      <c r="Q2826" s="166"/>
      <c r="R2826" s="166"/>
      <c r="S2826" s="166"/>
      <c r="T2826" s="166"/>
      <c r="U2826" s="166"/>
      <c r="V2826" s="166"/>
      <c r="W2826" s="166"/>
      <c r="X2826" s="166"/>
      <c r="Y2826" s="166"/>
      <c r="Z2826" s="166"/>
      <c r="AA2826" s="166"/>
      <c r="AB2826" s="166"/>
      <c r="AC2826" s="166"/>
      <c r="AD2826" s="166"/>
      <c r="AE2826" s="166"/>
      <c r="AF2826" s="166"/>
      <c r="AG2826" s="166"/>
      <c r="AH2826" s="166"/>
      <c r="AI2826" s="166"/>
    </row>
    <row r="2827" spans="7:35" x14ac:dyDescent="0.25">
      <c r="G2827" s="165"/>
      <c r="H2827" s="166"/>
      <c r="I2827" s="167"/>
      <c r="J2827" s="167"/>
      <c r="K2827" s="166"/>
      <c r="L2827" s="166"/>
      <c r="M2827" s="166"/>
      <c r="N2827" s="166"/>
      <c r="O2827" s="166"/>
      <c r="P2827" s="166"/>
      <c r="Q2827" s="166"/>
      <c r="R2827" s="166"/>
      <c r="S2827" s="166"/>
      <c r="T2827" s="166"/>
      <c r="U2827" s="166"/>
      <c r="V2827" s="166"/>
      <c r="W2827" s="166"/>
      <c r="X2827" s="166"/>
      <c r="Y2827" s="166"/>
      <c r="Z2827" s="166"/>
      <c r="AA2827" s="166"/>
      <c r="AB2827" s="166"/>
      <c r="AC2827" s="166"/>
      <c r="AD2827" s="166"/>
      <c r="AE2827" s="166"/>
      <c r="AF2827" s="166"/>
      <c r="AG2827" s="166"/>
      <c r="AH2827" s="166"/>
      <c r="AI2827" s="166"/>
    </row>
    <row r="2828" spans="7:35" x14ac:dyDescent="0.25">
      <c r="G2828" s="165"/>
      <c r="H2828" s="166"/>
      <c r="I2828" s="167"/>
      <c r="J2828" s="167"/>
      <c r="K2828" s="166"/>
      <c r="L2828" s="166"/>
      <c r="M2828" s="166"/>
      <c r="N2828" s="166"/>
      <c r="O2828" s="166"/>
      <c r="P2828" s="166"/>
      <c r="Q2828" s="166"/>
      <c r="R2828" s="166"/>
      <c r="S2828" s="166"/>
      <c r="T2828" s="166"/>
      <c r="U2828" s="166"/>
      <c r="V2828" s="166"/>
      <c r="W2828" s="166"/>
      <c r="X2828" s="166"/>
      <c r="Y2828" s="166"/>
      <c r="Z2828" s="166"/>
      <c r="AA2828" s="166"/>
      <c r="AB2828" s="166"/>
      <c r="AC2828" s="166"/>
      <c r="AD2828" s="166"/>
      <c r="AE2828" s="166"/>
      <c r="AF2828" s="166"/>
      <c r="AG2828" s="166"/>
      <c r="AH2828" s="166"/>
      <c r="AI2828" s="166"/>
    </row>
    <row r="2829" spans="7:35" x14ac:dyDescent="0.25">
      <c r="G2829" s="165"/>
      <c r="H2829" s="166"/>
      <c r="I2829" s="167"/>
      <c r="J2829" s="167"/>
      <c r="K2829" s="166"/>
      <c r="L2829" s="166"/>
      <c r="M2829" s="166"/>
      <c r="N2829" s="166"/>
      <c r="O2829" s="166"/>
      <c r="P2829" s="166"/>
      <c r="Q2829" s="166"/>
      <c r="R2829" s="166"/>
      <c r="S2829" s="166"/>
      <c r="T2829" s="166"/>
      <c r="U2829" s="166"/>
      <c r="V2829" s="166"/>
      <c r="W2829" s="166"/>
      <c r="X2829" s="166"/>
      <c r="Y2829" s="166"/>
      <c r="Z2829" s="166"/>
      <c r="AA2829" s="166"/>
      <c r="AB2829" s="166"/>
      <c r="AC2829" s="166"/>
      <c r="AD2829" s="166"/>
      <c r="AE2829" s="166"/>
      <c r="AF2829" s="166"/>
      <c r="AG2829" s="166"/>
      <c r="AH2829" s="166"/>
      <c r="AI2829" s="166"/>
    </row>
    <row r="2830" spans="7:35" x14ac:dyDescent="0.25">
      <c r="G2830" s="165"/>
      <c r="H2830" s="166"/>
      <c r="I2830" s="167"/>
      <c r="J2830" s="167"/>
      <c r="K2830" s="166"/>
      <c r="L2830" s="166"/>
      <c r="M2830" s="166"/>
      <c r="N2830" s="166"/>
      <c r="O2830" s="166"/>
      <c r="P2830" s="166"/>
      <c r="Q2830" s="166"/>
      <c r="R2830" s="166"/>
      <c r="S2830" s="166"/>
      <c r="T2830" s="166"/>
      <c r="U2830" s="166"/>
      <c r="V2830" s="166"/>
      <c r="W2830" s="166"/>
      <c r="X2830" s="166"/>
      <c r="Y2830" s="166"/>
      <c r="Z2830" s="166"/>
      <c r="AA2830" s="166"/>
      <c r="AB2830" s="166"/>
      <c r="AC2830" s="166"/>
      <c r="AD2830" s="166"/>
      <c r="AE2830" s="166"/>
      <c r="AF2830" s="166"/>
      <c r="AG2830" s="166"/>
      <c r="AH2830" s="166"/>
      <c r="AI2830" s="166"/>
    </row>
    <row r="2831" spans="7:35" x14ac:dyDescent="0.25">
      <c r="G2831" s="165"/>
      <c r="H2831" s="166"/>
      <c r="I2831" s="167"/>
      <c r="J2831" s="167"/>
      <c r="K2831" s="166"/>
      <c r="L2831" s="166"/>
      <c r="M2831" s="166"/>
      <c r="N2831" s="166"/>
      <c r="O2831" s="166"/>
      <c r="P2831" s="166"/>
      <c r="Q2831" s="166"/>
      <c r="R2831" s="166"/>
      <c r="S2831" s="166"/>
      <c r="T2831" s="166"/>
      <c r="U2831" s="166"/>
      <c r="V2831" s="166"/>
      <c r="W2831" s="166"/>
      <c r="X2831" s="166"/>
      <c r="Y2831" s="166"/>
      <c r="Z2831" s="166"/>
      <c r="AA2831" s="166"/>
      <c r="AB2831" s="166"/>
      <c r="AC2831" s="166"/>
      <c r="AD2831" s="166"/>
      <c r="AE2831" s="166"/>
      <c r="AF2831" s="166"/>
      <c r="AG2831" s="166"/>
      <c r="AH2831" s="166"/>
      <c r="AI2831" s="166"/>
    </row>
    <row r="2832" spans="7:35" x14ac:dyDescent="0.25">
      <c r="G2832" s="165"/>
      <c r="H2832" s="166"/>
      <c r="I2832" s="167"/>
      <c r="J2832" s="167"/>
      <c r="K2832" s="166"/>
      <c r="L2832" s="166"/>
      <c r="M2832" s="166"/>
      <c r="N2832" s="166"/>
      <c r="O2832" s="166"/>
      <c r="P2832" s="166"/>
      <c r="Q2832" s="166"/>
      <c r="R2832" s="166"/>
      <c r="S2832" s="166"/>
      <c r="T2832" s="166"/>
      <c r="U2832" s="166"/>
      <c r="V2832" s="166"/>
      <c r="W2832" s="166"/>
      <c r="X2832" s="166"/>
      <c r="Y2832" s="166"/>
      <c r="Z2832" s="166"/>
      <c r="AA2832" s="166"/>
      <c r="AB2832" s="166"/>
      <c r="AC2832" s="166"/>
      <c r="AD2832" s="166"/>
      <c r="AE2832" s="166"/>
      <c r="AF2832" s="166"/>
      <c r="AG2832" s="166"/>
      <c r="AH2832" s="166"/>
      <c r="AI2832" s="166"/>
    </row>
    <row r="2833" spans="7:35" x14ac:dyDescent="0.25">
      <c r="G2833" s="165"/>
      <c r="H2833" s="166"/>
      <c r="I2833" s="167"/>
      <c r="J2833" s="167"/>
      <c r="K2833" s="166"/>
      <c r="L2833" s="166"/>
      <c r="M2833" s="166"/>
      <c r="N2833" s="166"/>
      <c r="O2833" s="166"/>
      <c r="P2833" s="166"/>
      <c r="Q2833" s="166"/>
      <c r="R2833" s="166"/>
      <c r="S2833" s="166"/>
      <c r="T2833" s="166"/>
      <c r="U2833" s="166"/>
      <c r="V2833" s="166"/>
      <c r="W2833" s="166"/>
      <c r="X2833" s="166"/>
      <c r="Y2833" s="166"/>
      <c r="Z2833" s="166"/>
      <c r="AA2833" s="166"/>
      <c r="AB2833" s="166"/>
      <c r="AC2833" s="166"/>
      <c r="AD2833" s="166"/>
      <c r="AE2833" s="166"/>
      <c r="AF2833" s="166"/>
      <c r="AG2833" s="166"/>
      <c r="AH2833" s="166"/>
      <c r="AI2833" s="166"/>
    </row>
    <row r="2834" spans="7:35" x14ac:dyDescent="0.25">
      <c r="G2834" s="165"/>
      <c r="H2834" s="166"/>
      <c r="I2834" s="167"/>
      <c r="J2834" s="167"/>
      <c r="K2834" s="166"/>
      <c r="L2834" s="166"/>
      <c r="M2834" s="166"/>
      <c r="N2834" s="166"/>
      <c r="O2834" s="166"/>
      <c r="P2834" s="166"/>
      <c r="Q2834" s="166"/>
      <c r="R2834" s="166"/>
      <c r="S2834" s="166"/>
      <c r="T2834" s="166"/>
      <c r="U2834" s="166"/>
      <c r="V2834" s="166"/>
      <c r="W2834" s="166"/>
      <c r="X2834" s="166"/>
      <c r="Y2834" s="166"/>
      <c r="Z2834" s="166"/>
      <c r="AA2834" s="166"/>
      <c r="AB2834" s="166"/>
      <c r="AC2834" s="166"/>
      <c r="AD2834" s="166"/>
      <c r="AE2834" s="166"/>
      <c r="AF2834" s="166"/>
      <c r="AG2834" s="166"/>
      <c r="AH2834" s="166"/>
      <c r="AI2834" s="166"/>
    </row>
    <row r="2835" spans="7:35" x14ac:dyDescent="0.25">
      <c r="G2835" s="165"/>
      <c r="H2835" s="166"/>
      <c r="I2835" s="167"/>
      <c r="J2835" s="167"/>
      <c r="K2835" s="166"/>
      <c r="L2835" s="166"/>
      <c r="M2835" s="166"/>
      <c r="N2835" s="166"/>
      <c r="O2835" s="166"/>
      <c r="P2835" s="166"/>
      <c r="Q2835" s="166"/>
      <c r="R2835" s="166"/>
      <c r="S2835" s="166"/>
      <c r="T2835" s="166"/>
      <c r="U2835" s="166"/>
      <c r="V2835" s="166"/>
      <c r="W2835" s="166"/>
      <c r="X2835" s="166"/>
      <c r="Y2835" s="166"/>
      <c r="Z2835" s="166"/>
      <c r="AA2835" s="166"/>
      <c r="AB2835" s="166"/>
      <c r="AC2835" s="166"/>
      <c r="AD2835" s="166"/>
      <c r="AE2835" s="166"/>
      <c r="AF2835" s="166"/>
      <c r="AG2835" s="166"/>
      <c r="AH2835" s="166"/>
      <c r="AI2835" s="166"/>
    </row>
    <row r="2836" spans="7:35" x14ac:dyDescent="0.25">
      <c r="G2836" s="165"/>
      <c r="H2836" s="166"/>
      <c r="I2836" s="167"/>
      <c r="J2836" s="167"/>
      <c r="K2836" s="166"/>
      <c r="L2836" s="166"/>
      <c r="M2836" s="166"/>
      <c r="N2836" s="166"/>
      <c r="O2836" s="166"/>
      <c r="P2836" s="166"/>
      <c r="Q2836" s="166"/>
      <c r="R2836" s="166"/>
      <c r="S2836" s="166"/>
      <c r="T2836" s="166"/>
      <c r="U2836" s="166"/>
      <c r="V2836" s="166"/>
      <c r="W2836" s="166"/>
      <c r="X2836" s="166"/>
      <c r="Y2836" s="166"/>
      <c r="Z2836" s="166"/>
      <c r="AA2836" s="166"/>
      <c r="AB2836" s="166"/>
      <c r="AC2836" s="166"/>
      <c r="AD2836" s="166"/>
      <c r="AE2836" s="166"/>
      <c r="AF2836" s="166"/>
      <c r="AG2836" s="166"/>
      <c r="AH2836" s="166"/>
      <c r="AI2836" s="166"/>
    </row>
    <row r="2837" spans="7:35" x14ac:dyDescent="0.25">
      <c r="G2837" s="165"/>
      <c r="H2837" s="166"/>
      <c r="I2837" s="167"/>
      <c r="J2837" s="167"/>
      <c r="K2837" s="166"/>
      <c r="L2837" s="166"/>
      <c r="M2837" s="166"/>
      <c r="N2837" s="166"/>
      <c r="O2837" s="166"/>
      <c r="P2837" s="166"/>
      <c r="Q2837" s="166"/>
      <c r="R2837" s="166"/>
      <c r="S2837" s="166"/>
      <c r="T2837" s="166"/>
      <c r="U2837" s="166"/>
      <c r="V2837" s="166"/>
      <c r="W2837" s="166"/>
      <c r="X2837" s="166"/>
      <c r="Y2837" s="166"/>
      <c r="Z2837" s="166"/>
      <c r="AA2837" s="166"/>
      <c r="AB2837" s="166"/>
      <c r="AC2837" s="166"/>
      <c r="AD2837" s="166"/>
      <c r="AE2837" s="166"/>
      <c r="AF2837" s="166"/>
      <c r="AG2837" s="166"/>
      <c r="AH2837" s="166"/>
      <c r="AI2837" s="166"/>
    </row>
    <row r="2838" spans="7:35" x14ac:dyDescent="0.25">
      <c r="G2838" s="165"/>
      <c r="H2838" s="166"/>
      <c r="I2838" s="167"/>
      <c r="J2838" s="167"/>
      <c r="K2838" s="166"/>
      <c r="L2838" s="166"/>
      <c r="M2838" s="166"/>
      <c r="N2838" s="166"/>
      <c r="O2838" s="166"/>
      <c r="P2838" s="166"/>
      <c r="Q2838" s="166"/>
      <c r="R2838" s="166"/>
      <c r="S2838" s="166"/>
      <c r="T2838" s="166"/>
      <c r="U2838" s="166"/>
      <c r="V2838" s="166"/>
      <c r="W2838" s="166"/>
      <c r="X2838" s="166"/>
      <c r="Y2838" s="166"/>
      <c r="Z2838" s="166"/>
      <c r="AA2838" s="166"/>
      <c r="AB2838" s="166"/>
      <c r="AC2838" s="166"/>
      <c r="AD2838" s="166"/>
      <c r="AE2838" s="166"/>
      <c r="AF2838" s="166"/>
      <c r="AG2838" s="166"/>
      <c r="AH2838" s="166"/>
      <c r="AI2838" s="166"/>
    </row>
    <row r="2839" spans="7:35" x14ac:dyDescent="0.25">
      <c r="G2839" s="165"/>
      <c r="H2839" s="166"/>
      <c r="I2839" s="167"/>
      <c r="J2839" s="167"/>
      <c r="K2839" s="166"/>
      <c r="L2839" s="166"/>
      <c r="M2839" s="166"/>
      <c r="N2839" s="166"/>
      <c r="O2839" s="166"/>
      <c r="P2839" s="166"/>
      <c r="Q2839" s="166"/>
      <c r="R2839" s="166"/>
      <c r="S2839" s="166"/>
      <c r="T2839" s="166"/>
      <c r="U2839" s="166"/>
      <c r="V2839" s="166"/>
      <c r="W2839" s="166"/>
      <c r="X2839" s="166"/>
      <c r="Y2839" s="166"/>
      <c r="Z2839" s="166"/>
      <c r="AA2839" s="166"/>
      <c r="AB2839" s="166"/>
      <c r="AC2839" s="166"/>
      <c r="AD2839" s="166"/>
      <c r="AE2839" s="166"/>
      <c r="AF2839" s="166"/>
      <c r="AG2839" s="166"/>
      <c r="AH2839" s="166"/>
      <c r="AI2839" s="166"/>
    </row>
    <row r="2840" spans="7:35" x14ac:dyDescent="0.25">
      <c r="G2840" s="165"/>
      <c r="H2840" s="166"/>
      <c r="I2840" s="167"/>
      <c r="J2840" s="167"/>
      <c r="K2840" s="166"/>
      <c r="L2840" s="166"/>
      <c r="M2840" s="166"/>
      <c r="N2840" s="166"/>
      <c r="O2840" s="166"/>
      <c r="P2840" s="166"/>
      <c r="Q2840" s="166"/>
      <c r="R2840" s="166"/>
      <c r="S2840" s="166"/>
      <c r="T2840" s="166"/>
      <c r="U2840" s="166"/>
      <c r="V2840" s="166"/>
      <c r="W2840" s="166"/>
      <c r="X2840" s="166"/>
      <c r="Y2840" s="166"/>
      <c r="Z2840" s="166"/>
      <c r="AA2840" s="166"/>
      <c r="AB2840" s="166"/>
      <c r="AC2840" s="166"/>
      <c r="AD2840" s="166"/>
      <c r="AE2840" s="166"/>
      <c r="AF2840" s="166"/>
      <c r="AG2840" s="166"/>
      <c r="AH2840" s="166"/>
      <c r="AI2840" s="166"/>
    </row>
    <row r="2841" spans="7:35" x14ac:dyDescent="0.25">
      <c r="G2841" s="165"/>
      <c r="H2841" s="166"/>
      <c r="I2841" s="167"/>
      <c r="J2841" s="167"/>
      <c r="K2841" s="166"/>
      <c r="L2841" s="166"/>
      <c r="M2841" s="166"/>
      <c r="N2841" s="166"/>
      <c r="O2841" s="166"/>
      <c r="P2841" s="166"/>
      <c r="Q2841" s="166"/>
      <c r="R2841" s="166"/>
      <c r="S2841" s="166"/>
      <c r="T2841" s="166"/>
      <c r="U2841" s="166"/>
      <c r="V2841" s="166"/>
      <c r="W2841" s="166"/>
      <c r="X2841" s="166"/>
      <c r="Y2841" s="166"/>
      <c r="Z2841" s="166"/>
      <c r="AA2841" s="166"/>
      <c r="AB2841" s="166"/>
      <c r="AC2841" s="166"/>
      <c r="AD2841" s="166"/>
      <c r="AE2841" s="166"/>
      <c r="AF2841" s="166"/>
      <c r="AG2841" s="166"/>
      <c r="AH2841" s="166"/>
      <c r="AI2841" s="166"/>
    </row>
    <row r="2842" spans="7:35" x14ac:dyDescent="0.25">
      <c r="G2842" s="165"/>
      <c r="H2842" s="166"/>
      <c r="I2842" s="167"/>
      <c r="J2842" s="167"/>
      <c r="K2842" s="166"/>
      <c r="L2842" s="166"/>
      <c r="M2842" s="166"/>
      <c r="N2842" s="166"/>
      <c r="O2842" s="166"/>
      <c r="P2842" s="166"/>
      <c r="Q2842" s="166"/>
      <c r="R2842" s="166"/>
      <c r="S2842" s="166"/>
      <c r="T2842" s="166"/>
      <c r="U2842" s="166"/>
      <c r="V2842" s="166"/>
      <c r="W2842" s="166"/>
      <c r="X2842" s="166"/>
      <c r="Y2842" s="166"/>
      <c r="Z2842" s="166"/>
      <c r="AA2842" s="166"/>
      <c r="AB2842" s="166"/>
      <c r="AC2842" s="166"/>
      <c r="AD2842" s="166"/>
      <c r="AE2842" s="166"/>
      <c r="AF2842" s="166"/>
      <c r="AG2842" s="166"/>
      <c r="AH2842" s="166"/>
      <c r="AI2842" s="166"/>
    </row>
    <row r="2843" spans="7:35" x14ac:dyDescent="0.25">
      <c r="G2843" s="165"/>
      <c r="H2843" s="166"/>
      <c r="I2843" s="167"/>
      <c r="J2843" s="167"/>
      <c r="K2843" s="166"/>
      <c r="L2843" s="166"/>
      <c r="M2843" s="166"/>
      <c r="N2843" s="166"/>
      <c r="O2843" s="166"/>
      <c r="P2843" s="166"/>
      <c r="Q2843" s="166"/>
      <c r="R2843" s="166"/>
      <c r="S2843" s="166"/>
      <c r="T2843" s="166"/>
      <c r="U2843" s="166"/>
      <c r="V2843" s="166"/>
      <c r="W2843" s="166"/>
      <c r="X2843" s="166"/>
      <c r="Y2843" s="166"/>
      <c r="Z2843" s="166"/>
      <c r="AA2843" s="166"/>
      <c r="AB2843" s="166"/>
      <c r="AC2843" s="166"/>
      <c r="AD2843" s="166"/>
      <c r="AE2843" s="166"/>
      <c r="AF2843" s="166"/>
      <c r="AG2843" s="166"/>
      <c r="AH2843" s="166"/>
      <c r="AI2843" s="166"/>
    </row>
    <row r="2844" spans="7:35" x14ac:dyDescent="0.25">
      <c r="G2844" s="165"/>
      <c r="H2844" s="166"/>
      <c r="I2844" s="167"/>
      <c r="J2844" s="167"/>
      <c r="K2844" s="166"/>
      <c r="L2844" s="166"/>
      <c r="M2844" s="166"/>
      <c r="N2844" s="166"/>
      <c r="O2844" s="166"/>
      <c r="P2844" s="166"/>
      <c r="Q2844" s="166"/>
      <c r="R2844" s="166"/>
      <c r="S2844" s="166"/>
      <c r="T2844" s="166"/>
      <c r="U2844" s="166"/>
      <c r="V2844" s="166"/>
      <c r="W2844" s="166"/>
      <c r="X2844" s="166"/>
      <c r="Y2844" s="166"/>
      <c r="Z2844" s="166"/>
      <c r="AA2844" s="166"/>
      <c r="AB2844" s="166"/>
      <c r="AC2844" s="166"/>
      <c r="AD2844" s="166"/>
      <c r="AE2844" s="166"/>
      <c r="AF2844" s="166"/>
      <c r="AG2844" s="166"/>
      <c r="AH2844" s="166"/>
      <c r="AI2844" s="166"/>
    </row>
    <row r="2845" spans="7:35" x14ac:dyDescent="0.25">
      <c r="G2845" s="165"/>
      <c r="H2845" s="166"/>
      <c r="I2845" s="167"/>
      <c r="J2845" s="167"/>
      <c r="K2845" s="166"/>
      <c r="L2845" s="166"/>
      <c r="M2845" s="166"/>
      <c r="N2845" s="166"/>
      <c r="O2845" s="166"/>
      <c r="P2845" s="166"/>
      <c r="Q2845" s="166"/>
      <c r="R2845" s="166"/>
      <c r="S2845" s="166"/>
      <c r="T2845" s="166"/>
      <c r="U2845" s="166"/>
      <c r="V2845" s="166"/>
      <c r="W2845" s="166"/>
      <c r="X2845" s="166"/>
      <c r="Y2845" s="166"/>
      <c r="Z2845" s="166"/>
      <c r="AA2845" s="166"/>
      <c r="AB2845" s="166"/>
      <c r="AC2845" s="166"/>
      <c r="AD2845" s="166"/>
      <c r="AE2845" s="166"/>
      <c r="AF2845" s="166"/>
      <c r="AG2845" s="166"/>
      <c r="AH2845" s="166"/>
      <c r="AI2845" s="166"/>
    </row>
    <row r="2846" spans="7:35" x14ac:dyDescent="0.25">
      <c r="G2846" s="165"/>
      <c r="H2846" s="166"/>
      <c r="I2846" s="167"/>
      <c r="J2846" s="167"/>
      <c r="K2846" s="166"/>
      <c r="L2846" s="166"/>
      <c r="M2846" s="166"/>
      <c r="N2846" s="166"/>
      <c r="O2846" s="166"/>
      <c r="P2846" s="166"/>
      <c r="Q2846" s="166"/>
      <c r="R2846" s="166"/>
      <c r="S2846" s="166"/>
      <c r="T2846" s="166"/>
      <c r="U2846" s="166"/>
      <c r="V2846" s="166"/>
      <c r="W2846" s="166"/>
      <c r="X2846" s="166"/>
      <c r="Y2846" s="166"/>
      <c r="Z2846" s="166"/>
      <c r="AA2846" s="166"/>
      <c r="AB2846" s="166"/>
      <c r="AC2846" s="166"/>
      <c r="AD2846" s="166"/>
      <c r="AE2846" s="166"/>
      <c r="AF2846" s="166"/>
      <c r="AG2846" s="166"/>
      <c r="AH2846" s="166"/>
      <c r="AI2846" s="166"/>
    </row>
    <row r="2847" spans="7:35" x14ac:dyDescent="0.25">
      <c r="G2847" s="165"/>
      <c r="H2847" s="166"/>
      <c r="I2847" s="167"/>
      <c r="J2847" s="167"/>
      <c r="K2847" s="166"/>
      <c r="L2847" s="166"/>
      <c r="M2847" s="166"/>
      <c r="N2847" s="166"/>
      <c r="O2847" s="166"/>
      <c r="P2847" s="166"/>
      <c r="Q2847" s="166"/>
      <c r="R2847" s="166"/>
      <c r="S2847" s="166"/>
      <c r="T2847" s="166"/>
      <c r="U2847" s="166"/>
      <c r="V2847" s="166"/>
      <c r="W2847" s="166"/>
      <c r="X2847" s="166"/>
      <c r="Y2847" s="166"/>
      <c r="Z2847" s="166"/>
      <c r="AA2847" s="166"/>
      <c r="AB2847" s="166"/>
      <c r="AC2847" s="166"/>
      <c r="AD2847" s="166"/>
      <c r="AE2847" s="166"/>
      <c r="AF2847" s="166"/>
      <c r="AG2847" s="166"/>
      <c r="AH2847" s="166"/>
      <c r="AI2847" s="166"/>
    </row>
    <row r="2848" spans="7:35" x14ac:dyDescent="0.25">
      <c r="G2848" s="165"/>
      <c r="H2848" s="166"/>
      <c r="I2848" s="167"/>
      <c r="J2848" s="167"/>
      <c r="K2848" s="166"/>
      <c r="L2848" s="166"/>
      <c r="M2848" s="166"/>
      <c r="N2848" s="166"/>
      <c r="O2848" s="166"/>
      <c r="P2848" s="166"/>
      <c r="Q2848" s="166"/>
      <c r="R2848" s="166"/>
      <c r="S2848" s="166"/>
      <c r="T2848" s="166"/>
      <c r="U2848" s="166"/>
      <c r="V2848" s="166"/>
      <c r="W2848" s="166"/>
      <c r="X2848" s="166"/>
      <c r="Y2848" s="166"/>
      <c r="Z2848" s="166"/>
      <c r="AA2848" s="166"/>
      <c r="AB2848" s="166"/>
      <c r="AC2848" s="166"/>
      <c r="AD2848" s="166"/>
      <c r="AE2848" s="166"/>
      <c r="AF2848" s="166"/>
      <c r="AG2848" s="166"/>
      <c r="AH2848" s="166"/>
      <c r="AI2848" s="166"/>
    </row>
    <row r="2849" spans="7:35" x14ac:dyDescent="0.25">
      <c r="G2849" s="165"/>
      <c r="H2849" s="166"/>
      <c r="I2849" s="167"/>
      <c r="J2849" s="167"/>
      <c r="K2849" s="166"/>
      <c r="L2849" s="166"/>
      <c r="M2849" s="166"/>
      <c r="N2849" s="166"/>
      <c r="O2849" s="166"/>
      <c r="P2849" s="166"/>
      <c r="Q2849" s="166"/>
      <c r="R2849" s="166"/>
      <c r="S2849" s="166"/>
      <c r="T2849" s="166"/>
      <c r="U2849" s="166"/>
      <c r="V2849" s="166"/>
      <c r="W2849" s="166"/>
      <c r="X2849" s="166"/>
      <c r="Y2849" s="166"/>
      <c r="Z2849" s="166"/>
      <c r="AA2849" s="166"/>
      <c r="AB2849" s="166"/>
      <c r="AC2849" s="166"/>
      <c r="AD2849" s="166"/>
      <c r="AE2849" s="166"/>
      <c r="AF2849" s="166"/>
      <c r="AG2849" s="166"/>
      <c r="AH2849" s="166"/>
      <c r="AI2849" s="166"/>
    </row>
    <row r="2850" spans="7:35" x14ac:dyDescent="0.25">
      <c r="G2850" s="165"/>
      <c r="H2850" s="166"/>
      <c r="I2850" s="167"/>
      <c r="J2850" s="167"/>
      <c r="K2850" s="166"/>
      <c r="L2850" s="166"/>
      <c r="M2850" s="166"/>
      <c r="N2850" s="166"/>
      <c r="O2850" s="166"/>
      <c r="P2850" s="166"/>
      <c r="Q2850" s="166"/>
      <c r="R2850" s="166"/>
      <c r="S2850" s="166"/>
      <c r="T2850" s="166"/>
      <c r="U2850" s="166"/>
      <c r="V2850" s="166"/>
      <c r="W2850" s="166"/>
      <c r="X2850" s="166"/>
      <c r="Y2850" s="166"/>
      <c r="Z2850" s="166"/>
      <c r="AA2850" s="166"/>
      <c r="AB2850" s="166"/>
      <c r="AC2850" s="166"/>
      <c r="AD2850" s="166"/>
      <c r="AE2850" s="166"/>
      <c r="AF2850" s="166"/>
      <c r="AG2850" s="166"/>
      <c r="AH2850" s="166"/>
      <c r="AI2850" s="166"/>
    </row>
    <row r="2851" spans="7:35" x14ac:dyDescent="0.25">
      <c r="G2851" s="165"/>
      <c r="H2851" s="166"/>
      <c r="I2851" s="167"/>
      <c r="J2851" s="167"/>
      <c r="K2851" s="166"/>
      <c r="L2851" s="166"/>
      <c r="M2851" s="166"/>
      <c r="N2851" s="166"/>
      <c r="O2851" s="166"/>
      <c r="P2851" s="166"/>
      <c r="Q2851" s="166"/>
      <c r="R2851" s="166"/>
      <c r="S2851" s="166"/>
      <c r="T2851" s="166"/>
      <c r="U2851" s="166"/>
      <c r="V2851" s="166"/>
      <c r="W2851" s="166"/>
      <c r="X2851" s="166"/>
      <c r="Y2851" s="166"/>
      <c r="Z2851" s="166"/>
      <c r="AA2851" s="166"/>
      <c r="AB2851" s="166"/>
      <c r="AC2851" s="166"/>
      <c r="AD2851" s="166"/>
      <c r="AE2851" s="166"/>
      <c r="AF2851" s="166"/>
      <c r="AG2851" s="166"/>
      <c r="AH2851" s="166"/>
      <c r="AI2851" s="166"/>
    </row>
    <row r="2852" spans="7:35" x14ac:dyDescent="0.25">
      <c r="G2852" s="165"/>
      <c r="H2852" s="166"/>
      <c r="I2852" s="167"/>
      <c r="J2852" s="167"/>
      <c r="K2852" s="166"/>
      <c r="L2852" s="166"/>
      <c r="M2852" s="166"/>
      <c r="N2852" s="166"/>
      <c r="O2852" s="166"/>
      <c r="P2852" s="166"/>
      <c r="Q2852" s="166"/>
      <c r="R2852" s="166"/>
      <c r="S2852" s="166"/>
      <c r="T2852" s="166"/>
      <c r="U2852" s="166"/>
      <c r="V2852" s="166"/>
      <c r="W2852" s="166"/>
      <c r="X2852" s="166"/>
      <c r="Y2852" s="166"/>
      <c r="Z2852" s="166"/>
      <c r="AA2852" s="166"/>
      <c r="AB2852" s="166"/>
      <c r="AC2852" s="166"/>
      <c r="AD2852" s="166"/>
      <c r="AE2852" s="166"/>
      <c r="AF2852" s="166"/>
      <c r="AG2852" s="166"/>
      <c r="AH2852" s="166"/>
      <c r="AI2852" s="166"/>
    </row>
    <row r="2853" spans="7:35" x14ac:dyDescent="0.25">
      <c r="G2853" s="165"/>
      <c r="H2853" s="166"/>
      <c r="I2853" s="167"/>
      <c r="J2853" s="167"/>
      <c r="K2853" s="166"/>
      <c r="L2853" s="166"/>
      <c r="M2853" s="166"/>
      <c r="N2853" s="166"/>
      <c r="O2853" s="166"/>
      <c r="P2853" s="166"/>
      <c r="Q2853" s="166"/>
      <c r="R2853" s="166"/>
      <c r="S2853" s="166"/>
      <c r="T2853" s="166"/>
      <c r="U2853" s="166"/>
      <c r="V2853" s="166"/>
      <c r="W2853" s="166"/>
      <c r="X2853" s="166"/>
      <c r="Y2853" s="166"/>
      <c r="Z2853" s="166"/>
      <c r="AA2853" s="166"/>
      <c r="AB2853" s="166"/>
      <c r="AC2853" s="166"/>
      <c r="AD2853" s="166"/>
      <c r="AE2853" s="166"/>
      <c r="AF2853" s="166"/>
      <c r="AG2853" s="166"/>
      <c r="AH2853" s="166"/>
      <c r="AI2853" s="166"/>
    </row>
    <row r="2854" spans="7:35" x14ac:dyDescent="0.25">
      <c r="G2854" s="165"/>
      <c r="H2854" s="166"/>
      <c r="I2854" s="167"/>
      <c r="J2854" s="167"/>
      <c r="K2854" s="166"/>
      <c r="L2854" s="166"/>
      <c r="M2854" s="166"/>
      <c r="N2854" s="166"/>
      <c r="O2854" s="166"/>
      <c r="P2854" s="166"/>
      <c r="Q2854" s="166"/>
      <c r="R2854" s="166"/>
      <c r="S2854" s="166"/>
      <c r="T2854" s="166"/>
      <c r="U2854" s="166"/>
      <c r="V2854" s="166"/>
      <c r="W2854" s="166"/>
      <c r="X2854" s="166"/>
      <c r="Y2854" s="166"/>
      <c r="Z2854" s="166"/>
      <c r="AA2854" s="166"/>
      <c r="AB2854" s="166"/>
      <c r="AC2854" s="166"/>
      <c r="AD2854" s="166"/>
      <c r="AE2854" s="166"/>
      <c r="AF2854" s="166"/>
      <c r="AG2854" s="166"/>
      <c r="AH2854" s="166"/>
      <c r="AI2854" s="166"/>
    </row>
    <row r="2855" spans="7:35" x14ac:dyDescent="0.25">
      <c r="G2855" s="165"/>
      <c r="H2855" s="166"/>
      <c r="I2855" s="167"/>
      <c r="J2855" s="167"/>
      <c r="K2855" s="166"/>
      <c r="L2855" s="166"/>
      <c r="M2855" s="166"/>
      <c r="N2855" s="166"/>
      <c r="O2855" s="166"/>
      <c r="P2855" s="166"/>
      <c r="Q2855" s="166"/>
      <c r="R2855" s="166"/>
      <c r="S2855" s="166"/>
      <c r="T2855" s="166"/>
      <c r="U2855" s="166"/>
      <c r="V2855" s="166"/>
      <c r="W2855" s="166"/>
      <c r="X2855" s="166"/>
      <c r="Y2855" s="166"/>
      <c r="Z2855" s="166"/>
      <c r="AA2855" s="166"/>
      <c r="AB2855" s="166"/>
      <c r="AC2855" s="166"/>
      <c r="AD2855" s="166"/>
      <c r="AE2855" s="166"/>
      <c r="AF2855" s="166"/>
      <c r="AG2855" s="166"/>
      <c r="AH2855" s="166"/>
      <c r="AI2855" s="166"/>
    </row>
    <row r="2856" spans="7:35" x14ac:dyDescent="0.25">
      <c r="G2856" s="165"/>
      <c r="H2856" s="166"/>
      <c r="I2856" s="167"/>
      <c r="J2856" s="167"/>
      <c r="K2856" s="166"/>
      <c r="L2856" s="166"/>
      <c r="M2856" s="166"/>
      <c r="N2856" s="166"/>
      <c r="O2856" s="166"/>
      <c r="P2856" s="166"/>
      <c r="Q2856" s="166"/>
      <c r="R2856" s="166"/>
      <c r="S2856" s="166"/>
      <c r="T2856" s="166"/>
      <c r="U2856" s="166"/>
      <c r="V2856" s="166"/>
      <c r="W2856" s="166"/>
      <c r="X2856" s="166"/>
      <c r="Y2856" s="166"/>
      <c r="Z2856" s="166"/>
      <c r="AA2856" s="166"/>
      <c r="AB2856" s="166"/>
      <c r="AC2856" s="166"/>
      <c r="AD2856" s="166"/>
      <c r="AE2856" s="166"/>
      <c r="AF2856" s="166"/>
      <c r="AG2856" s="166"/>
      <c r="AH2856" s="166"/>
      <c r="AI2856" s="166"/>
    </row>
    <row r="2857" spans="7:35" x14ac:dyDescent="0.25">
      <c r="G2857" s="165"/>
      <c r="H2857" s="166"/>
      <c r="I2857" s="167"/>
      <c r="J2857" s="167"/>
      <c r="K2857" s="166"/>
      <c r="L2857" s="166"/>
      <c r="M2857" s="166"/>
      <c r="N2857" s="166"/>
      <c r="O2857" s="166"/>
      <c r="P2857" s="166"/>
      <c r="Q2857" s="166"/>
      <c r="R2857" s="166"/>
      <c r="S2857" s="166"/>
      <c r="T2857" s="166"/>
      <c r="U2857" s="166"/>
      <c r="V2857" s="166"/>
      <c r="W2857" s="166"/>
      <c r="X2857" s="166"/>
      <c r="Y2857" s="166"/>
      <c r="Z2857" s="166"/>
      <c r="AA2857" s="166"/>
      <c r="AB2857" s="166"/>
      <c r="AC2857" s="166"/>
      <c r="AD2857" s="166"/>
      <c r="AE2857" s="166"/>
      <c r="AF2857" s="166"/>
      <c r="AG2857" s="166"/>
      <c r="AH2857" s="166"/>
      <c r="AI2857" s="166"/>
    </row>
    <row r="2858" spans="7:35" x14ac:dyDescent="0.25">
      <c r="G2858" s="165"/>
      <c r="H2858" s="166"/>
      <c r="I2858" s="167"/>
      <c r="J2858" s="167"/>
      <c r="K2858" s="166"/>
      <c r="L2858" s="166"/>
      <c r="M2858" s="166"/>
      <c r="N2858" s="166"/>
      <c r="O2858" s="166"/>
      <c r="P2858" s="166"/>
      <c r="Q2858" s="166"/>
      <c r="R2858" s="166"/>
      <c r="S2858" s="166"/>
      <c r="T2858" s="166"/>
      <c r="U2858" s="166"/>
      <c r="V2858" s="166"/>
      <c r="W2858" s="166"/>
      <c r="X2858" s="166"/>
      <c r="Y2858" s="166"/>
      <c r="Z2858" s="166"/>
      <c r="AA2858" s="166"/>
      <c r="AB2858" s="166"/>
      <c r="AC2858" s="166"/>
      <c r="AD2858" s="166"/>
      <c r="AE2858" s="166"/>
      <c r="AF2858" s="166"/>
      <c r="AG2858" s="166"/>
      <c r="AH2858" s="166"/>
      <c r="AI2858" s="166"/>
    </row>
    <row r="2859" spans="7:35" x14ac:dyDescent="0.25">
      <c r="G2859" s="165"/>
      <c r="H2859" s="166"/>
      <c r="I2859" s="167"/>
      <c r="J2859" s="167"/>
      <c r="K2859" s="166"/>
      <c r="L2859" s="166"/>
      <c r="M2859" s="166"/>
      <c r="N2859" s="166"/>
      <c r="O2859" s="166"/>
      <c r="P2859" s="166"/>
      <c r="Q2859" s="166"/>
      <c r="R2859" s="166"/>
      <c r="S2859" s="166"/>
      <c r="T2859" s="166"/>
      <c r="U2859" s="166"/>
      <c r="V2859" s="166"/>
      <c r="W2859" s="166"/>
      <c r="X2859" s="166"/>
      <c r="Y2859" s="166"/>
      <c r="Z2859" s="166"/>
      <c r="AA2859" s="166"/>
      <c r="AB2859" s="166"/>
      <c r="AC2859" s="166"/>
      <c r="AD2859" s="166"/>
      <c r="AE2859" s="166"/>
      <c r="AF2859" s="166"/>
      <c r="AG2859" s="166"/>
      <c r="AH2859" s="166"/>
      <c r="AI2859" s="166"/>
    </row>
    <row r="2860" spans="7:35" x14ac:dyDescent="0.25">
      <c r="G2860" s="165"/>
      <c r="H2860" s="166"/>
      <c r="I2860" s="167"/>
      <c r="J2860" s="167"/>
      <c r="K2860" s="166"/>
      <c r="L2860" s="166"/>
      <c r="M2860" s="166"/>
      <c r="N2860" s="166"/>
      <c r="O2860" s="166"/>
      <c r="P2860" s="166"/>
      <c r="Q2860" s="166"/>
      <c r="R2860" s="166"/>
      <c r="S2860" s="166"/>
      <c r="T2860" s="166"/>
      <c r="U2860" s="166"/>
      <c r="V2860" s="166"/>
      <c r="W2860" s="166"/>
      <c r="X2860" s="166"/>
      <c r="Y2860" s="166"/>
      <c r="Z2860" s="166"/>
      <c r="AA2860" s="166"/>
      <c r="AB2860" s="166"/>
      <c r="AC2860" s="166"/>
      <c r="AD2860" s="166"/>
      <c r="AE2860" s="166"/>
      <c r="AF2860" s="166"/>
      <c r="AG2860" s="166"/>
      <c r="AH2860" s="166"/>
      <c r="AI2860" s="166"/>
    </row>
    <row r="2861" spans="7:35" x14ac:dyDescent="0.25">
      <c r="G2861" s="165"/>
      <c r="H2861" s="166"/>
      <c r="I2861" s="167"/>
      <c r="J2861" s="167"/>
      <c r="K2861" s="166"/>
      <c r="L2861" s="166"/>
      <c r="M2861" s="166"/>
      <c r="N2861" s="166"/>
      <c r="O2861" s="166"/>
      <c r="P2861" s="166"/>
      <c r="Q2861" s="166"/>
      <c r="R2861" s="166"/>
      <c r="S2861" s="166"/>
      <c r="T2861" s="166"/>
      <c r="U2861" s="166"/>
      <c r="V2861" s="166"/>
      <c r="W2861" s="166"/>
      <c r="X2861" s="166"/>
      <c r="Y2861" s="166"/>
      <c r="Z2861" s="166"/>
      <c r="AA2861" s="166"/>
      <c r="AB2861" s="166"/>
      <c r="AC2861" s="166"/>
      <c r="AD2861" s="166"/>
      <c r="AE2861" s="166"/>
      <c r="AF2861" s="166"/>
      <c r="AG2861" s="166"/>
      <c r="AH2861" s="166"/>
      <c r="AI2861" s="166"/>
    </row>
    <row r="2862" spans="7:35" x14ac:dyDescent="0.25">
      <c r="G2862" s="165"/>
      <c r="H2862" s="166"/>
      <c r="I2862" s="167"/>
      <c r="J2862" s="167"/>
      <c r="K2862" s="166"/>
      <c r="L2862" s="166"/>
      <c r="M2862" s="166"/>
      <c r="N2862" s="166"/>
      <c r="O2862" s="166"/>
      <c r="P2862" s="166"/>
      <c r="Q2862" s="166"/>
      <c r="R2862" s="166"/>
      <c r="S2862" s="166"/>
      <c r="T2862" s="166"/>
      <c r="U2862" s="166"/>
      <c r="V2862" s="166"/>
      <c r="W2862" s="166"/>
      <c r="X2862" s="166"/>
      <c r="Y2862" s="166"/>
      <c r="Z2862" s="166"/>
      <c r="AA2862" s="166"/>
      <c r="AB2862" s="166"/>
      <c r="AC2862" s="166"/>
      <c r="AD2862" s="166"/>
      <c r="AE2862" s="166"/>
      <c r="AF2862" s="166"/>
      <c r="AG2862" s="166"/>
      <c r="AH2862" s="166"/>
      <c r="AI2862" s="166"/>
    </row>
    <row r="2863" spans="7:35" x14ac:dyDescent="0.25">
      <c r="G2863" s="165"/>
      <c r="H2863" s="166"/>
      <c r="I2863" s="167"/>
      <c r="J2863" s="167"/>
      <c r="K2863" s="166"/>
      <c r="L2863" s="166"/>
      <c r="M2863" s="166"/>
      <c r="N2863" s="166"/>
      <c r="O2863" s="166"/>
      <c r="P2863" s="166"/>
      <c r="Q2863" s="166"/>
      <c r="R2863" s="166"/>
      <c r="S2863" s="166"/>
      <c r="T2863" s="166"/>
      <c r="U2863" s="166"/>
      <c r="V2863" s="166"/>
      <c r="W2863" s="166"/>
      <c r="X2863" s="166"/>
      <c r="Y2863" s="166"/>
      <c r="Z2863" s="166"/>
      <c r="AA2863" s="166"/>
      <c r="AB2863" s="166"/>
      <c r="AC2863" s="166"/>
      <c r="AD2863" s="166"/>
      <c r="AE2863" s="166"/>
      <c r="AF2863" s="166"/>
      <c r="AG2863" s="166"/>
      <c r="AH2863" s="166"/>
      <c r="AI2863" s="166"/>
    </row>
    <row r="2864" spans="7:35" x14ac:dyDescent="0.25">
      <c r="G2864" s="165"/>
      <c r="H2864" s="166"/>
      <c r="I2864" s="167"/>
      <c r="J2864" s="167"/>
      <c r="K2864" s="166"/>
      <c r="L2864" s="166"/>
      <c r="M2864" s="166"/>
      <c r="N2864" s="166"/>
      <c r="O2864" s="166"/>
      <c r="P2864" s="166"/>
      <c r="Q2864" s="166"/>
      <c r="R2864" s="166"/>
      <c r="S2864" s="166"/>
      <c r="T2864" s="166"/>
      <c r="U2864" s="166"/>
      <c r="V2864" s="166"/>
      <c r="W2864" s="166"/>
      <c r="X2864" s="166"/>
      <c r="Y2864" s="166"/>
      <c r="Z2864" s="166"/>
      <c r="AA2864" s="166"/>
      <c r="AB2864" s="166"/>
      <c r="AC2864" s="166"/>
      <c r="AD2864" s="166"/>
      <c r="AE2864" s="166"/>
      <c r="AF2864" s="166"/>
      <c r="AG2864" s="166"/>
      <c r="AH2864" s="166"/>
      <c r="AI2864" s="166"/>
    </row>
    <row r="2865" spans="7:35" x14ac:dyDescent="0.25">
      <c r="G2865" s="165"/>
      <c r="H2865" s="166"/>
      <c r="I2865" s="167"/>
      <c r="J2865" s="167"/>
      <c r="K2865" s="166"/>
      <c r="L2865" s="166"/>
      <c r="M2865" s="166"/>
      <c r="N2865" s="166"/>
      <c r="O2865" s="166"/>
      <c r="P2865" s="166"/>
      <c r="Q2865" s="166"/>
      <c r="R2865" s="166"/>
      <c r="S2865" s="166"/>
      <c r="T2865" s="166"/>
      <c r="U2865" s="166"/>
      <c r="V2865" s="166"/>
      <c r="W2865" s="166"/>
      <c r="X2865" s="166"/>
      <c r="Y2865" s="166"/>
      <c r="Z2865" s="166"/>
      <c r="AA2865" s="166"/>
      <c r="AB2865" s="166"/>
      <c r="AC2865" s="166"/>
      <c r="AD2865" s="166"/>
      <c r="AE2865" s="166"/>
      <c r="AF2865" s="166"/>
      <c r="AG2865" s="166"/>
      <c r="AH2865" s="166"/>
      <c r="AI2865" s="166"/>
    </row>
    <row r="2866" spans="7:35" x14ac:dyDescent="0.25">
      <c r="G2866" s="165"/>
      <c r="H2866" s="166"/>
      <c r="I2866" s="167"/>
      <c r="J2866" s="167"/>
      <c r="K2866" s="166"/>
      <c r="L2866" s="166"/>
      <c r="M2866" s="166"/>
      <c r="N2866" s="166"/>
      <c r="O2866" s="166"/>
      <c r="P2866" s="166"/>
      <c r="Q2866" s="166"/>
      <c r="R2866" s="166"/>
      <c r="S2866" s="166"/>
      <c r="T2866" s="166"/>
      <c r="U2866" s="166"/>
      <c r="V2866" s="166"/>
      <c r="W2866" s="166"/>
      <c r="X2866" s="166"/>
      <c r="Y2866" s="166"/>
      <c r="Z2866" s="166"/>
      <c r="AA2866" s="166"/>
      <c r="AB2866" s="166"/>
      <c r="AC2866" s="166"/>
      <c r="AD2866" s="166"/>
      <c r="AE2866" s="166"/>
      <c r="AF2866" s="166"/>
      <c r="AG2866" s="166"/>
      <c r="AH2866" s="166"/>
      <c r="AI2866" s="166"/>
    </row>
    <row r="2867" spans="7:35" x14ac:dyDescent="0.25">
      <c r="G2867" s="165"/>
      <c r="H2867" s="166"/>
      <c r="I2867" s="167"/>
      <c r="J2867" s="167"/>
      <c r="K2867" s="166"/>
      <c r="L2867" s="166"/>
      <c r="M2867" s="166"/>
      <c r="N2867" s="166"/>
      <c r="O2867" s="166"/>
      <c r="P2867" s="166"/>
      <c r="Q2867" s="166"/>
      <c r="R2867" s="166"/>
      <c r="S2867" s="166"/>
      <c r="T2867" s="166"/>
      <c r="U2867" s="166"/>
      <c r="V2867" s="166"/>
      <c r="W2867" s="166"/>
      <c r="X2867" s="166"/>
      <c r="Y2867" s="166"/>
      <c r="Z2867" s="166"/>
      <c r="AA2867" s="166"/>
      <c r="AB2867" s="166"/>
      <c r="AC2867" s="166"/>
      <c r="AD2867" s="166"/>
      <c r="AE2867" s="166"/>
      <c r="AF2867" s="166"/>
      <c r="AG2867" s="166"/>
      <c r="AH2867" s="166"/>
      <c r="AI2867" s="166"/>
    </row>
    <row r="2868" spans="7:35" x14ac:dyDescent="0.25">
      <c r="G2868" s="165"/>
      <c r="H2868" s="166"/>
      <c r="I2868" s="167"/>
      <c r="J2868" s="167"/>
      <c r="K2868" s="166"/>
      <c r="L2868" s="166"/>
      <c r="M2868" s="166"/>
      <c r="N2868" s="166"/>
      <c r="O2868" s="166"/>
      <c r="P2868" s="166"/>
      <c r="Q2868" s="166"/>
      <c r="R2868" s="166"/>
      <c r="S2868" s="166"/>
      <c r="T2868" s="166"/>
      <c r="U2868" s="166"/>
      <c r="V2868" s="166"/>
      <c r="W2868" s="166"/>
      <c r="X2868" s="166"/>
      <c r="Y2868" s="166"/>
      <c r="Z2868" s="166"/>
      <c r="AA2868" s="166"/>
      <c r="AB2868" s="166"/>
      <c r="AC2868" s="166"/>
      <c r="AD2868" s="166"/>
      <c r="AE2868" s="166"/>
      <c r="AF2868" s="166"/>
      <c r="AG2868" s="166"/>
      <c r="AH2868" s="166"/>
      <c r="AI2868" s="166"/>
    </row>
    <row r="2869" spans="7:35" x14ac:dyDescent="0.25">
      <c r="G2869" s="165"/>
      <c r="H2869" s="166"/>
      <c r="I2869" s="167"/>
      <c r="J2869" s="167"/>
      <c r="K2869" s="166"/>
      <c r="L2869" s="166"/>
      <c r="M2869" s="166"/>
      <c r="N2869" s="166"/>
      <c r="O2869" s="166"/>
      <c r="P2869" s="166"/>
      <c r="Q2869" s="166"/>
      <c r="R2869" s="166"/>
      <c r="S2869" s="166"/>
      <c r="T2869" s="166"/>
      <c r="U2869" s="166"/>
      <c r="V2869" s="166"/>
      <c r="W2869" s="166"/>
      <c r="X2869" s="166"/>
      <c r="Y2869" s="166"/>
      <c r="Z2869" s="166"/>
      <c r="AA2869" s="166"/>
      <c r="AB2869" s="166"/>
      <c r="AC2869" s="166"/>
      <c r="AD2869" s="166"/>
      <c r="AE2869" s="166"/>
      <c r="AF2869" s="166"/>
      <c r="AG2869" s="166"/>
      <c r="AH2869" s="166"/>
      <c r="AI2869" s="166"/>
    </row>
    <row r="2870" spans="7:35" x14ac:dyDescent="0.25">
      <c r="G2870" s="165"/>
      <c r="H2870" s="166"/>
      <c r="I2870" s="167"/>
      <c r="J2870" s="167"/>
      <c r="K2870" s="166"/>
      <c r="L2870" s="166"/>
      <c r="M2870" s="166"/>
      <c r="N2870" s="166"/>
      <c r="O2870" s="166"/>
      <c r="P2870" s="166"/>
      <c r="Q2870" s="166"/>
      <c r="R2870" s="166"/>
      <c r="S2870" s="166"/>
      <c r="T2870" s="166"/>
      <c r="U2870" s="166"/>
      <c r="V2870" s="166"/>
      <c r="W2870" s="166"/>
      <c r="X2870" s="166"/>
      <c r="Y2870" s="166"/>
      <c r="Z2870" s="166"/>
      <c r="AA2870" s="166"/>
      <c r="AB2870" s="166"/>
      <c r="AC2870" s="166"/>
      <c r="AD2870" s="166"/>
      <c r="AE2870" s="166"/>
      <c r="AF2870" s="166"/>
      <c r="AG2870" s="166"/>
      <c r="AH2870" s="166"/>
      <c r="AI2870" s="166"/>
    </row>
    <row r="2871" spans="7:35" x14ac:dyDescent="0.25">
      <c r="G2871" s="165"/>
      <c r="H2871" s="166"/>
      <c r="I2871" s="167"/>
      <c r="J2871" s="167"/>
      <c r="K2871" s="166"/>
      <c r="L2871" s="166"/>
      <c r="M2871" s="166"/>
      <c r="N2871" s="166"/>
      <c r="O2871" s="166"/>
      <c r="P2871" s="166"/>
      <c r="Q2871" s="166"/>
      <c r="R2871" s="166"/>
      <c r="S2871" s="166"/>
      <c r="T2871" s="166"/>
      <c r="U2871" s="166"/>
      <c r="V2871" s="166"/>
      <c r="W2871" s="166"/>
      <c r="X2871" s="166"/>
      <c r="Y2871" s="166"/>
      <c r="Z2871" s="166"/>
      <c r="AA2871" s="166"/>
      <c r="AB2871" s="166"/>
      <c r="AC2871" s="166"/>
      <c r="AD2871" s="166"/>
      <c r="AE2871" s="166"/>
      <c r="AF2871" s="166"/>
      <c r="AG2871" s="166"/>
      <c r="AH2871" s="166"/>
      <c r="AI2871" s="166"/>
    </row>
    <row r="2872" spans="7:35" x14ac:dyDescent="0.25">
      <c r="G2872" s="165"/>
      <c r="H2872" s="166"/>
      <c r="I2872" s="167"/>
      <c r="J2872" s="167"/>
      <c r="K2872" s="166"/>
      <c r="L2872" s="166"/>
      <c r="M2872" s="166"/>
      <c r="N2872" s="166"/>
      <c r="O2872" s="166"/>
      <c r="P2872" s="166"/>
      <c r="Q2872" s="166"/>
      <c r="R2872" s="166"/>
      <c r="S2872" s="166"/>
      <c r="T2872" s="166"/>
      <c r="U2872" s="166"/>
      <c r="V2872" s="166"/>
      <c r="W2872" s="166"/>
      <c r="X2872" s="166"/>
      <c r="Y2872" s="166"/>
      <c r="Z2872" s="166"/>
      <c r="AA2872" s="166"/>
      <c r="AB2872" s="166"/>
      <c r="AC2872" s="166"/>
      <c r="AD2872" s="166"/>
      <c r="AE2872" s="166"/>
      <c r="AF2872" s="166"/>
      <c r="AG2872" s="166"/>
      <c r="AH2872" s="166"/>
      <c r="AI2872" s="166"/>
    </row>
    <row r="2873" spans="7:35" x14ac:dyDescent="0.25">
      <c r="G2873" s="165"/>
      <c r="H2873" s="166"/>
      <c r="I2873" s="167"/>
      <c r="J2873" s="167"/>
      <c r="K2873" s="166"/>
      <c r="L2873" s="166"/>
      <c r="M2873" s="166"/>
      <c r="N2873" s="166"/>
      <c r="O2873" s="166"/>
      <c r="P2873" s="166"/>
      <c r="Q2873" s="166"/>
      <c r="R2873" s="166"/>
      <c r="S2873" s="166"/>
      <c r="T2873" s="166"/>
      <c r="U2873" s="166"/>
      <c r="V2873" s="166"/>
      <c r="W2873" s="166"/>
      <c r="X2873" s="166"/>
      <c r="Y2873" s="166"/>
      <c r="Z2873" s="166"/>
      <c r="AA2873" s="166"/>
      <c r="AB2873" s="166"/>
      <c r="AC2873" s="166"/>
      <c r="AD2873" s="166"/>
      <c r="AE2873" s="166"/>
      <c r="AF2873" s="166"/>
      <c r="AG2873" s="166"/>
      <c r="AH2873" s="166"/>
      <c r="AI2873" s="166"/>
    </row>
    <row r="2874" spans="7:35" x14ac:dyDescent="0.25">
      <c r="G2874" s="165"/>
      <c r="H2874" s="166"/>
      <c r="I2874" s="167"/>
      <c r="J2874" s="167"/>
      <c r="K2874" s="166"/>
      <c r="L2874" s="166"/>
      <c r="M2874" s="166"/>
      <c r="N2874" s="166"/>
      <c r="O2874" s="166"/>
      <c r="P2874" s="166"/>
      <c r="Q2874" s="166"/>
      <c r="R2874" s="166"/>
      <c r="S2874" s="166"/>
      <c r="T2874" s="166"/>
      <c r="U2874" s="166"/>
      <c r="V2874" s="166"/>
      <c r="W2874" s="166"/>
      <c r="X2874" s="166"/>
      <c r="Y2874" s="166"/>
      <c r="Z2874" s="166"/>
      <c r="AA2874" s="166"/>
      <c r="AB2874" s="166"/>
      <c r="AC2874" s="166"/>
      <c r="AD2874" s="166"/>
      <c r="AE2874" s="166"/>
      <c r="AF2874" s="166"/>
      <c r="AG2874" s="166"/>
      <c r="AH2874" s="166"/>
      <c r="AI2874" s="166"/>
    </row>
    <row r="2875" spans="7:35" x14ac:dyDescent="0.25">
      <c r="G2875" s="165"/>
      <c r="H2875" s="166"/>
      <c r="I2875" s="167"/>
      <c r="J2875" s="167"/>
      <c r="K2875" s="166"/>
      <c r="L2875" s="166"/>
      <c r="M2875" s="166"/>
      <c r="N2875" s="166"/>
      <c r="O2875" s="166"/>
      <c r="P2875" s="166"/>
      <c r="Q2875" s="166"/>
      <c r="R2875" s="166"/>
      <c r="S2875" s="166"/>
      <c r="T2875" s="166"/>
      <c r="U2875" s="166"/>
      <c r="V2875" s="166"/>
      <c r="W2875" s="166"/>
      <c r="X2875" s="166"/>
      <c r="Y2875" s="166"/>
      <c r="Z2875" s="166"/>
      <c r="AA2875" s="166"/>
      <c r="AB2875" s="166"/>
      <c r="AC2875" s="166"/>
      <c r="AD2875" s="166"/>
      <c r="AE2875" s="166"/>
      <c r="AF2875" s="166"/>
      <c r="AG2875" s="166"/>
      <c r="AH2875" s="166"/>
      <c r="AI2875" s="166"/>
    </row>
    <row r="2876" spans="7:35" x14ac:dyDescent="0.25">
      <c r="G2876" s="165"/>
      <c r="H2876" s="166"/>
      <c r="I2876" s="167"/>
      <c r="J2876" s="167"/>
      <c r="K2876" s="166"/>
      <c r="L2876" s="166"/>
      <c r="M2876" s="166"/>
      <c r="N2876" s="166"/>
      <c r="O2876" s="166"/>
      <c r="P2876" s="166"/>
      <c r="Q2876" s="166"/>
      <c r="R2876" s="166"/>
      <c r="S2876" s="166"/>
      <c r="T2876" s="166"/>
      <c r="U2876" s="166"/>
      <c r="V2876" s="166"/>
      <c r="W2876" s="166"/>
      <c r="X2876" s="166"/>
      <c r="Y2876" s="166"/>
      <c r="Z2876" s="166"/>
      <c r="AA2876" s="166"/>
      <c r="AB2876" s="166"/>
      <c r="AC2876" s="166"/>
      <c r="AD2876" s="166"/>
      <c r="AE2876" s="166"/>
      <c r="AF2876" s="166"/>
      <c r="AG2876" s="166"/>
      <c r="AH2876" s="166"/>
      <c r="AI2876" s="166"/>
    </row>
    <row r="2877" spans="7:35" x14ac:dyDescent="0.25">
      <c r="G2877" s="165"/>
      <c r="H2877" s="166"/>
      <c r="I2877" s="167"/>
      <c r="J2877" s="167"/>
      <c r="K2877" s="166"/>
      <c r="L2877" s="166"/>
      <c r="M2877" s="166"/>
      <c r="N2877" s="166"/>
      <c r="O2877" s="166"/>
      <c r="P2877" s="166"/>
      <c r="Q2877" s="166"/>
      <c r="R2877" s="166"/>
      <c r="S2877" s="166"/>
      <c r="T2877" s="166"/>
      <c r="U2877" s="166"/>
      <c r="V2877" s="166"/>
      <c r="W2877" s="166"/>
      <c r="X2877" s="166"/>
      <c r="Y2877" s="166"/>
      <c r="Z2877" s="166"/>
      <c r="AA2877" s="166"/>
      <c r="AB2877" s="166"/>
      <c r="AC2877" s="166"/>
      <c r="AD2877" s="166"/>
      <c r="AE2877" s="166"/>
      <c r="AF2877" s="166"/>
      <c r="AG2877" s="166"/>
      <c r="AH2877" s="166"/>
      <c r="AI2877" s="166"/>
    </row>
    <row r="2878" spans="7:35" x14ac:dyDescent="0.25">
      <c r="G2878" s="165"/>
      <c r="H2878" s="166"/>
      <c r="I2878" s="167"/>
      <c r="J2878" s="167"/>
      <c r="K2878" s="166"/>
      <c r="L2878" s="166"/>
      <c r="M2878" s="166"/>
      <c r="N2878" s="166"/>
      <c r="O2878" s="166"/>
      <c r="P2878" s="166"/>
      <c r="Q2878" s="166"/>
      <c r="R2878" s="166"/>
      <c r="S2878" s="166"/>
      <c r="T2878" s="166"/>
      <c r="U2878" s="166"/>
      <c r="V2878" s="166"/>
      <c r="W2878" s="166"/>
      <c r="X2878" s="166"/>
      <c r="Y2878" s="166"/>
      <c r="Z2878" s="166"/>
      <c r="AA2878" s="166"/>
      <c r="AB2878" s="166"/>
      <c r="AC2878" s="166"/>
      <c r="AD2878" s="166"/>
      <c r="AE2878" s="166"/>
      <c r="AF2878" s="166"/>
      <c r="AG2878" s="166"/>
      <c r="AH2878" s="166"/>
      <c r="AI2878" s="166"/>
    </row>
    <row r="2879" spans="7:35" x14ac:dyDescent="0.25">
      <c r="G2879" s="165"/>
      <c r="H2879" s="166"/>
      <c r="I2879" s="167"/>
      <c r="J2879" s="167"/>
      <c r="K2879" s="166"/>
      <c r="L2879" s="166"/>
      <c r="M2879" s="166"/>
      <c r="N2879" s="166"/>
      <c r="O2879" s="166"/>
      <c r="P2879" s="166"/>
      <c r="Q2879" s="166"/>
      <c r="R2879" s="166"/>
      <c r="S2879" s="166"/>
      <c r="T2879" s="166"/>
      <c r="U2879" s="166"/>
      <c r="V2879" s="166"/>
      <c r="W2879" s="166"/>
      <c r="X2879" s="166"/>
      <c r="Y2879" s="166"/>
      <c r="Z2879" s="166"/>
      <c r="AA2879" s="166"/>
      <c r="AB2879" s="166"/>
      <c r="AC2879" s="166"/>
      <c r="AD2879" s="166"/>
      <c r="AE2879" s="166"/>
      <c r="AF2879" s="166"/>
      <c r="AG2879" s="166"/>
      <c r="AH2879" s="166"/>
      <c r="AI2879" s="166"/>
    </row>
    <row r="2880" spans="7:35" x14ac:dyDescent="0.25">
      <c r="G2880" s="165"/>
      <c r="H2880" s="166"/>
      <c r="I2880" s="167"/>
      <c r="J2880" s="167"/>
      <c r="K2880" s="166"/>
      <c r="L2880" s="166"/>
      <c r="M2880" s="166"/>
      <c r="N2880" s="166"/>
      <c r="O2880" s="166"/>
      <c r="P2880" s="166"/>
      <c r="Q2880" s="166"/>
      <c r="R2880" s="166"/>
      <c r="S2880" s="166"/>
      <c r="T2880" s="166"/>
      <c r="U2880" s="166"/>
      <c r="V2880" s="166"/>
      <c r="W2880" s="166"/>
      <c r="X2880" s="166"/>
      <c r="Y2880" s="166"/>
      <c r="Z2880" s="166"/>
      <c r="AA2880" s="166"/>
      <c r="AB2880" s="166"/>
      <c r="AC2880" s="166"/>
      <c r="AD2880" s="166"/>
      <c r="AE2880" s="166"/>
      <c r="AF2880" s="166"/>
      <c r="AG2880" s="166"/>
      <c r="AH2880" s="166"/>
      <c r="AI2880" s="166"/>
    </row>
    <row r="2881" spans="7:35" x14ac:dyDescent="0.25">
      <c r="G2881" s="165"/>
      <c r="H2881" s="166"/>
      <c r="I2881" s="167"/>
      <c r="J2881" s="167"/>
      <c r="K2881" s="166"/>
      <c r="L2881" s="166"/>
      <c r="M2881" s="166"/>
      <c r="N2881" s="166"/>
      <c r="O2881" s="166"/>
      <c r="P2881" s="166"/>
      <c r="Q2881" s="166"/>
      <c r="R2881" s="166"/>
      <c r="S2881" s="166"/>
      <c r="T2881" s="166"/>
      <c r="U2881" s="166"/>
      <c r="V2881" s="166"/>
      <c r="W2881" s="166"/>
      <c r="X2881" s="166"/>
      <c r="Y2881" s="166"/>
      <c r="Z2881" s="166"/>
      <c r="AA2881" s="166"/>
      <c r="AB2881" s="166"/>
      <c r="AC2881" s="166"/>
      <c r="AD2881" s="166"/>
      <c r="AE2881" s="166"/>
      <c r="AF2881" s="166"/>
      <c r="AG2881" s="166"/>
      <c r="AH2881" s="166"/>
      <c r="AI2881" s="166"/>
    </row>
    <row r="2882" spans="7:35" x14ac:dyDescent="0.25">
      <c r="G2882" s="165"/>
      <c r="H2882" s="166"/>
      <c r="I2882" s="167"/>
      <c r="J2882" s="167"/>
      <c r="K2882" s="166"/>
      <c r="L2882" s="166"/>
      <c r="M2882" s="166"/>
      <c r="N2882" s="166"/>
      <c r="O2882" s="166"/>
      <c r="P2882" s="166"/>
      <c r="Q2882" s="166"/>
      <c r="R2882" s="166"/>
      <c r="S2882" s="166"/>
      <c r="T2882" s="166"/>
      <c r="U2882" s="166"/>
      <c r="V2882" s="166"/>
      <c r="W2882" s="166"/>
      <c r="X2882" s="166"/>
      <c r="Y2882" s="166"/>
      <c r="Z2882" s="166"/>
      <c r="AA2882" s="166"/>
      <c r="AB2882" s="166"/>
      <c r="AC2882" s="166"/>
      <c r="AD2882" s="166"/>
      <c r="AE2882" s="166"/>
      <c r="AF2882" s="166"/>
      <c r="AG2882" s="166"/>
      <c r="AH2882" s="166"/>
      <c r="AI2882" s="166"/>
    </row>
    <row r="2883" spans="7:35" x14ac:dyDescent="0.25">
      <c r="G2883" s="165"/>
      <c r="H2883" s="166"/>
      <c r="I2883" s="167"/>
      <c r="J2883" s="167"/>
      <c r="K2883" s="166"/>
      <c r="L2883" s="166"/>
      <c r="M2883" s="166"/>
      <c r="N2883" s="166"/>
      <c r="O2883" s="166"/>
      <c r="P2883" s="166"/>
      <c r="Q2883" s="166"/>
      <c r="R2883" s="166"/>
      <c r="S2883" s="166"/>
      <c r="T2883" s="166"/>
      <c r="U2883" s="166"/>
      <c r="V2883" s="166"/>
      <c r="W2883" s="166"/>
      <c r="X2883" s="166"/>
      <c r="Y2883" s="166"/>
      <c r="Z2883" s="166"/>
      <c r="AA2883" s="166"/>
      <c r="AB2883" s="166"/>
      <c r="AC2883" s="166"/>
      <c r="AD2883" s="166"/>
      <c r="AE2883" s="166"/>
      <c r="AF2883" s="166"/>
      <c r="AG2883" s="166"/>
      <c r="AH2883" s="166"/>
      <c r="AI2883" s="166"/>
    </row>
    <row r="2884" spans="7:35" x14ac:dyDescent="0.25">
      <c r="G2884" s="165"/>
      <c r="H2884" s="166"/>
      <c r="I2884" s="167"/>
      <c r="J2884" s="167"/>
      <c r="K2884" s="166"/>
      <c r="L2884" s="166"/>
      <c r="M2884" s="166"/>
      <c r="N2884" s="166"/>
      <c r="O2884" s="166"/>
      <c r="P2884" s="166"/>
      <c r="Q2884" s="166"/>
      <c r="R2884" s="166"/>
      <c r="S2884" s="166"/>
      <c r="T2884" s="166"/>
      <c r="U2884" s="166"/>
      <c r="V2884" s="166"/>
      <c r="W2884" s="166"/>
      <c r="X2884" s="166"/>
      <c r="Y2884" s="166"/>
      <c r="Z2884" s="166"/>
      <c r="AA2884" s="166"/>
      <c r="AB2884" s="166"/>
      <c r="AC2884" s="166"/>
      <c r="AD2884" s="166"/>
      <c r="AE2884" s="166"/>
      <c r="AF2884" s="166"/>
      <c r="AG2884" s="166"/>
      <c r="AH2884" s="166"/>
      <c r="AI2884" s="166"/>
    </row>
    <row r="2885" spans="7:35" x14ac:dyDescent="0.25">
      <c r="G2885" s="165"/>
      <c r="H2885" s="166"/>
      <c r="I2885" s="167"/>
      <c r="J2885" s="167"/>
      <c r="K2885" s="166"/>
      <c r="L2885" s="166"/>
      <c r="M2885" s="166"/>
      <c r="N2885" s="166"/>
      <c r="O2885" s="166"/>
      <c r="P2885" s="166"/>
      <c r="Q2885" s="166"/>
      <c r="R2885" s="166"/>
      <c r="S2885" s="166"/>
      <c r="T2885" s="166"/>
      <c r="U2885" s="166"/>
      <c r="V2885" s="166"/>
      <c r="W2885" s="166"/>
      <c r="X2885" s="166"/>
      <c r="Y2885" s="166"/>
      <c r="Z2885" s="166"/>
      <c r="AA2885" s="166"/>
      <c r="AB2885" s="166"/>
      <c r="AC2885" s="166"/>
      <c r="AD2885" s="166"/>
      <c r="AE2885" s="166"/>
      <c r="AF2885" s="166"/>
      <c r="AG2885" s="166"/>
      <c r="AH2885" s="166"/>
      <c r="AI2885" s="166"/>
    </row>
    <row r="2886" spans="7:35" x14ac:dyDescent="0.25">
      <c r="G2886" s="165"/>
      <c r="H2886" s="166"/>
      <c r="I2886" s="167"/>
      <c r="J2886" s="167"/>
      <c r="K2886" s="166"/>
      <c r="L2886" s="166"/>
      <c r="M2886" s="166"/>
      <c r="N2886" s="166"/>
      <c r="O2886" s="166"/>
      <c r="P2886" s="166"/>
      <c r="Q2886" s="166"/>
      <c r="R2886" s="166"/>
      <c r="S2886" s="166"/>
      <c r="T2886" s="166"/>
      <c r="U2886" s="166"/>
      <c r="V2886" s="166"/>
      <c r="W2886" s="166"/>
      <c r="X2886" s="166"/>
      <c r="Y2886" s="166"/>
      <c r="Z2886" s="166"/>
      <c r="AA2886" s="166"/>
      <c r="AB2886" s="166"/>
      <c r="AC2886" s="166"/>
      <c r="AD2886" s="166"/>
      <c r="AE2886" s="166"/>
      <c r="AF2886" s="166"/>
      <c r="AG2886" s="166"/>
      <c r="AH2886" s="166"/>
      <c r="AI2886" s="166"/>
    </row>
    <row r="2887" spans="7:35" x14ac:dyDescent="0.25">
      <c r="G2887" s="165"/>
      <c r="H2887" s="166"/>
      <c r="I2887" s="167"/>
      <c r="J2887" s="167"/>
      <c r="K2887" s="166"/>
      <c r="L2887" s="166"/>
      <c r="M2887" s="166"/>
      <c r="N2887" s="166"/>
      <c r="O2887" s="166"/>
      <c r="P2887" s="166"/>
      <c r="Q2887" s="166"/>
      <c r="R2887" s="166"/>
      <c r="S2887" s="166"/>
      <c r="T2887" s="166"/>
      <c r="U2887" s="166"/>
      <c r="V2887" s="166"/>
      <c r="W2887" s="166"/>
      <c r="X2887" s="166"/>
      <c r="Y2887" s="166"/>
      <c r="Z2887" s="166"/>
      <c r="AA2887" s="166"/>
      <c r="AB2887" s="166"/>
      <c r="AC2887" s="166"/>
      <c r="AD2887" s="166"/>
      <c r="AE2887" s="166"/>
      <c r="AF2887" s="166"/>
      <c r="AG2887" s="166"/>
      <c r="AH2887" s="166"/>
      <c r="AI2887" s="166"/>
    </row>
    <row r="2888" spans="7:35" x14ac:dyDescent="0.25">
      <c r="G2888" s="165"/>
      <c r="H2888" s="166"/>
      <c r="I2888" s="167"/>
      <c r="J2888" s="167"/>
      <c r="K2888" s="166"/>
      <c r="L2888" s="166"/>
      <c r="M2888" s="166"/>
      <c r="N2888" s="166"/>
      <c r="O2888" s="166"/>
      <c r="P2888" s="166"/>
      <c r="Q2888" s="166"/>
      <c r="R2888" s="166"/>
      <c r="S2888" s="166"/>
      <c r="T2888" s="166"/>
      <c r="U2888" s="166"/>
      <c r="V2888" s="166"/>
      <c r="W2888" s="166"/>
      <c r="X2888" s="166"/>
      <c r="Y2888" s="166"/>
      <c r="Z2888" s="166"/>
      <c r="AA2888" s="166"/>
      <c r="AB2888" s="166"/>
      <c r="AC2888" s="166"/>
      <c r="AD2888" s="166"/>
      <c r="AE2888" s="166"/>
      <c r="AF2888" s="166"/>
      <c r="AG2888" s="166"/>
      <c r="AH2888" s="166"/>
      <c r="AI2888" s="166"/>
    </row>
    <row r="2889" spans="7:35" x14ac:dyDescent="0.25">
      <c r="G2889" s="165"/>
      <c r="H2889" s="166"/>
      <c r="I2889" s="167"/>
      <c r="J2889" s="167"/>
      <c r="K2889" s="166"/>
      <c r="L2889" s="166"/>
      <c r="M2889" s="166"/>
      <c r="N2889" s="166"/>
      <c r="O2889" s="166"/>
      <c r="P2889" s="166"/>
      <c r="Q2889" s="166"/>
      <c r="R2889" s="166"/>
      <c r="S2889" s="166"/>
      <c r="T2889" s="166"/>
      <c r="U2889" s="166"/>
      <c r="V2889" s="166"/>
      <c r="W2889" s="166"/>
      <c r="X2889" s="166"/>
      <c r="Y2889" s="166"/>
      <c r="Z2889" s="166"/>
      <c r="AA2889" s="166"/>
      <c r="AB2889" s="166"/>
      <c r="AC2889" s="166"/>
      <c r="AD2889" s="166"/>
      <c r="AE2889" s="166"/>
      <c r="AF2889" s="166"/>
      <c r="AG2889" s="166"/>
      <c r="AH2889" s="166"/>
      <c r="AI2889" s="166"/>
    </row>
    <row r="2890" spans="7:35" x14ac:dyDescent="0.25">
      <c r="G2890" s="165"/>
      <c r="H2890" s="166"/>
      <c r="I2890" s="167"/>
      <c r="J2890" s="167"/>
      <c r="K2890" s="166"/>
      <c r="L2890" s="166"/>
      <c r="M2890" s="166"/>
      <c r="N2890" s="166"/>
      <c r="O2890" s="166"/>
      <c r="P2890" s="166"/>
      <c r="Q2890" s="166"/>
      <c r="R2890" s="166"/>
      <c r="S2890" s="166"/>
      <c r="T2890" s="166"/>
      <c r="U2890" s="166"/>
      <c r="V2890" s="166"/>
      <c r="W2890" s="166"/>
      <c r="X2890" s="166"/>
      <c r="Y2890" s="166"/>
      <c r="Z2890" s="166"/>
      <c r="AA2890" s="166"/>
      <c r="AB2890" s="166"/>
      <c r="AC2890" s="166"/>
      <c r="AD2890" s="166"/>
      <c r="AE2890" s="166"/>
      <c r="AF2890" s="166"/>
      <c r="AG2890" s="166"/>
      <c r="AH2890" s="166"/>
      <c r="AI2890" s="166"/>
    </row>
    <row r="2891" spans="7:35" x14ac:dyDescent="0.25">
      <c r="G2891" s="165"/>
      <c r="H2891" s="166"/>
      <c r="I2891" s="167"/>
      <c r="J2891" s="167"/>
      <c r="K2891" s="166"/>
      <c r="L2891" s="166"/>
      <c r="M2891" s="166"/>
      <c r="N2891" s="166"/>
      <c r="O2891" s="166"/>
      <c r="P2891" s="166"/>
      <c r="Q2891" s="166"/>
      <c r="R2891" s="166"/>
      <c r="S2891" s="166"/>
      <c r="T2891" s="166"/>
      <c r="U2891" s="166"/>
      <c r="V2891" s="166"/>
      <c r="W2891" s="166"/>
      <c r="X2891" s="166"/>
      <c r="Y2891" s="166"/>
      <c r="Z2891" s="166"/>
      <c r="AA2891" s="166"/>
      <c r="AB2891" s="166"/>
      <c r="AC2891" s="166"/>
      <c r="AD2891" s="166"/>
      <c r="AE2891" s="166"/>
      <c r="AF2891" s="166"/>
      <c r="AG2891" s="166"/>
      <c r="AH2891" s="166"/>
      <c r="AI2891" s="166"/>
    </row>
    <row r="2892" spans="7:35" x14ac:dyDescent="0.25">
      <c r="G2892" s="165"/>
      <c r="H2892" s="166"/>
      <c r="I2892" s="167"/>
      <c r="J2892" s="167"/>
      <c r="K2892" s="166"/>
      <c r="L2892" s="166"/>
      <c r="M2892" s="166"/>
      <c r="N2892" s="166"/>
      <c r="O2892" s="166"/>
      <c r="P2892" s="166"/>
      <c r="Q2892" s="166"/>
      <c r="R2892" s="166"/>
      <c r="S2892" s="166"/>
      <c r="T2892" s="166"/>
      <c r="U2892" s="166"/>
      <c r="V2892" s="166"/>
      <c r="W2892" s="166"/>
      <c r="X2892" s="166"/>
      <c r="Y2892" s="166"/>
      <c r="Z2892" s="166"/>
      <c r="AA2892" s="166"/>
      <c r="AB2892" s="166"/>
      <c r="AC2892" s="166"/>
      <c r="AD2892" s="166"/>
      <c r="AE2892" s="166"/>
      <c r="AF2892" s="166"/>
      <c r="AG2892" s="166"/>
      <c r="AH2892" s="166"/>
      <c r="AI2892" s="166"/>
    </row>
    <row r="2893" spans="7:35" x14ac:dyDescent="0.25">
      <c r="G2893" s="165"/>
      <c r="H2893" s="166"/>
      <c r="I2893" s="167"/>
      <c r="J2893" s="167"/>
      <c r="K2893" s="166"/>
      <c r="L2893" s="166"/>
      <c r="M2893" s="166"/>
      <c r="N2893" s="166"/>
      <c r="O2893" s="166"/>
      <c r="P2893" s="166"/>
      <c r="Q2893" s="166"/>
      <c r="R2893" s="166"/>
      <c r="S2893" s="166"/>
      <c r="T2893" s="166"/>
      <c r="U2893" s="166"/>
      <c r="V2893" s="166"/>
      <c r="W2893" s="166"/>
      <c r="X2893" s="166"/>
      <c r="Y2893" s="166"/>
      <c r="Z2893" s="166"/>
      <c r="AA2893" s="166"/>
      <c r="AB2893" s="166"/>
      <c r="AC2893" s="166"/>
      <c r="AD2893" s="166"/>
      <c r="AE2893" s="166"/>
      <c r="AF2893" s="166"/>
      <c r="AG2893" s="166"/>
      <c r="AH2893" s="166"/>
      <c r="AI2893" s="166"/>
    </row>
    <row r="2894" spans="7:35" x14ac:dyDescent="0.25">
      <c r="G2894" s="165"/>
      <c r="H2894" s="166"/>
      <c r="I2894" s="167"/>
      <c r="J2894" s="167"/>
      <c r="K2894" s="166"/>
      <c r="L2894" s="166"/>
      <c r="M2894" s="166"/>
      <c r="N2894" s="166"/>
      <c r="O2894" s="166"/>
      <c r="P2894" s="166"/>
      <c r="Q2894" s="166"/>
      <c r="R2894" s="166"/>
      <c r="S2894" s="166"/>
      <c r="T2894" s="166"/>
      <c r="U2894" s="166"/>
      <c r="V2894" s="166"/>
      <c r="W2894" s="166"/>
      <c r="X2894" s="166"/>
      <c r="Y2894" s="166"/>
      <c r="Z2894" s="166"/>
      <c r="AA2894" s="166"/>
      <c r="AB2894" s="166"/>
      <c r="AC2894" s="166"/>
      <c r="AD2894" s="166"/>
      <c r="AE2894" s="166"/>
      <c r="AF2894" s="166"/>
      <c r="AG2894" s="166"/>
      <c r="AH2894" s="166"/>
      <c r="AI2894" s="166"/>
    </row>
    <row r="2895" spans="7:35" x14ac:dyDescent="0.25">
      <c r="G2895" s="165"/>
      <c r="H2895" s="166"/>
      <c r="I2895" s="167"/>
      <c r="J2895" s="167"/>
      <c r="K2895" s="166"/>
      <c r="L2895" s="166"/>
      <c r="M2895" s="166"/>
      <c r="N2895" s="166"/>
      <c r="O2895" s="166"/>
      <c r="P2895" s="166"/>
      <c r="Q2895" s="166"/>
      <c r="R2895" s="166"/>
      <c r="S2895" s="166"/>
      <c r="T2895" s="166"/>
      <c r="U2895" s="166"/>
      <c r="V2895" s="166"/>
      <c r="W2895" s="166"/>
      <c r="X2895" s="166"/>
      <c r="Y2895" s="166"/>
      <c r="Z2895" s="166"/>
      <c r="AA2895" s="166"/>
      <c r="AB2895" s="166"/>
      <c r="AC2895" s="166"/>
      <c r="AD2895" s="166"/>
      <c r="AE2895" s="166"/>
      <c r="AF2895" s="166"/>
      <c r="AG2895" s="166"/>
      <c r="AH2895" s="166"/>
      <c r="AI2895" s="166"/>
    </row>
    <row r="2896" spans="7:35" x14ac:dyDescent="0.25">
      <c r="G2896" s="165"/>
      <c r="H2896" s="166"/>
      <c r="I2896" s="167"/>
      <c r="J2896" s="167"/>
      <c r="K2896" s="166"/>
      <c r="L2896" s="166"/>
      <c r="M2896" s="166"/>
      <c r="N2896" s="166"/>
      <c r="O2896" s="166"/>
      <c r="P2896" s="166"/>
      <c r="Q2896" s="166"/>
      <c r="R2896" s="166"/>
      <c r="S2896" s="166"/>
      <c r="T2896" s="166"/>
      <c r="U2896" s="166"/>
      <c r="V2896" s="166"/>
      <c r="W2896" s="166"/>
      <c r="X2896" s="166"/>
      <c r="Y2896" s="166"/>
      <c r="Z2896" s="166"/>
      <c r="AA2896" s="166"/>
      <c r="AB2896" s="166"/>
      <c r="AC2896" s="166"/>
      <c r="AD2896" s="166"/>
      <c r="AE2896" s="166"/>
      <c r="AF2896" s="166"/>
      <c r="AG2896" s="166"/>
      <c r="AH2896" s="166"/>
      <c r="AI2896" s="166"/>
    </row>
    <row r="2897" spans="7:35" x14ac:dyDescent="0.25">
      <c r="G2897" s="165"/>
      <c r="H2897" s="166"/>
      <c r="I2897" s="167"/>
      <c r="J2897" s="167"/>
      <c r="K2897" s="166"/>
      <c r="L2897" s="166"/>
      <c r="M2897" s="166"/>
      <c r="N2897" s="166"/>
      <c r="O2897" s="166"/>
      <c r="P2897" s="166"/>
      <c r="Q2897" s="166"/>
      <c r="R2897" s="166"/>
      <c r="S2897" s="166"/>
      <c r="T2897" s="166"/>
      <c r="U2897" s="166"/>
      <c r="V2897" s="166"/>
      <c r="W2897" s="166"/>
      <c r="X2897" s="166"/>
      <c r="Y2897" s="166"/>
      <c r="Z2897" s="166"/>
      <c r="AA2897" s="166"/>
      <c r="AB2897" s="166"/>
      <c r="AC2897" s="166"/>
      <c r="AD2897" s="166"/>
      <c r="AE2897" s="166"/>
      <c r="AF2897" s="166"/>
      <c r="AG2897" s="166"/>
      <c r="AH2897" s="166"/>
      <c r="AI2897" s="166"/>
    </row>
    <row r="2898" spans="7:35" x14ac:dyDescent="0.25">
      <c r="G2898" s="165"/>
      <c r="H2898" s="166"/>
      <c r="I2898" s="167"/>
      <c r="J2898" s="167"/>
      <c r="K2898" s="166"/>
      <c r="L2898" s="166"/>
      <c r="M2898" s="166"/>
      <c r="N2898" s="166"/>
      <c r="O2898" s="166"/>
      <c r="P2898" s="166"/>
      <c r="Q2898" s="166"/>
      <c r="R2898" s="166"/>
      <c r="S2898" s="166"/>
      <c r="T2898" s="166"/>
      <c r="U2898" s="166"/>
      <c r="V2898" s="166"/>
      <c r="W2898" s="166"/>
      <c r="X2898" s="166"/>
      <c r="Y2898" s="166"/>
      <c r="Z2898" s="166"/>
      <c r="AA2898" s="166"/>
      <c r="AB2898" s="166"/>
      <c r="AC2898" s="166"/>
      <c r="AD2898" s="166"/>
      <c r="AE2898" s="166"/>
      <c r="AF2898" s="166"/>
      <c r="AG2898" s="166"/>
      <c r="AH2898" s="166"/>
      <c r="AI2898" s="166"/>
    </row>
    <row r="2899" spans="7:35" x14ac:dyDescent="0.25">
      <c r="G2899" s="165"/>
      <c r="H2899" s="166"/>
      <c r="I2899" s="167"/>
      <c r="J2899" s="167"/>
      <c r="K2899" s="166"/>
      <c r="L2899" s="166"/>
      <c r="M2899" s="166"/>
      <c r="N2899" s="166"/>
      <c r="O2899" s="166"/>
      <c r="P2899" s="166"/>
      <c r="Q2899" s="166"/>
      <c r="R2899" s="166"/>
      <c r="S2899" s="166"/>
      <c r="T2899" s="166"/>
      <c r="U2899" s="166"/>
      <c r="V2899" s="166"/>
      <c r="W2899" s="166"/>
      <c r="X2899" s="166"/>
      <c r="Y2899" s="166"/>
      <c r="Z2899" s="166"/>
      <c r="AA2899" s="166"/>
      <c r="AB2899" s="166"/>
      <c r="AC2899" s="166"/>
      <c r="AD2899" s="166"/>
      <c r="AE2899" s="166"/>
      <c r="AF2899" s="166"/>
      <c r="AG2899" s="166"/>
      <c r="AH2899" s="166"/>
      <c r="AI2899" s="166"/>
    </row>
    <row r="2900" spans="7:35" x14ac:dyDescent="0.25">
      <c r="G2900" s="165"/>
      <c r="H2900" s="166"/>
      <c r="I2900" s="167"/>
      <c r="J2900" s="167"/>
      <c r="K2900" s="166"/>
      <c r="L2900" s="166"/>
      <c r="M2900" s="166"/>
      <c r="N2900" s="166"/>
      <c r="O2900" s="166"/>
      <c r="P2900" s="166"/>
      <c r="Q2900" s="166"/>
      <c r="R2900" s="166"/>
      <c r="S2900" s="166"/>
      <c r="T2900" s="166"/>
      <c r="U2900" s="166"/>
      <c r="V2900" s="166"/>
      <c r="W2900" s="166"/>
      <c r="X2900" s="166"/>
      <c r="Y2900" s="166"/>
      <c r="Z2900" s="166"/>
      <c r="AA2900" s="166"/>
      <c r="AB2900" s="166"/>
      <c r="AC2900" s="166"/>
      <c r="AD2900" s="166"/>
      <c r="AE2900" s="166"/>
      <c r="AF2900" s="166"/>
      <c r="AG2900" s="166"/>
      <c r="AH2900" s="166"/>
      <c r="AI2900" s="166"/>
    </row>
    <row r="2901" spans="7:35" x14ac:dyDescent="0.25">
      <c r="G2901" s="165"/>
      <c r="H2901" s="166"/>
      <c r="I2901" s="167"/>
      <c r="J2901" s="167"/>
      <c r="K2901" s="166"/>
      <c r="L2901" s="166"/>
      <c r="M2901" s="166"/>
      <c r="N2901" s="166"/>
      <c r="O2901" s="166"/>
      <c r="P2901" s="166"/>
      <c r="Q2901" s="166"/>
      <c r="R2901" s="166"/>
      <c r="S2901" s="166"/>
      <c r="T2901" s="166"/>
      <c r="U2901" s="166"/>
      <c r="V2901" s="166"/>
      <c r="W2901" s="166"/>
      <c r="X2901" s="166"/>
      <c r="Y2901" s="166"/>
      <c r="Z2901" s="166"/>
      <c r="AA2901" s="166"/>
      <c r="AB2901" s="166"/>
      <c r="AC2901" s="166"/>
      <c r="AD2901" s="166"/>
      <c r="AE2901" s="166"/>
      <c r="AF2901" s="166"/>
      <c r="AG2901" s="166"/>
      <c r="AH2901" s="166"/>
      <c r="AI2901" s="166"/>
    </row>
    <row r="2902" spans="7:35" x14ac:dyDescent="0.25">
      <c r="G2902" s="165"/>
      <c r="H2902" s="166"/>
      <c r="I2902" s="167"/>
      <c r="J2902" s="167"/>
      <c r="K2902" s="166"/>
      <c r="L2902" s="166"/>
      <c r="M2902" s="166"/>
      <c r="N2902" s="166"/>
      <c r="O2902" s="166"/>
      <c r="P2902" s="166"/>
      <c r="Q2902" s="166"/>
      <c r="R2902" s="166"/>
      <c r="S2902" s="166"/>
      <c r="T2902" s="166"/>
      <c r="U2902" s="166"/>
      <c r="V2902" s="166"/>
      <c r="W2902" s="166"/>
      <c r="X2902" s="166"/>
      <c r="Y2902" s="166"/>
      <c r="Z2902" s="166"/>
      <c r="AA2902" s="166"/>
      <c r="AB2902" s="166"/>
      <c r="AC2902" s="166"/>
      <c r="AD2902" s="166"/>
      <c r="AE2902" s="166"/>
      <c r="AF2902" s="166"/>
      <c r="AG2902" s="166"/>
      <c r="AH2902" s="166"/>
      <c r="AI2902" s="166"/>
    </row>
    <row r="2903" spans="7:35" x14ac:dyDescent="0.25">
      <c r="G2903" s="165"/>
      <c r="H2903" s="166"/>
      <c r="I2903" s="167"/>
      <c r="J2903" s="167"/>
      <c r="K2903" s="166"/>
      <c r="L2903" s="166"/>
      <c r="M2903" s="166"/>
      <c r="N2903" s="166"/>
      <c r="O2903" s="166"/>
      <c r="P2903" s="166"/>
      <c r="Q2903" s="166"/>
      <c r="R2903" s="166"/>
      <c r="S2903" s="166"/>
      <c r="T2903" s="166"/>
      <c r="U2903" s="166"/>
      <c r="V2903" s="166"/>
      <c r="W2903" s="166"/>
      <c r="X2903" s="166"/>
      <c r="Y2903" s="166"/>
      <c r="Z2903" s="166"/>
      <c r="AA2903" s="166"/>
      <c r="AB2903" s="166"/>
      <c r="AC2903" s="166"/>
      <c r="AD2903" s="166"/>
      <c r="AE2903" s="166"/>
      <c r="AF2903" s="166"/>
      <c r="AG2903" s="166"/>
      <c r="AH2903" s="166"/>
      <c r="AI2903" s="166"/>
    </row>
    <row r="2904" spans="7:35" x14ac:dyDescent="0.25">
      <c r="G2904" s="165"/>
      <c r="H2904" s="166"/>
      <c r="I2904" s="167"/>
      <c r="J2904" s="167"/>
      <c r="K2904" s="166"/>
      <c r="L2904" s="166"/>
      <c r="M2904" s="166"/>
      <c r="N2904" s="166"/>
      <c r="O2904" s="166"/>
      <c r="P2904" s="166"/>
      <c r="Q2904" s="166"/>
      <c r="R2904" s="166"/>
      <c r="S2904" s="166"/>
      <c r="T2904" s="166"/>
      <c r="U2904" s="166"/>
      <c r="V2904" s="166"/>
      <c r="W2904" s="166"/>
      <c r="X2904" s="166"/>
      <c r="Y2904" s="166"/>
      <c r="Z2904" s="166"/>
      <c r="AA2904" s="166"/>
      <c r="AB2904" s="166"/>
      <c r="AC2904" s="166"/>
      <c r="AD2904" s="166"/>
      <c r="AE2904" s="166"/>
      <c r="AF2904" s="166"/>
      <c r="AG2904" s="166"/>
      <c r="AH2904" s="166"/>
      <c r="AI2904" s="166"/>
    </row>
    <row r="2905" spans="7:35" x14ac:dyDescent="0.25">
      <c r="G2905" s="165"/>
      <c r="H2905" s="166"/>
      <c r="I2905" s="167"/>
      <c r="J2905" s="167"/>
      <c r="K2905" s="166"/>
      <c r="L2905" s="166"/>
      <c r="M2905" s="166"/>
      <c r="N2905" s="166"/>
      <c r="O2905" s="166"/>
      <c r="P2905" s="166"/>
      <c r="Q2905" s="166"/>
      <c r="R2905" s="166"/>
      <c r="S2905" s="166"/>
      <c r="T2905" s="166"/>
      <c r="U2905" s="166"/>
      <c r="V2905" s="166"/>
      <c r="W2905" s="166"/>
      <c r="X2905" s="166"/>
      <c r="Y2905" s="166"/>
      <c r="Z2905" s="166"/>
      <c r="AA2905" s="166"/>
      <c r="AB2905" s="166"/>
      <c r="AC2905" s="166"/>
      <c r="AD2905" s="166"/>
      <c r="AE2905" s="166"/>
      <c r="AF2905" s="166"/>
      <c r="AG2905" s="166"/>
      <c r="AH2905" s="166"/>
      <c r="AI2905" s="166"/>
    </row>
    <row r="2906" spans="7:35" x14ac:dyDescent="0.25">
      <c r="G2906" s="165"/>
      <c r="H2906" s="166"/>
      <c r="I2906" s="167"/>
      <c r="J2906" s="167"/>
      <c r="K2906" s="166"/>
      <c r="L2906" s="166"/>
      <c r="M2906" s="166"/>
      <c r="N2906" s="166"/>
      <c r="O2906" s="166"/>
      <c r="P2906" s="166"/>
      <c r="Q2906" s="166"/>
      <c r="R2906" s="166"/>
      <c r="S2906" s="166"/>
      <c r="T2906" s="166"/>
      <c r="U2906" s="166"/>
      <c r="V2906" s="166"/>
      <c r="W2906" s="166"/>
      <c r="X2906" s="166"/>
      <c r="Y2906" s="166"/>
      <c r="Z2906" s="166"/>
      <c r="AA2906" s="166"/>
      <c r="AB2906" s="166"/>
      <c r="AC2906" s="166"/>
      <c r="AD2906" s="166"/>
      <c r="AE2906" s="166"/>
      <c r="AF2906" s="166"/>
      <c r="AG2906" s="166"/>
      <c r="AH2906" s="166"/>
      <c r="AI2906" s="166"/>
    </row>
    <row r="2907" spans="7:35" x14ac:dyDescent="0.25">
      <c r="G2907" s="165"/>
      <c r="H2907" s="166"/>
      <c r="I2907" s="167"/>
      <c r="J2907" s="167"/>
      <c r="K2907" s="166"/>
      <c r="L2907" s="166"/>
      <c r="M2907" s="166"/>
      <c r="N2907" s="166"/>
      <c r="O2907" s="166"/>
      <c r="P2907" s="166"/>
      <c r="Q2907" s="166"/>
      <c r="R2907" s="166"/>
      <c r="S2907" s="166"/>
      <c r="T2907" s="166"/>
      <c r="U2907" s="166"/>
      <c r="V2907" s="166"/>
      <c r="W2907" s="166"/>
      <c r="X2907" s="166"/>
      <c r="Y2907" s="166"/>
      <c r="Z2907" s="166"/>
      <c r="AA2907" s="166"/>
      <c r="AB2907" s="166"/>
      <c r="AC2907" s="166"/>
      <c r="AD2907" s="166"/>
      <c r="AE2907" s="166"/>
      <c r="AF2907" s="166"/>
      <c r="AG2907" s="166"/>
      <c r="AH2907" s="166"/>
      <c r="AI2907" s="166"/>
    </row>
    <row r="2908" spans="7:35" x14ac:dyDescent="0.25">
      <c r="G2908" s="165"/>
      <c r="H2908" s="166"/>
      <c r="I2908" s="167"/>
      <c r="J2908" s="167"/>
      <c r="K2908" s="166"/>
      <c r="L2908" s="166"/>
      <c r="M2908" s="166"/>
      <c r="N2908" s="166"/>
      <c r="O2908" s="166"/>
      <c r="P2908" s="166"/>
      <c r="Q2908" s="166"/>
      <c r="R2908" s="166"/>
      <c r="S2908" s="166"/>
      <c r="T2908" s="166"/>
      <c r="U2908" s="166"/>
      <c r="V2908" s="166"/>
      <c r="W2908" s="166"/>
      <c r="X2908" s="166"/>
      <c r="Y2908" s="166"/>
      <c r="Z2908" s="166"/>
      <c r="AA2908" s="166"/>
      <c r="AB2908" s="166"/>
      <c r="AC2908" s="166"/>
      <c r="AD2908" s="166"/>
      <c r="AE2908" s="166"/>
      <c r="AF2908" s="166"/>
      <c r="AG2908" s="166"/>
      <c r="AH2908" s="166"/>
      <c r="AI2908" s="166"/>
    </row>
    <row r="2909" spans="7:35" x14ac:dyDescent="0.25">
      <c r="G2909" s="165"/>
      <c r="H2909" s="166"/>
      <c r="I2909" s="167"/>
      <c r="J2909" s="167"/>
      <c r="K2909" s="166"/>
      <c r="L2909" s="166"/>
      <c r="M2909" s="166"/>
      <c r="N2909" s="166"/>
      <c r="O2909" s="166"/>
      <c r="P2909" s="166"/>
      <c r="Q2909" s="166"/>
      <c r="R2909" s="166"/>
      <c r="S2909" s="166"/>
      <c r="T2909" s="166"/>
      <c r="U2909" s="166"/>
      <c r="V2909" s="166"/>
      <c r="W2909" s="166"/>
      <c r="X2909" s="166"/>
      <c r="Y2909" s="166"/>
      <c r="Z2909" s="166"/>
      <c r="AA2909" s="166"/>
      <c r="AB2909" s="166"/>
      <c r="AC2909" s="166"/>
      <c r="AD2909" s="166"/>
      <c r="AE2909" s="166"/>
      <c r="AF2909" s="166"/>
      <c r="AG2909" s="166"/>
      <c r="AH2909" s="166"/>
      <c r="AI2909" s="166"/>
    </row>
    <row r="2910" spans="7:35" x14ac:dyDescent="0.25">
      <c r="G2910" s="165"/>
      <c r="H2910" s="166"/>
      <c r="I2910" s="167"/>
      <c r="J2910" s="167"/>
      <c r="K2910" s="166"/>
      <c r="L2910" s="166"/>
      <c r="M2910" s="166"/>
      <c r="N2910" s="166"/>
      <c r="O2910" s="166"/>
      <c r="P2910" s="166"/>
      <c r="Q2910" s="166"/>
      <c r="R2910" s="166"/>
      <c r="S2910" s="166"/>
      <c r="T2910" s="166"/>
      <c r="U2910" s="166"/>
      <c r="V2910" s="166"/>
      <c r="W2910" s="166"/>
      <c r="X2910" s="166"/>
      <c r="Y2910" s="166"/>
      <c r="Z2910" s="166"/>
      <c r="AA2910" s="166"/>
      <c r="AB2910" s="166"/>
      <c r="AC2910" s="166"/>
      <c r="AD2910" s="166"/>
      <c r="AE2910" s="166"/>
      <c r="AF2910" s="166"/>
      <c r="AG2910" s="166"/>
      <c r="AH2910" s="166"/>
      <c r="AI2910" s="166"/>
    </row>
    <row r="2911" spans="7:35" x14ac:dyDescent="0.25">
      <c r="G2911" s="165"/>
      <c r="H2911" s="166"/>
      <c r="I2911" s="167"/>
      <c r="J2911" s="167"/>
      <c r="K2911" s="166"/>
      <c r="L2911" s="166"/>
      <c r="M2911" s="166"/>
      <c r="N2911" s="166"/>
      <c r="O2911" s="166"/>
      <c r="P2911" s="166"/>
      <c r="Q2911" s="166"/>
      <c r="R2911" s="166"/>
      <c r="S2911" s="166"/>
      <c r="T2911" s="166"/>
      <c r="U2911" s="166"/>
      <c r="V2911" s="166"/>
      <c r="W2911" s="166"/>
      <c r="X2911" s="166"/>
      <c r="Y2911" s="166"/>
      <c r="Z2911" s="166"/>
      <c r="AA2911" s="166"/>
      <c r="AB2911" s="166"/>
      <c r="AC2911" s="166"/>
      <c r="AD2911" s="166"/>
      <c r="AE2911" s="166"/>
      <c r="AF2911" s="166"/>
      <c r="AG2911" s="166"/>
      <c r="AH2911" s="166"/>
      <c r="AI2911" s="166"/>
    </row>
    <row r="2912" spans="7:35" x14ac:dyDescent="0.25">
      <c r="G2912" s="165"/>
      <c r="H2912" s="166"/>
      <c r="I2912" s="167"/>
      <c r="J2912" s="167"/>
      <c r="K2912" s="166"/>
      <c r="L2912" s="166"/>
      <c r="M2912" s="166"/>
      <c r="N2912" s="166"/>
      <c r="O2912" s="166"/>
      <c r="P2912" s="166"/>
      <c r="Q2912" s="166"/>
      <c r="R2912" s="166"/>
      <c r="S2912" s="166"/>
      <c r="T2912" s="166"/>
      <c r="U2912" s="166"/>
      <c r="V2912" s="166"/>
      <c r="W2912" s="166"/>
      <c r="X2912" s="166"/>
      <c r="Y2912" s="166"/>
      <c r="Z2912" s="166"/>
      <c r="AA2912" s="166"/>
      <c r="AB2912" s="166"/>
      <c r="AC2912" s="166"/>
      <c r="AD2912" s="166"/>
      <c r="AE2912" s="166"/>
      <c r="AF2912" s="166"/>
      <c r="AG2912" s="166"/>
      <c r="AH2912" s="166"/>
      <c r="AI2912" s="166"/>
    </row>
    <row r="2913" spans="7:35" x14ac:dyDescent="0.25">
      <c r="G2913" s="165"/>
      <c r="H2913" s="166"/>
      <c r="I2913" s="167"/>
      <c r="J2913" s="167"/>
      <c r="K2913" s="166"/>
      <c r="L2913" s="166"/>
      <c r="M2913" s="166"/>
      <c r="N2913" s="166"/>
      <c r="O2913" s="166"/>
      <c r="P2913" s="166"/>
      <c r="Q2913" s="166"/>
      <c r="R2913" s="166"/>
      <c r="S2913" s="166"/>
      <c r="T2913" s="166"/>
      <c r="U2913" s="166"/>
      <c r="V2913" s="166"/>
      <c r="W2913" s="166"/>
      <c r="X2913" s="166"/>
      <c r="Y2913" s="166"/>
      <c r="Z2913" s="166"/>
      <c r="AA2913" s="166"/>
      <c r="AB2913" s="166"/>
      <c r="AC2913" s="166"/>
      <c r="AD2913" s="166"/>
      <c r="AE2913" s="166"/>
      <c r="AF2913" s="166"/>
      <c r="AG2913" s="166"/>
      <c r="AH2913" s="166"/>
      <c r="AI2913" s="166"/>
    </row>
    <row r="2914" spans="7:35" x14ac:dyDescent="0.25">
      <c r="G2914" s="165"/>
      <c r="H2914" s="166"/>
      <c r="I2914" s="167"/>
      <c r="J2914" s="167"/>
      <c r="K2914" s="166"/>
      <c r="L2914" s="166"/>
      <c r="M2914" s="166"/>
      <c r="N2914" s="166"/>
      <c r="O2914" s="166"/>
      <c r="P2914" s="166"/>
      <c r="Q2914" s="166"/>
      <c r="R2914" s="166"/>
      <c r="S2914" s="166"/>
      <c r="T2914" s="166"/>
      <c r="U2914" s="166"/>
      <c r="V2914" s="166"/>
      <c r="W2914" s="166"/>
      <c r="X2914" s="166"/>
      <c r="Y2914" s="166"/>
      <c r="Z2914" s="166"/>
      <c r="AA2914" s="166"/>
      <c r="AB2914" s="166"/>
      <c r="AC2914" s="166"/>
      <c r="AD2914" s="166"/>
      <c r="AE2914" s="166"/>
      <c r="AF2914" s="166"/>
      <c r="AG2914" s="166"/>
      <c r="AH2914" s="166"/>
      <c r="AI2914" s="166"/>
    </row>
    <row r="2915" spans="7:35" x14ac:dyDescent="0.25">
      <c r="G2915" s="165"/>
      <c r="H2915" s="166"/>
      <c r="I2915" s="167"/>
      <c r="J2915" s="167"/>
      <c r="K2915" s="166"/>
      <c r="L2915" s="166"/>
      <c r="M2915" s="166"/>
      <c r="N2915" s="166"/>
      <c r="O2915" s="166"/>
      <c r="P2915" s="166"/>
      <c r="Q2915" s="166"/>
      <c r="R2915" s="166"/>
      <c r="S2915" s="166"/>
      <c r="T2915" s="166"/>
      <c r="U2915" s="166"/>
      <c r="V2915" s="166"/>
      <c r="W2915" s="166"/>
      <c r="X2915" s="166"/>
      <c r="Y2915" s="166"/>
      <c r="Z2915" s="166"/>
      <c r="AA2915" s="166"/>
      <c r="AB2915" s="166"/>
      <c r="AC2915" s="166"/>
      <c r="AD2915" s="166"/>
      <c r="AE2915" s="166"/>
      <c r="AF2915" s="166"/>
      <c r="AG2915" s="166"/>
      <c r="AH2915" s="166"/>
      <c r="AI2915" s="166"/>
    </row>
    <row r="2916" spans="7:35" x14ac:dyDescent="0.25">
      <c r="G2916" s="165"/>
      <c r="H2916" s="166"/>
      <c r="I2916" s="167"/>
      <c r="J2916" s="167"/>
      <c r="K2916" s="166"/>
      <c r="L2916" s="166"/>
      <c r="M2916" s="166"/>
      <c r="N2916" s="166"/>
      <c r="O2916" s="166"/>
      <c r="P2916" s="166"/>
      <c r="Q2916" s="166"/>
      <c r="R2916" s="166"/>
      <c r="S2916" s="166"/>
      <c r="T2916" s="166"/>
      <c r="U2916" s="166"/>
      <c r="V2916" s="166"/>
      <c r="W2916" s="166"/>
      <c r="X2916" s="166"/>
      <c r="Y2916" s="166"/>
      <c r="Z2916" s="166"/>
      <c r="AA2916" s="166"/>
      <c r="AB2916" s="166"/>
      <c r="AC2916" s="166"/>
      <c r="AD2916" s="166"/>
      <c r="AE2916" s="166"/>
      <c r="AF2916" s="166"/>
      <c r="AG2916" s="166"/>
      <c r="AH2916" s="166"/>
      <c r="AI2916" s="166"/>
    </row>
    <row r="2917" spans="7:35" x14ac:dyDescent="0.25">
      <c r="G2917" s="165"/>
      <c r="H2917" s="166"/>
      <c r="I2917" s="167"/>
      <c r="J2917" s="167"/>
      <c r="K2917" s="166"/>
      <c r="L2917" s="166"/>
      <c r="M2917" s="166"/>
      <c r="N2917" s="166"/>
      <c r="O2917" s="166"/>
      <c r="P2917" s="166"/>
      <c r="Q2917" s="166"/>
      <c r="R2917" s="166"/>
      <c r="S2917" s="166"/>
      <c r="T2917" s="166"/>
      <c r="U2917" s="166"/>
      <c r="V2917" s="166"/>
      <c r="W2917" s="166"/>
      <c r="X2917" s="166"/>
      <c r="Y2917" s="166"/>
      <c r="Z2917" s="166"/>
      <c r="AA2917" s="166"/>
      <c r="AB2917" s="166"/>
      <c r="AC2917" s="166"/>
      <c r="AD2917" s="166"/>
      <c r="AE2917" s="166"/>
      <c r="AF2917" s="166"/>
      <c r="AG2917" s="166"/>
      <c r="AH2917" s="166"/>
      <c r="AI2917" s="166"/>
    </row>
    <row r="2918" spans="7:35" x14ac:dyDescent="0.25">
      <c r="G2918" s="165"/>
      <c r="H2918" s="166"/>
      <c r="I2918" s="167"/>
      <c r="J2918" s="167"/>
      <c r="K2918" s="166"/>
      <c r="L2918" s="166"/>
      <c r="M2918" s="166"/>
      <c r="N2918" s="166"/>
      <c r="O2918" s="166"/>
      <c r="P2918" s="166"/>
      <c r="Q2918" s="166"/>
      <c r="R2918" s="166"/>
      <c r="S2918" s="166"/>
      <c r="T2918" s="166"/>
      <c r="U2918" s="166"/>
      <c r="V2918" s="166"/>
      <c r="W2918" s="166"/>
      <c r="X2918" s="166"/>
      <c r="Y2918" s="166"/>
      <c r="Z2918" s="166"/>
      <c r="AA2918" s="166"/>
      <c r="AB2918" s="166"/>
      <c r="AC2918" s="166"/>
      <c r="AD2918" s="166"/>
      <c r="AE2918" s="166"/>
      <c r="AF2918" s="166"/>
      <c r="AG2918" s="166"/>
      <c r="AH2918" s="166"/>
      <c r="AI2918" s="166"/>
    </row>
    <row r="2919" spans="7:35" x14ac:dyDescent="0.25">
      <c r="G2919" s="165"/>
      <c r="H2919" s="166"/>
      <c r="I2919" s="167"/>
      <c r="J2919" s="167"/>
      <c r="K2919" s="166"/>
      <c r="L2919" s="166"/>
      <c r="M2919" s="166"/>
      <c r="N2919" s="166"/>
      <c r="O2919" s="166"/>
      <c r="P2919" s="166"/>
      <c r="Q2919" s="166"/>
      <c r="R2919" s="166"/>
      <c r="S2919" s="166"/>
      <c r="T2919" s="166"/>
      <c r="U2919" s="166"/>
      <c r="V2919" s="166"/>
      <c r="W2919" s="166"/>
      <c r="X2919" s="166"/>
      <c r="Y2919" s="166"/>
      <c r="Z2919" s="166"/>
      <c r="AA2919" s="166"/>
      <c r="AB2919" s="166"/>
      <c r="AC2919" s="166"/>
      <c r="AD2919" s="166"/>
      <c r="AE2919" s="166"/>
      <c r="AF2919" s="166"/>
      <c r="AG2919" s="166"/>
      <c r="AH2919" s="166"/>
      <c r="AI2919" s="166"/>
    </row>
    <row r="2920" spans="7:35" x14ac:dyDescent="0.25">
      <c r="G2920" s="165"/>
      <c r="H2920" s="166"/>
      <c r="I2920" s="167"/>
      <c r="J2920" s="167"/>
      <c r="K2920" s="166"/>
      <c r="L2920" s="166"/>
      <c r="M2920" s="166"/>
      <c r="N2920" s="166"/>
      <c r="O2920" s="166"/>
      <c r="P2920" s="166"/>
      <c r="Q2920" s="166"/>
      <c r="R2920" s="166"/>
      <c r="S2920" s="166"/>
      <c r="T2920" s="166"/>
      <c r="U2920" s="166"/>
      <c r="V2920" s="166"/>
      <c r="W2920" s="166"/>
      <c r="X2920" s="166"/>
      <c r="Y2920" s="166"/>
      <c r="Z2920" s="166"/>
      <c r="AA2920" s="166"/>
      <c r="AB2920" s="166"/>
      <c r="AC2920" s="166"/>
      <c r="AD2920" s="166"/>
      <c r="AE2920" s="166"/>
      <c r="AF2920" s="166"/>
      <c r="AG2920" s="166"/>
      <c r="AH2920" s="166"/>
      <c r="AI2920" s="166"/>
    </row>
    <row r="2921" spans="7:35" x14ac:dyDescent="0.25">
      <c r="G2921" s="165"/>
      <c r="H2921" s="166"/>
      <c r="I2921" s="167"/>
      <c r="J2921" s="167"/>
      <c r="K2921" s="166"/>
      <c r="L2921" s="166"/>
      <c r="M2921" s="166"/>
      <c r="N2921" s="166"/>
      <c r="O2921" s="166"/>
      <c r="P2921" s="166"/>
      <c r="Q2921" s="166"/>
      <c r="R2921" s="166"/>
      <c r="S2921" s="166"/>
      <c r="T2921" s="166"/>
      <c r="U2921" s="166"/>
      <c r="V2921" s="166"/>
      <c r="W2921" s="166"/>
      <c r="X2921" s="166"/>
      <c r="Y2921" s="166"/>
      <c r="Z2921" s="166"/>
      <c r="AA2921" s="166"/>
      <c r="AB2921" s="166"/>
      <c r="AC2921" s="166"/>
      <c r="AD2921" s="166"/>
      <c r="AE2921" s="166"/>
      <c r="AF2921" s="166"/>
      <c r="AG2921" s="166"/>
      <c r="AH2921" s="166"/>
      <c r="AI2921" s="166"/>
    </row>
    <row r="2922" spans="7:35" x14ac:dyDescent="0.25">
      <c r="G2922" s="165"/>
      <c r="H2922" s="166"/>
      <c r="I2922" s="167"/>
      <c r="J2922" s="167"/>
      <c r="K2922" s="166"/>
      <c r="L2922" s="166"/>
      <c r="M2922" s="166"/>
      <c r="N2922" s="166"/>
      <c r="O2922" s="166"/>
      <c r="P2922" s="166"/>
      <c r="Q2922" s="166"/>
      <c r="R2922" s="166"/>
      <c r="S2922" s="166"/>
      <c r="T2922" s="166"/>
      <c r="U2922" s="166"/>
      <c r="V2922" s="166"/>
      <c r="W2922" s="166"/>
      <c r="X2922" s="166"/>
      <c r="Y2922" s="166"/>
      <c r="Z2922" s="166"/>
      <c r="AA2922" s="166"/>
      <c r="AB2922" s="166"/>
      <c r="AC2922" s="166"/>
      <c r="AD2922" s="166"/>
      <c r="AE2922" s="166"/>
      <c r="AF2922" s="166"/>
      <c r="AG2922" s="166"/>
      <c r="AH2922" s="166"/>
      <c r="AI2922" s="166"/>
    </row>
    <row r="2923" spans="7:35" x14ac:dyDescent="0.25">
      <c r="G2923" s="165"/>
      <c r="H2923" s="166"/>
      <c r="I2923" s="167"/>
      <c r="J2923" s="167"/>
      <c r="K2923" s="166"/>
      <c r="L2923" s="166"/>
      <c r="M2923" s="166"/>
      <c r="N2923" s="166"/>
      <c r="O2923" s="166"/>
      <c r="P2923" s="166"/>
      <c r="Q2923" s="166"/>
      <c r="R2923" s="166"/>
      <c r="S2923" s="166"/>
      <c r="T2923" s="166"/>
      <c r="U2923" s="166"/>
      <c r="V2923" s="166"/>
      <c r="W2923" s="166"/>
      <c r="X2923" s="166"/>
      <c r="Y2923" s="166"/>
      <c r="Z2923" s="166"/>
      <c r="AA2923" s="166"/>
      <c r="AB2923" s="166"/>
      <c r="AC2923" s="166"/>
      <c r="AD2923" s="166"/>
      <c r="AE2923" s="166"/>
      <c r="AF2923" s="166"/>
      <c r="AG2923" s="166"/>
      <c r="AH2923" s="166"/>
      <c r="AI2923" s="166"/>
    </row>
    <row r="2924" spans="7:35" x14ac:dyDescent="0.25">
      <c r="G2924" s="165"/>
      <c r="H2924" s="166"/>
      <c r="I2924" s="167"/>
      <c r="J2924" s="167"/>
      <c r="K2924" s="166"/>
      <c r="L2924" s="166"/>
      <c r="M2924" s="166"/>
      <c r="N2924" s="166"/>
      <c r="O2924" s="166"/>
      <c r="P2924" s="166"/>
      <c r="Q2924" s="166"/>
      <c r="R2924" s="166"/>
      <c r="S2924" s="166"/>
      <c r="T2924" s="166"/>
      <c r="U2924" s="166"/>
      <c r="V2924" s="166"/>
      <c r="W2924" s="166"/>
      <c r="X2924" s="166"/>
      <c r="Y2924" s="166"/>
      <c r="Z2924" s="166"/>
      <c r="AA2924" s="166"/>
      <c r="AB2924" s="166"/>
      <c r="AC2924" s="166"/>
      <c r="AD2924" s="166"/>
      <c r="AE2924" s="166"/>
      <c r="AF2924" s="166"/>
      <c r="AG2924" s="166"/>
      <c r="AH2924" s="166"/>
      <c r="AI2924" s="166"/>
    </row>
    <row r="2925" spans="7:35" x14ac:dyDescent="0.25">
      <c r="G2925" s="165"/>
      <c r="H2925" s="166"/>
      <c r="I2925" s="167"/>
      <c r="J2925" s="167"/>
      <c r="K2925" s="166"/>
      <c r="L2925" s="166"/>
      <c r="M2925" s="166"/>
      <c r="N2925" s="166"/>
      <c r="O2925" s="166"/>
      <c r="P2925" s="166"/>
      <c r="Q2925" s="166"/>
      <c r="R2925" s="166"/>
      <c r="S2925" s="166"/>
      <c r="T2925" s="166"/>
      <c r="U2925" s="166"/>
      <c r="V2925" s="166"/>
      <c r="W2925" s="166"/>
      <c r="X2925" s="166"/>
      <c r="Y2925" s="166"/>
      <c r="Z2925" s="166"/>
      <c r="AA2925" s="166"/>
      <c r="AB2925" s="166"/>
      <c r="AC2925" s="166"/>
      <c r="AD2925" s="166"/>
      <c r="AE2925" s="166"/>
      <c r="AF2925" s="166"/>
      <c r="AG2925" s="166"/>
      <c r="AH2925" s="166"/>
      <c r="AI2925" s="166"/>
    </row>
    <row r="2926" spans="7:35" x14ac:dyDescent="0.25">
      <c r="G2926" s="165"/>
      <c r="H2926" s="166"/>
      <c r="I2926" s="167"/>
      <c r="J2926" s="167"/>
      <c r="K2926" s="166"/>
      <c r="L2926" s="166"/>
      <c r="M2926" s="166"/>
      <c r="N2926" s="166"/>
      <c r="O2926" s="166"/>
      <c r="P2926" s="166"/>
      <c r="Q2926" s="166"/>
      <c r="R2926" s="166"/>
      <c r="S2926" s="166"/>
      <c r="T2926" s="166"/>
      <c r="U2926" s="166"/>
      <c r="V2926" s="166"/>
      <c r="W2926" s="166"/>
      <c r="X2926" s="166"/>
      <c r="Y2926" s="166"/>
      <c r="Z2926" s="166"/>
      <c r="AA2926" s="166"/>
      <c r="AB2926" s="166"/>
      <c r="AC2926" s="166"/>
      <c r="AD2926" s="166"/>
      <c r="AE2926" s="166"/>
      <c r="AF2926" s="166"/>
      <c r="AG2926" s="166"/>
      <c r="AH2926" s="166"/>
      <c r="AI2926" s="166"/>
    </row>
    <row r="2927" spans="7:35" x14ac:dyDescent="0.25">
      <c r="G2927" s="165"/>
      <c r="H2927" s="166"/>
      <c r="I2927" s="167"/>
      <c r="J2927" s="167"/>
      <c r="K2927" s="166"/>
      <c r="L2927" s="166"/>
      <c r="M2927" s="166"/>
      <c r="N2927" s="166"/>
      <c r="O2927" s="166"/>
      <c r="P2927" s="166"/>
      <c r="Q2927" s="166"/>
      <c r="R2927" s="166"/>
      <c r="S2927" s="166"/>
      <c r="T2927" s="166"/>
      <c r="U2927" s="166"/>
      <c r="V2927" s="166"/>
      <c r="W2927" s="166"/>
      <c r="X2927" s="166"/>
      <c r="Y2927" s="166"/>
      <c r="Z2927" s="166"/>
      <c r="AA2927" s="166"/>
      <c r="AB2927" s="166"/>
      <c r="AC2927" s="166"/>
      <c r="AD2927" s="166"/>
      <c r="AE2927" s="166"/>
      <c r="AF2927" s="166"/>
      <c r="AG2927" s="166"/>
      <c r="AH2927" s="166"/>
      <c r="AI2927" s="166"/>
    </row>
    <row r="2928" spans="7:35" x14ac:dyDescent="0.25">
      <c r="G2928" s="165"/>
      <c r="H2928" s="166"/>
      <c r="I2928" s="167"/>
      <c r="J2928" s="167"/>
      <c r="K2928" s="166"/>
      <c r="L2928" s="166"/>
      <c r="M2928" s="166"/>
      <c r="N2928" s="166"/>
      <c r="O2928" s="166"/>
      <c r="P2928" s="166"/>
      <c r="Q2928" s="166"/>
      <c r="R2928" s="166"/>
      <c r="S2928" s="166"/>
      <c r="T2928" s="166"/>
      <c r="U2928" s="166"/>
      <c r="V2928" s="166"/>
      <c r="W2928" s="166"/>
      <c r="X2928" s="166"/>
      <c r="Y2928" s="166"/>
      <c r="Z2928" s="166"/>
      <c r="AA2928" s="166"/>
      <c r="AB2928" s="166"/>
      <c r="AC2928" s="166"/>
      <c r="AD2928" s="166"/>
      <c r="AE2928" s="166"/>
      <c r="AF2928" s="166"/>
      <c r="AG2928" s="166"/>
      <c r="AH2928" s="166"/>
      <c r="AI2928" s="166"/>
    </row>
    <row r="2929" spans="7:35" x14ac:dyDescent="0.25">
      <c r="G2929" s="165"/>
      <c r="H2929" s="166"/>
      <c r="I2929" s="167"/>
      <c r="J2929" s="167"/>
      <c r="K2929" s="166"/>
      <c r="L2929" s="166"/>
      <c r="M2929" s="166"/>
      <c r="N2929" s="166"/>
      <c r="O2929" s="166"/>
      <c r="P2929" s="166"/>
      <c r="Q2929" s="166"/>
      <c r="R2929" s="166"/>
      <c r="S2929" s="166"/>
      <c r="T2929" s="166"/>
      <c r="U2929" s="166"/>
      <c r="V2929" s="166"/>
      <c r="W2929" s="166"/>
      <c r="X2929" s="166"/>
      <c r="Y2929" s="166"/>
      <c r="Z2929" s="166"/>
      <c r="AA2929" s="166"/>
      <c r="AB2929" s="166"/>
      <c r="AC2929" s="166"/>
      <c r="AD2929" s="166"/>
      <c r="AE2929" s="166"/>
      <c r="AF2929" s="166"/>
      <c r="AG2929" s="166"/>
      <c r="AH2929" s="166"/>
      <c r="AI2929" s="166"/>
    </row>
    <row r="2930" spans="7:35" x14ac:dyDescent="0.25">
      <c r="G2930" s="165"/>
      <c r="H2930" s="166"/>
      <c r="I2930" s="167"/>
      <c r="J2930" s="167"/>
      <c r="K2930" s="166"/>
      <c r="L2930" s="166"/>
      <c r="M2930" s="166"/>
      <c r="N2930" s="166"/>
      <c r="O2930" s="166"/>
      <c r="P2930" s="166"/>
      <c r="Q2930" s="166"/>
      <c r="R2930" s="166"/>
      <c r="S2930" s="166"/>
      <c r="T2930" s="166"/>
      <c r="U2930" s="166"/>
      <c r="V2930" s="166"/>
      <c r="W2930" s="166"/>
      <c r="X2930" s="166"/>
      <c r="Y2930" s="166"/>
      <c r="Z2930" s="166"/>
      <c r="AA2930" s="166"/>
      <c r="AB2930" s="166"/>
      <c r="AC2930" s="166"/>
      <c r="AD2930" s="166"/>
      <c r="AE2930" s="166"/>
      <c r="AF2930" s="166"/>
      <c r="AG2930" s="166"/>
      <c r="AH2930" s="166"/>
      <c r="AI2930" s="166"/>
    </row>
    <row r="2931" spans="7:35" x14ac:dyDescent="0.25">
      <c r="G2931" s="165"/>
      <c r="H2931" s="166"/>
      <c r="I2931" s="167"/>
      <c r="J2931" s="167"/>
      <c r="K2931" s="166"/>
      <c r="L2931" s="166"/>
      <c r="M2931" s="166"/>
      <c r="N2931" s="166"/>
      <c r="O2931" s="166"/>
      <c r="P2931" s="166"/>
      <c r="Q2931" s="166"/>
      <c r="R2931" s="166"/>
      <c r="S2931" s="166"/>
      <c r="T2931" s="166"/>
      <c r="U2931" s="166"/>
      <c r="V2931" s="166"/>
      <c r="W2931" s="166"/>
      <c r="X2931" s="166"/>
      <c r="Y2931" s="166"/>
      <c r="Z2931" s="166"/>
      <c r="AA2931" s="166"/>
      <c r="AB2931" s="166"/>
      <c r="AC2931" s="166"/>
      <c r="AD2931" s="166"/>
      <c r="AE2931" s="166"/>
      <c r="AF2931" s="166"/>
      <c r="AG2931" s="166"/>
      <c r="AH2931" s="166"/>
      <c r="AI2931" s="166"/>
    </row>
    <row r="2932" spans="7:35" x14ac:dyDescent="0.25">
      <c r="G2932" s="165"/>
      <c r="H2932" s="166"/>
      <c r="I2932" s="167"/>
      <c r="J2932" s="167"/>
      <c r="K2932" s="166"/>
      <c r="L2932" s="166"/>
      <c r="M2932" s="166"/>
      <c r="N2932" s="166"/>
      <c r="O2932" s="166"/>
      <c r="P2932" s="166"/>
      <c r="Q2932" s="166"/>
      <c r="R2932" s="166"/>
      <c r="S2932" s="166"/>
      <c r="T2932" s="166"/>
      <c r="U2932" s="166"/>
      <c r="V2932" s="166"/>
      <c r="W2932" s="166"/>
      <c r="X2932" s="166"/>
      <c r="Y2932" s="166"/>
      <c r="Z2932" s="166"/>
      <c r="AA2932" s="166"/>
      <c r="AB2932" s="166"/>
      <c r="AC2932" s="166"/>
      <c r="AD2932" s="166"/>
      <c r="AE2932" s="166"/>
      <c r="AF2932" s="166"/>
      <c r="AG2932" s="166"/>
      <c r="AH2932" s="166"/>
      <c r="AI2932" s="166"/>
    </row>
    <row r="2933" spans="7:35" x14ac:dyDescent="0.25">
      <c r="G2933" s="165"/>
      <c r="H2933" s="166"/>
      <c r="I2933" s="167"/>
      <c r="J2933" s="167"/>
      <c r="K2933" s="166"/>
      <c r="L2933" s="166"/>
      <c r="M2933" s="166"/>
      <c r="N2933" s="166"/>
      <c r="O2933" s="166"/>
      <c r="P2933" s="166"/>
      <c r="Q2933" s="166"/>
      <c r="R2933" s="166"/>
      <c r="S2933" s="166"/>
      <c r="T2933" s="166"/>
      <c r="U2933" s="166"/>
      <c r="V2933" s="166"/>
      <c r="W2933" s="166"/>
      <c r="X2933" s="166"/>
      <c r="Y2933" s="166"/>
      <c r="Z2933" s="166"/>
      <c r="AA2933" s="166"/>
      <c r="AB2933" s="166"/>
      <c r="AC2933" s="166"/>
      <c r="AD2933" s="166"/>
      <c r="AE2933" s="166"/>
      <c r="AF2933" s="166"/>
      <c r="AG2933" s="166"/>
      <c r="AH2933" s="166"/>
      <c r="AI2933" s="166"/>
    </row>
    <row r="2934" spans="7:35" x14ac:dyDescent="0.25">
      <c r="G2934" s="165"/>
      <c r="H2934" s="166"/>
      <c r="I2934" s="167"/>
      <c r="J2934" s="167"/>
      <c r="K2934" s="166"/>
      <c r="L2934" s="166"/>
      <c r="M2934" s="166"/>
      <c r="N2934" s="166"/>
      <c r="O2934" s="166"/>
      <c r="P2934" s="166"/>
      <c r="Q2934" s="166"/>
      <c r="R2934" s="166"/>
      <c r="S2934" s="166"/>
      <c r="T2934" s="166"/>
      <c r="U2934" s="166"/>
      <c r="V2934" s="166"/>
      <c r="W2934" s="166"/>
      <c r="X2934" s="166"/>
      <c r="Y2934" s="166"/>
      <c r="Z2934" s="166"/>
      <c r="AA2934" s="166"/>
      <c r="AB2934" s="166"/>
      <c r="AC2934" s="166"/>
      <c r="AD2934" s="166"/>
      <c r="AE2934" s="166"/>
      <c r="AF2934" s="166"/>
      <c r="AG2934" s="166"/>
      <c r="AH2934" s="166"/>
      <c r="AI2934" s="166"/>
    </row>
    <row r="2935" spans="7:35" x14ac:dyDescent="0.25">
      <c r="G2935" s="165"/>
      <c r="H2935" s="166"/>
      <c r="I2935" s="167"/>
      <c r="J2935" s="167"/>
      <c r="K2935" s="166"/>
      <c r="L2935" s="166"/>
      <c r="M2935" s="166"/>
      <c r="N2935" s="166"/>
      <c r="O2935" s="166"/>
      <c r="P2935" s="166"/>
      <c r="Q2935" s="166"/>
      <c r="R2935" s="166"/>
      <c r="S2935" s="166"/>
      <c r="T2935" s="166"/>
      <c r="U2935" s="166"/>
      <c r="V2935" s="166"/>
      <c r="W2935" s="166"/>
      <c r="X2935" s="166"/>
      <c r="Y2935" s="166"/>
      <c r="Z2935" s="166"/>
      <c r="AA2935" s="166"/>
      <c r="AB2935" s="166"/>
      <c r="AC2935" s="166"/>
      <c r="AD2935" s="166"/>
      <c r="AE2935" s="166"/>
      <c r="AF2935" s="166"/>
      <c r="AG2935" s="166"/>
      <c r="AH2935" s="166"/>
      <c r="AI2935" s="166"/>
    </row>
    <row r="2936" spans="7:35" x14ac:dyDescent="0.25">
      <c r="G2936" s="165"/>
      <c r="H2936" s="166"/>
      <c r="I2936" s="167"/>
      <c r="J2936" s="167"/>
      <c r="K2936" s="166"/>
      <c r="L2936" s="166"/>
      <c r="M2936" s="166"/>
      <c r="N2936" s="166"/>
      <c r="O2936" s="166"/>
      <c r="P2936" s="166"/>
      <c r="Q2936" s="166"/>
      <c r="R2936" s="166"/>
      <c r="S2936" s="166"/>
      <c r="T2936" s="166"/>
      <c r="U2936" s="166"/>
      <c r="V2936" s="166"/>
      <c r="W2936" s="166"/>
      <c r="X2936" s="166"/>
      <c r="Y2936" s="166"/>
      <c r="Z2936" s="166"/>
      <c r="AA2936" s="166"/>
      <c r="AB2936" s="166"/>
      <c r="AC2936" s="166"/>
      <c r="AD2936" s="166"/>
      <c r="AE2936" s="166"/>
      <c r="AF2936" s="166"/>
      <c r="AG2936" s="166"/>
      <c r="AH2936" s="166"/>
      <c r="AI2936" s="166"/>
    </row>
    <row r="2937" spans="7:35" x14ac:dyDescent="0.25">
      <c r="G2937" s="165"/>
      <c r="H2937" s="166"/>
      <c r="I2937" s="167"/>
      <c r="J2937" s="167"/>
      <c r="K2937" s="166"/>
      <c r="L2937" s="166"/>
      <c r="M2937" s="166"/>
      <c r="N2937" s="166"/>
      <c r="O2937" s="166"/>
      <c r="P2937" s="166"/>
      <c r="Q2937" s="166"/>
      <c r="R2937" s="166"/>
      <c r="S2937" s="166"/>
      <c r="T2937" s="166"/>
      <c r="U2937" s="166"/>
      <c r="V2937" s="166"/>
      <c r="W2937" s="166"/>
      <c r="X2937" s="166"/>
      <c r="Y2937" s="166"/>
      <c r="Z2937" s="166"/>
      <c r="AA2937" s="166"/>
      <c r="AB2937" s="166"/>
      <c r="AC2937" s="166"/>
      <c r="AD2937" s="166"/>
      <c r="AE2937" s="166"/>
      <c r="AF2937" s="166"/>
      <c r="AG2937" s="166"/>
      <c r="AH2937" s="166"/>
      <c r="AI2937" s="166"/>
    </row>
    <row r="2938" spans="7:35" x14ac:dyDescent="0.25">
      <c r="G2938" s="165"/>
      <c r="H2938" s="166"/>
      <c r="I2938" s="167"/>
      <c r="J2938" s="167"/>
      <c r="K2938" s="166"/>
      <c r="L2938" s="166"/>
      <c r="M2938" s="166"/>
      <c r="N2938" s="166"/>
      <c r="O2938" s="166"/>
      <c r="P2938" s="166"/>
      <c r="Q2938" s="166"/>
      <c r="R2938" s="166"/>
      <c r="S2938" s="166"/>
      <c r="T2938" s="166"/>
      <c r="U2938" s="166"/>
      <c r="V2938" s="166"/>
      <c r="W2938" s="166"/>
      <c r="X2938" s="166"/>
      <c r="Y2938" s="166"/>
      <c r="Z2938" s="166"/>
      <c r="AA2938" s="166"/>
      <c r="AB2938" s="166"/>
      <c r="AC2938" s="166"/>
      <c r="AD2938" s="166"/>
      <c r="AE2938" s="166"/>
      <c r="AF2938" s="166"/>
      <c r="AG2938" s="166"/>
      <c r="AH2938" s="166"/>
      <c r="AI2938" s="166"/>
    </row>
    <row r="2939" spans="7:35" x14ac:dyDescent="0.25">
      <c r="G2939" s="165"/>
      <c r="H2939" s="166"/>
      <c r="I2939" s="167"/>
      <c r="J2939" s="167"/>
      <c r="K2939" s="166"/>
      <c r="L2939" s="166"/>
      <c r="M2939" s="166"/>
      <c r="N2939" s="166"/>
      <c r="O2939" s="166"/>
      <c r="P2939" s="166"/>
      <c r="Q2939" s="166"/>
      <c r="R2939" s="166"/>
      <c r="S2939" s="166"/>
      <c r="T2939" s="166"/>
      <c r="U2939" s="166"/>
      <c r="V2939" s="166"/>
      <c r="W2939" s="166"/>
      <c r="X2939" s="166"/>
      <c r="Y2939" s="166"/>
      <c r="Z2939" s="166"/>
      <c r="AA2939" s="166"/>
      <c r="AB2939" s="166"/>
      <c r="AC2939" s="166"/>
      <c r="AD2939" s="166"/>
      <c r="AE2939" s="166"/>
      <c r="AF2939" s="166"/>
      <c r="AG2939" s="166"/>
      <c r="AH2939" s="166"/>
      <c r="AI2939" s="166"/>
    </row>
    <row r="2940" spans="7:35" x14ac:dyDescent="0.25">
      <c r="G2940" s="165"/>
      <c r="H2940" s="166"/>
      <c r="I2940" s="167"/>
      <c r="J2940" s="167"/>
      <c r="K2940" s="166"/>
      <c r="L2940" s="166"/>
      <c r="M2940" s="166"/>
      <c r="N2940" s="166"/>
      <c r="O2940" s="166"/>
      <c r="P2940" s="166"/>
      <c r="Q2940" s="166"/>
      <c r="R2940" s="166"/>
      <c r="S2940" s="166"/>
      <c r="T2940" s="166"/>
      <c r="U2940" s="166"/>
      <c r="V2940" s="166"/>
      <c r="W2940" s="166"/>
      <c r="X2940" s="166"/>
      <c r="Y2940" s="166"/>
      <c r="Z2940" s="166"/>
      <c r="AA2940" s="166"/>
      <c r="AB2940" s="166"/>
      <c r="AC2940" s="166"/>
      <c r="AD2940" s="166"/>
      <c r="AE2940" s="166"/>
      <c r="AF2940" s="166"/>
      <c r="AG2940" s="166"/>
      <c r="AH2940" s="166"/>
      <c r="AI2940" s="166"/>
    </row>
    <row r="2941" spans="7:35" x14ac:dyDescent="0.25">
      <c r="G2941" s="165"/>
      <c r="H2941" s="166"/>
      <c r="I2941" s="167"/>
      <c r="J2941" s="167"/>
      <c r="K2941" s="166"/>
      <c r="L2941" s="166"/>
      <c r="M2941" s="166"/>
      <c r="N2941" s="166"/>
      <c r="O2941" s="166"/>
      <c r="P2941" s="166"/>
      <c r="Q2941" s="166"/>
      <c r="R2941" s="166"/>
      <c r="S2941" s="166"/>
      <c r="T2941" s="166"/>
      <c r="U2941" s="166"/>
      <c r="V2941" s="166"/>
      <c r="W2941" s="166"/>
      <c r="X2941" s="166"/>
      <c r="Y2941" s="166"/>
      <c r="Z2941" s="166"/>
      <c r="AA2941" s="166"/>
      <c r="AB2941" s="166"/>
      <c r="AC2941" s="166"/>
      <c r="AD2941" s="166"/>
      <c r="AE2941" s="166"/>
      <c r="AF2941" s="166"/>
      <c r="AG2941" s="166"/>
      <c r="AH2941" s="166"/>
      <c r="AI2941" s="166"/>
    </row>
    <row r="2942" spans="7:35" x14ac:dyDescent="0.25">
      <c r="G2942" s="165"/>
      <c r="H2942" s="166"/>
      <c r="I2942" s="167"/>
      <c r="J2942" s="167"/>
      <c r="K2942" s="166"/>
      <c r="L2942" s="166"/>
      <c r="M2942" s="166"/>
      <c r="N2942" s="166"/>
      <c r="O2942" s="166"/>
      <c r="P2942" s="166"/>
      <c r="Q2942" s="166"/>
      <c r="R2942" s="166"/>
      <c r="S2942" s="166"/>
      <c r="T2942" s="166"/>
      <c r="U2942" s="166"/>
      <c r="V2942" s="166"/>
      <c r="W2942" s="166"/>
      <c r="X2942" s="166"/>
      <c r="Y2942" s="166"/>
      <c r="Z2942" s="166"/>
      <c r="AA2942" s="166"/>
      <c r="AB2942" s="166"/>
      <c r="AC2942" s="166"/>
      <c r="AD2942" s="166"/>
      <c r="AE2942" s="166"/>
      <c r="AF2942" s="166"/>
      <c r="AG2942" s="166"/>
      <c r="AH2942" s="166"/>
      <c r="AI2942" s="166"/>
    </row>
    <row r="2943" spans="7:35" x14ac:dyDescent="0.25">
      <c r="G2943" s="165"/>
      <c r="H2943" s="166"/>
      <c r="I2943" s="167"/>
      <c r="J2943" s="167"/>
      <c r="K2943" s="166"/>
      <c r="L2943" s="166"/>
      <c r="M2943" s="166"/>
      <c r="N2943" s="166"/>
      <c r="O2943" s="166"/>
      <c r="P2943" s="166"/>
      <c r="Q2943" s="166"/>
      <c r="R2943" s="166"/>
      <c r="S2943" s="166"/>
      <c r="T2943" s="166"/>
      <c r="U2943" s="166"/>
      <c r="V2943" s="166"/>
      <c r="W2943" s="166"/>
      <c r="X2943" s="166"/>
      <c r="Y2943" s="166"/>
      <c r="Z2943" s="166"/>
      <c r="AA2943" s="166"/>
      <c r="AB2943" s="166"/>
      <c r="AC2943" s="166"/>
      <c r="AD2943" s="166"/>
      <c r="AE2943" s="166"/>
      <c r="AF2943" s="166"/>
      <c r="AG2943" s="166"/>
      <c r="AH2943" s="166"/>
      <c r="AI2943" s="166"/>
    </row>
    <row r="2944" spans="7:35" x14ac:dyDescent="0.25">
      <c r="G2944" s="165"/>
      <c r="H2944" s="166"/>
      <c r="I2944" s="167"/>
      <c r="J2944" s="167"/>
      <c r="K2944" s="166"/>
      <c r="L2944" s="166"/>
      <c r="M2944" s="166"/>
      <c r="N2944" s="166"/>
      <c r="O2944" s="166"/>
      <c r="P2944" s="166"/>
      <c r="Q2944" s="166"/>
      <c r="R2944" s="166"/>
      <c r="S2944" s="166"/>
      <c r="T2944" s="166"/>
      <c r="U2944" s="166"/>
      <c r="V2944" s="166"/>
      <c r="W2944" s="166"/>
      <c r="X2944" s="166"/>
      <c r="Y2944" s="166"/>
      <c r="Z2944" s="166"/>
      <c r="AA2944" s="166"/>
      <c r="AB2944" s="166"/>
      <c r="AC2944" s="166"/>
      <c r="AD2944" s="166"/>
      <c r="AE2944" s="166"/>
      <c r="AF2944" s="166"/>
      <c r="AG2944" s="166"/>
      <c r="AH2944" s="166"/>
      <c r="AI2944" s="166"/>
    </row>
    <row r="2945" spans="7:35" x14ac:dyDescent="0.25">
      <c r="G2945" s="165"/>
      <c r="H2945" s="166"/>
      <c r="I2945" s="167"/>
      <c r="J2945" s="167"/>
      <c r="K2945" s="166"/>
      <c r="L2945" s="166"/>
      <c r="M2945" s="166"/>
      <c r="N2945" s="166"/>
      <c r="O2945" s="166"/>
      <c r="P2945" s="166"/>
      <c r="Q2945" s="166"/>
      <c r="R2945" s="166"/>
      <c r="S2945" s="166"/>
      <c r="T2945" s="166"/>
      <c r="U2945" s="166"/>
      <c r="V2945" s="166"/>
      <c r="W2945" s="166"/>
      <c r="X2945" s="166"/>
      <c r="Y2945" s="166"/>
      <c r="Z2945" s="166"/>
      <c r="AA2945" s="166"/>
      <c r="AB2945" s="166"/>
      <c r="AC2945" s="166"/>
      <c r="AD2945" s="166"/>
      <c r="AE2945" s="166"/>
      <c r="AF2945" s="166"/>
      <c r="AG2945" s="166"/>
      <c r="AH2945" s="166"/>
      <c r="AI2945" s="166"/>
    </row>
    <row r="2946" spans="7:35" x14ac:dyDescent="0.25">
      <c r="G2946" s="165"/>
      <c r="H2946" s="166"/>
      <c r="I2946" s="167"/>
      <c r="J2946" s="167"/>
      <c r="K2946" s="166"/>
      <c r="L2946" s="166"/>
      <c r="M2946" s="166"/>
      <c r="N2946" s="166"/>
      <c r="O2946" s="166"/>
      <c r="P2946" s="166"/>
      <c r="Q2946" s="166"/>
      <c r="R2946" s="166"/>
      <c r="S2946" s="166"/>
      <c r="T2946" s="166"/>
      <c r="U2946" s="166"/>
      <c r="V2946" s="166"/>
      <c r="W2946" s="166"/>
      <c r="X2946" s="166"/>
      <c r="Y2946" s="166"/>
      <c r="Z2946" s="166"/>
      <c r="AA2946" s="166"/>
      <c r="AB2946" s="166"/>
      <c r="AC2946" s="166"/>
      <c r="AD2946" s="166"/>
      <c r="AE2946" s="166"/>
      <c r="AF2946" s="166"/>
      <c r="AG2946" s="166"/>
      <c r="AH2946" s="166"/>
      <c r="AI2946" s="166"/>
    </row>
    <row r="2947" spans="7:35" x14ac:dyDescent="0.25">
      <c r="G2947" s="165"/>
      <c r="H2947" s="166"/>
      <c r="I2947" s="167"/>
      <c r="J2947" s="167"/>
      <c r="K2947" s="166"/>
      <c r="L2947" s="166"/>
      <c r="M2947" s="166"/>
      <c r="N2947" s="166"/>
      <c r="O2947" s="166"/>
      <c r="P2947" s="166"/>
      <c r="Q2947" s="166"/>
      <c r="R2947" s="166"/>
      <c r="S2947" s="166"/>
      <c r="T2947" s="166"/>
      <c r="U2947" s="166"/>
      <c r="V2947" s="166"/>
      <c r="W2947" s="166"/>
      <c r="X2947" s="166"/>
      <c r="Y2947" s="166"/>
      <c r="Z2947" s="166"/>
      <c r="AA2947" s="166"/>
      <c r="AB2947" s="166"/>
      <c r="AC2947" s="166"/>
      <c r="AD2947" s="166"/>
      <c r="AE2947" s="166"/>
      <c r="AF2947" s="166"/>
      <c r="AG2947" s="166"/>
      <c r="AH2947" s="166"/>
      <c r="AI2947" s="166"/>
    </row>
    <row r="2948" spans="7:35" x14ac:dyDescent="0.25">
      <c r="G2948" s="165"/>
      <c r="H2948" s="166"/>
      <c r="I2948" s="167"/>
      <c r="J2948" s="167"/>
      <c r="K2948" s="166"/>
      <c r="L2948" s="166"/>
      <c r="M2948" s="166"/>
      <c r="N2948" s="166"/>
      <c r="O2948" s="166"/>
      <c r="P2948" s="166"/>
      <c r="Q2948" s="166"/>
      <c r="R2948" s="166"/>
      <c r="S2948" s="166"/>
      <c r="T2948" s="166"/>
      <c r="U2948" s="166"/>
      <c r="V2948" s="166"/>
      <c r="W2948" s="166"/>
      <c r="X2948" s="166"/>
      <c r="Y2948" s="166"/>
      <c r="Z2948" s="166"/>
      <c r="AA2948" s="166"/>
      <c r="AB2948" s="166"/>
      <c r="AC2948" s="166"/>
      <c r="AD2948" s="166"/>
      <c r="AE2948" s="166"/>
      <c r="AF2948" s="166"/>
      <c r="AG2948" s="166"/>
      <c r="AH2948" s="166"/>
      <c r="AI2948" s="166"/>
    </row>
    <row r="2949" spans="7:35" x14ac:dyDescent="0.25">
      <c r="G2949" s="165"/>
      <c r="H2949" s="166"/>
      <c r="I2949" s="167"/>
      <c r="J2949" s="167"/>
      <c r="K2949" s="166"/>
      <c r="L2949" s="166"/>
      <c r="M2949" s="166"/>
      <c r="N2949" s="166"/>
      <c r="O2949" s="166"/>
      <c r="P2949" s="166"/>
      <c r="Q2949" s="166"/>
      <c r="R2949" s="166"/>
      <c r="S2949" s="166"/>
      <c r="T2949" s="166"/>
      <c r="U2949" s="166"/>
      <c r="V2949" s="166"/>
      <c r="W2949" s="166"/>
      <c r="X2949" s="166"/>
      <c r="Y2949" s="166"/>
      <c r="Z2949" s="166"/>
      <c r="AA2949" s="166"/>
      <c r="AB2949" s="166"/>
      <c r="AC2949" s="166"/>
      <c r="AD2949" s="166"/>
      <c r="AE2949" s="166"/>
      <c r="AF2949" s="166"/>
      <c r="AG2949" s="166"/>
      <c r="AH2949" s="166"/>
      <c r="AI2949" s="166"/>
    </row>
    <row r="2950" spans="7:35" x14ac:dyDescent="0.25">
      <c r="G2950" s="165"/>
      <c r="H2950" s="166"/>
      <c r="I2950" s="167"/>
      <c r="J2950" s="167"/>
      <c r="K2950" s="166"/>
      <c r="L2950" s="166"/>
      <c r="M2950" s="166"/>
      <c r="N2950" s="166"/>
      <c r="O2950" s="166"/>
      <c r="P2950" s="166"/>
      <c r="Q2950" s="166"/>
      <c r="R2950" s="166"/>
      <c r="S2950" s="166"/>
      <c r="T2950" s="166"/>
      <c r="U2950" s="166"/>
      <c r="V2950" s="166"/>
      <c r="W2950" s="166"/>
      <c r="X2950" s="166"/>
      <c r="Y2950" s="166"/>
      <c r="Z2950" s="166"/>
      <c r="AA2950" s="166"/>
      <c r="AB2950" s="166"/>
      <c r="AC2950" s="166"/>
      <c r="AD2950" s="166"/>
      <c r="AE2950" s="166"/>
      <c r="AF2950" s="166"/>
      <c r="AG2950" s="166"/>
      <c r="AH2950" s="166"/>
      <c r="AI2950" s="166"/>
    </row>
    <row r="2951" spans="7:35" x14ac:dyDescent="0.25">
      <c r="G2951" s="165"/>
      <c r="H2951" s="166"/>
      <c r="I2951" s="167"/>
      <c r="J2951" s="167"/>
      <c r="K2951" s="166"/>
      <c r="L2951" s="166"/>
      <c r="M2951" s="166"/>
      <c r="N2951" s="166"/>
      <c r="O2951" s="166"/>
      <c r="P2951" s="166"/>
      <c r="Q2951" s="166"/>
      <c r="R2951" s="166"/>
      <c r="S2951" s="166"/>
      <c r="T2951" s="166"/>
      <c r="U2951" s="166"/>
      <c r="V2951" s="166"/>
      <c r="W2951" s="166"/>
      <c r="X2951" s="166"/>
      <c r="Y2951" s="166"/>
      <c r="Z2951" s="166"/>
      <c r="AA2951" s="166"/>
      <c r="AB2951" s="166"/>
      <c r="AC2951" s="166"/>
      <c r="AD2951" s="166"/>
      <c r="AE2951" s="166"/>
      <c r="AF2951" s="166"/>
      <c r="AG2951" s="166"/>
      <c r="AH2951" s="166"/>
      <c r="AI2951" s="166"/>
    </row>
    <row r="2952" spans="7:35" x14ac:dyDescent="0.25">
      <c r="G2952" s="165"/>
      <c r="H2952" s="166"/>
      <c r="I2952" s="167"/>
      <c r="J2952" s="167"/>
      <c r="K2952" s="166"/>
      <c r="L2952" s="166"/>
      <c r="M2952" s="166"/>
      <c r="N2952" s="166"/>
      <c r="O2952" s="166"/>
      <c r="P2952" s="166"/>
      <c r="Q2952" s="166"/>
      <c r="R2952" s="166"/>
      <c r="S2952" s="166"/>
      <c r="T2952" s="166"/>
      <c r="U2952" s="166"/>
      <c r="V2952" s="166"/>
      <c r="W2952" s="166"/>
      <c r="X2952" s="166"/>
      <c r="Y2952" s="166"/>
      <c r="Z2952" s="166"/>
      <c r="AA2952" s="166"/>
      <c r="AB2952" s="166"/>
      <c r="AC2952" s="166"/>
      <c r="AD2952" s="166"/>
      <c r="AE2952" s="166"/>
      <c r="AF2952" s="166"/>
      <c r="AG2952" s="166"/>
      <c r="AH2952" s="166"/>
      <c r="AI2952" s="166"/>
    </row>
    <row r="2953" spans="7:35" x14ac:dyDescent="0.25">
      <c r="G2953" s="165"/>
      <c r="H2953" s="166"/>
      <c r="I2953" s="167"/>
      <c r="J2953" s="167"/>
      <c r="K2953" s="166"/>
      <c r="L2953" s="166"/>
      <c r="M2953" s="166"/>
      <c r="N2953" s="166"/>
      <c r="O2953" s="166"/>
      <c r="P2953" s="166"/>
      <c r="Q2953" s="166"/>
      <c r="R2953" s="166"/>
      <c r="S2953" s="166"/>
      <c r="T2953" s="166"/>
      <c r="U2953" s="166"/>
      <c r="V2953" s="166"/>
      <c r="W2953" s="166"/>
      <c r="X2953" s="166"/>
      <c r="Y2953" s="166"/>
      <c r="Z2953" s="166"/>
      <c r="AA2953" s="166"/>
      <c r="AB2953" s="166"/>
      <c r="AC2953" s="166"/>
      <c r="AD2953" s="166"/>
      <c r="AE2953" s="166"/>
      <c r="AF2953" s="166"/>
      <c r="AG2953" s="166"/>
      <c r="AH2953" s="166"/>
      <c r="AI2953" s="166"/>
    </row>
    <row r="2954" spans="7:35" x14ac:dyDescent="0.25">
      <c r="G2954" s="165"/>
      <c r="H2954" s="166"/>
      <c r="I2954" s="167"/>
      <c r="J2954" s="167"/>
      <c r="K2954" s="166"/>
      <c r="L2954" s="166"/>
      <c r="M2954" s="166"/>
      <c r="N2954" s="166"/>
      <c r="O2954" s="166"/>
      <c r="P2954" s="166"/>
      <c r="Q2954" s="166"/>
      <c r="R2954" s="166"/>
      <c r="S2954" s="166"/>
      <c r="T2954" s="166"/>
      <c r="U2954" s="166"/>
      <c r="V2954" s="166"/>
      <c r="W2954" s="166"/>
      <c r="X2954" s="166"/>
      <c r="Y2954" s="166"/>
      <c r="Z2954" s="166"/>
      <c r="AA2954" s="166"/>
      <c r="AB2954" s="166"/>
      <c r="AC2954" s="166"/>
      <c r="AD2954" s="166"/>
      <c r="AE2954" s="166"/>
      <c r="AF2954" s="166"/>
      <c r="AG2954" s="166"/>
      <c r="AH2954" s="166"/>
      <c r="AI2954" s="166"/>
    </row>
    <row r="2955" spans="7:35" x14ac:dyDescent="0.25">
      <c r="G2955" s="165"/>
      <c r="H2955" s="166"/>
      <c r="I2955" s="167"/>
      <c r="J2955" s="167"/>
      <c r="K2955" s="166"/>
      <c r="L2955" s="166"/>
      <c r="M2955" s="166"/>
      <c r="N2955" s="166"/>
      <c r="O2955" s="166"/>
      <c r="P2955" s="166"/>
      <c r="Q2955" s="166"/>
      <c r="R2955" s="166"/>
      <c r="S2955" s="166"/>
      <c r="T2955" s="166"/>
      <c r="U2955" s="166"/>
      <c r="V2955" s="166"/>
      <c r="W2955" s="166"/>
      <c r="X2955" s="166"/>
      <c r="Y2955" s="166"/>
      <c r="Z2955" s="166"/>
      <c r="AA2955" s="166"/>
      <c r="AB2955" s="166"/>
      <c r="AC2955" s="166"/>
      <c r="AD2955" s="166"/>
      <c r="AE2955" s="166"/>
      <c r="AF2955" s="166"/>
      <c r="AG2955" s="166"/>
      <c r="AH2955" s="166"/>
      <c r="AI2955" s="166"/>
    </row>
    <row r="2956" spans="7:35" x14ac:dyDescent="0.25">
      <c r="G2956" s="165"/>
      <c r="H2956" s="166"/>
      <c r="I2956" s="167"/>
      <c r="J2956" s="167"/>
      <c r="K2956" s="166"/>
      <c r="L2956" s="166"/>
      <c r="M2956" s="166"/>
      <c r="N2956" s="166"/>
      <c r="O2956" s="166"/>
      <c r="P2956" s="166"/>
      <c r="Q2956" s="166"/>
      <c r="R2956" s="166"/>
      <c r="S2956" s="166"/>
      <c r="T2956" s="166"/>
      <c r="U2956" s="166"/>
      <c r="V2956" s="166"/>
      <c r="W2956" s="166"/>
      <c r="X2956" s="166"/>
      <c r="Y2956" s="166"/>
      <c r="Z2956" s="166"/>
      <c r="AA2956" s="166"/>
      <c r="AB2956" s="166"/>
      <c r="AC2956" s="166"/>
      <c r="AD2956" s="166"/>
      <c r="AE2956" s="166"/>
      <c r="AF2956" s="166"/>
      <c r="AG2956" s="166"/>
      <c r="AH2956" s="166"/>
      <c r="AI2956" s="166"/>
    </row>
    <row r="2957" spans="7:35" x14ac:dyDescent="0.25">
      <c r="G2957" s="165"/>
      <c r="H2957" s="166"/>
      <c r="I2957" s="167"/>
      <c r="J2957" s="167"/>
      <c r="K2957" s="166"/>
      <c r="L2957" s="166"/>
      <c r="M2957" s="166"/>
      <c r="N2957" s="166"/>
      <c r="O2957" s="166"/>
      <c r="P2957" s="166"/>
      <c r="Q2957" s="166"/>
      <c r="R2957" s="166"/>
      <c r="S2957" s="166"/>
      <c r="T2957" s="166"/>
      <c r="U2957" s="166"/>
      <c r="V2957" s="166"/>
      <c r="W2957" s="166"/>
      <c r="X2957" s="166"/>
      <c r="Y2957" s="166"/>
      <c r="Z2957" s="166"/>
      <c r="AA2957" s="166"/>
      <c r="AB2957" s="166"/>
      <c r="AC2957" s="166"/>
      <c r="AD2957" s="166"/>
      <c r="AE2957" s="166"/>
      <c r="AF2957" s="166"/>
      <c r="AG2957" s="166"/>
      <c r="AH2957" s="166"/>
      <c r="AI2957" s="166"/>
    </row>
    <row r="2958" spans="7:35" x14ac:dyDescent="0.25">
      <c r="G2958" s="165"/>
      <c r="H2958" s="166"/>
      <c r="I2958" s="167"/>
      <c r="J2958" s="167"/>
      <c r="K2958" s="166"/>
      <c r="L2958" s="166"/>
      <c r="M2958" s="166"/>
      <c r="N2958" s="166"/>
      <c r="O2958" s="166"/>
      <c r="P2958" s="166"/>
      <c r="Q2958" s="166"/>
      <c r="R2958" s="166"/>
      <c r="S2958" s="166"/>
      <c r="T2958" s="166"/>
      <c r="U2958" s="166"/>
      <c r="V2958" s="166"/>
      <c r="W2958" s="166"/>
      <c r="X2958" s="166"/>
      <c r="Y2958" s="166"/>
      <c r="Z2958" s="166"/>
      <c r="AA2958" s="166"/>
      <c r="AB2958" s="166"/>
      <c r="AC2958" s="166"/>
      <c r="AD2958" s="166"/>
      <c r="AE2958" s="166"/>
      <c r="AF2958" s="166"/>
      <c r="AG2958" s="166"/>
      <c r="AH2958" s="166"/>
      <c r="AI2958" s="166"/>
    </row>
    <row r="2959" spans="7:35" x14ac:dyDescent="0.25">
      <c r="G2959" s="165"/>
      <c r="H2959" s="166"/>
      <c r="I2959" s="167"/>
      <c r="J2959" s="167"/>
      <c r="K2959" s="166"/>
      <c r="L2959" s="166"/>
      <c r="M2959" s="166"/>
      <c r="N2959" s="166"/>
      <c r="O2959" s="166"/>
      <c r="P2959" s="166"/>
      <c r="Q2959" s="166"/>
      <c r="R2959" s="166"/>
      <c r="S2959" s="166"/>
      <c r="T2959" s="166"/>
      <c r="U2959" s="166"/>
      <c r="V2959" s="166"/>
      <c r="W2959" s="166"/>
      <c r="X2959" s="166"/>
      <c r="Y2959" s="166"/>
      <c r="Z2959" s="166"/>
      <c r="AA2959" s="166"/>
      <c r="AB2959" s="166"/>
      <c r="AC2959" s="166"/>
      <c r="AD2959" s="166"/>
      <c r="AE2959" s="166"/>
      <c r="AF2959" s="166"/>
      <c r="AG2959" s="166"/>
      <c r="AH2959" s="166"/>
      <c r="AI2959" s="166"/>
    </row>
    <row r="2960" spans="7:35" x14ac:dyDescent="0.25">
      <c r="G2960" s="165"/>
      <c r="H2960" s="166"/>
      <c r="I2960" s="167"/>
      <c r="J2960" s="167"/>
      <c r="K2960" s="166"/>
      <c r="L2960" s="166"/>
      <c r="M2960" s="166"/>
      <c r="N2960" s="166"/>
      <c r="O2960" s="166"/>
      <c r="P2960" s="166"/>
      <c r="Q2960" s="166"/>
      <c r="R2960" s="166"/>
      <c r="S2960" s="166"/>
      <c r="T2960" s="166"/>
      <c r="U2960" s="166"/>
      <c r="V2960" s="166"/>
      <c r="W2960" s="166"/>
      <c r="X2960" s="166"/>
      <c r="Y2960" s="166"/>
      <c r="Z2960" s="166"/>
      <c r="AA2960" s="166"/>
      <c r="AB2960" s="166"/>
      <c r="AC2960" s="166"/>
      <c r="AD2960" s="166"/>
      <c r="AE2960" s="166"/>
      <c r="AF2960" s="166"/>
      <c r="AG2960" s="166"/>
      <c r="AH2960" s="166"/>
      <c r="AI2960" s="166"/>
    </row>
    <row r="2961" spans="7:35" x14ac:dyDescent="0.25">
      <c r="G2961" s="165"/>
      <c r="H2961" s="166"/>
      <c r="I2961" s="167"/>
      <c r="J2961" s="167"/>
      <c r="K2961" s="166"/>
      <c r="L2961" s="166"/>
      <c r="M2961" s="166"/>
      <c r="N2961" s="166"/>
      <c r="O2961" s="166"/>
      <c r="P2961" s="166"/>
      <c r="Q2961" s="166"/>
      <c r="R2961" s="166"/>
      <c r="S2961" s="166"/>
      <c r="T2961" s="166"/>
      <c r="U2961" s="166"/>
      <c r="V2961" s="166"/>
      <c r="W2961" s="166"/>
      <c r="X2961" s="166"/>
      <c r="Y2961" s="166"/>
      <c r="Z2961" s="166"/>
      <c r="AA2961" s="166"/>
      <c r="AB2961" s="166"/>
      <c r="AC2961" s="166"/>
      <c r="AD2961" s="166"/>
      <c r="AE2961" s="166"/>
      <c r="AF2961" s="166"/>
      <c r="AG2961" s="166"/>
      <c r="AH2961" s="166"/>
      <c r="AI2961" s="166"/>
    </row>
    <row r="2962" spans="7:35" x14ac:dyDescent="0.25">
      <c r="G2962" s="165"/>
      <c r="H2962" s="166"/>
      <c r="I2962" s="167"/>
      <c r="J2962" s="167"/>
      <c r="K2962" s="166"/>
      <c r="L2962" s="166"/>
      <c r="M2962" s="166"/>
      <c r="N2962" s="166"/>
      <c r="O2962" s="166"/>
      <c r="P2962" s="166"/>
      <c r="Q2962" s="166"/>
      <c r="R2962" s="166"/>
      <c r="S2962" s="166"/>
      <c r="T2962" s="166"/>
      <c r="U2962" s="166"/>
      <c r="V2962" s="166"/>
      <c r="W2962" s="166"/>
      <c r="X2962" s="166"/>
      <c r="Y2962" s="166"/>
      <c r="Z2962" s="166"/>
      <c r="AA2962" s="166"/>
      <c r="AB2962" s="166"/>
      <c r="AC2962" s="166"/>
      <c r="AD2962" s="166"/>
      <c r="AE2962" s="166"/>
      <c r="AF2962" s="166"/>
      <c r="AG2962" s="166"/>
      <c r="AH2962" s="166"/>
      <c r="AI2962" s="166"/>
    </row>
    <row r="2963" spans="7:35" x14ac:dyDescent="0.25">
      <c r="G2963" s="165"/>
      <c r="H2963" s="166"/>
      <c r="I2963" s="167"/>
      <c r="J2963" s="167"/>
      <c r="K2963" s="166"/>
      <c r="L2963" s="166"/>
      <c r="M2963" s="166"/>
      <c r="N2963" s="166"/>
      <c r="O2963" s="166"/>
      <c r="P2963" s="166"/>
      <c r="Q2963" s="166"/>
      <c r="R2963" s="166"/>
      <c r="S2963" s="166"/>
      <c r="T2963" s="166"/>
      <c r="U2963" s="166"/>
      <c r="V2963" s="166"/>
      <c r="W2963" s="166"/>
      <c r="X2963" s="166"/>
      <c r="Y2963" s="166"/>
      <c r="Z2963" s="166"/>
      <c r="AA2963" s="166"/>
      <c r="AB2963" s="166"/>
      <c r="AC2963" s="166"/>
      <c r="AD2963" s="166"/>
      <c r="AE2963" s="166"/>
      <c r="AF2963" s="166"/>
      <c r="AG2963" s="166"/>
      <c r="AH2963" s="166"/>
      <c r="AI2963" s="166"/>
    </row>
    <row r="2964" spans="7:35" x14ac:dyDescent="0.25">
      <c r="G2964" s="165"/>
      <c r="H2964" s="166"/>
      <c r="I2964" s="167"/>
      <c r="J2964" s="167"/>
      <c r="K2964" s="166"/>
      <c r="L2964" s="166"/>
      <c r="M2964" s="166"/>
      <c r="N2964" s="166"/>
      <c r="O2964" s="166"/>
      <c r="P2964" s="166"/>
      <c r="Q2964" s="166"/>
      <c r="R2964" s="166"/>
      <c r="S2964" s="166"/>
      <c r="T2964" s="166"/>
      <c r="U2964" s="166"/>
      <c r="V2964" s="166"/>
      <c r="W2964" s="166"/>
      <c r="X2964" s="166"/>
      <c r="Y2964" s="166"/>
      <c r="Z2964" s="166"/>
      <c r="AA2964" s="166"/>
      <c r="AB2964" s="166"/>
      <c r="AC2964" s="166"/>
      <c r="AD2964" s="166"/>
      <c r="AE2964" s="166"/>
      <c r="AF2964" s="166"/>
      <c r="AG2964" s="166"/>
      <c r="AH2964" s="166"/>
      <c r="AI2964" s="166"/>
    </row>
    <row r="2965" spans="7:35" x14ac:dyDescent="0.25">
      <c r="G2965" s="165"/>
      <c r="H2965" s="166"/>
      <c r="I2965" s="167"/>
      <c r="J2965" s="167"/>
      <c r="K2965" s="166"/>
      <c r="L2965" s="166"/>
      <c r="M2965" s="166"/>
      <c r="N2965" s="166"/>
      <c r="O2965" s="166"/>
      <c r="P2965" s="166"/>
      <c r="Q2965" s="166"/>
      <c r="R2965" s="166"/>
      <c r="S2965" s="166"/>
      <c r="T2965" s="166"/>
      <c r="U2965" s="166"/>
      <c r="V2965" s="166"/>
      <c r="W2965" s="166"/>
      <c r="X2965" s="166"/>
      <c r="Y2965" s="166"/>
      <c r="Z2965" s="166"/>
      <c r="AA2965" s="166"/>
      <c r="AB2965" s="166"/>
      <c r="AC2965" s="166"/>
      <c r="AD2965" s="166"/>
      <c r="AE2965" s="166"/>
      <c r="AF2965" s="166"/>
      <c r="AG2965" s="166"/>
      <c r="AH2965" s="166"/>
      <c r="AI2965" s="166"/>
    </row>
    <row r="2966" spans="7:35" x14ac:dyDescent="0.25">
      <c r="G2966" s="165"/>
      <c r="H2966" s="166"/>
      <c r="I2966" s="167"/>
      <c r="J2966" s="167"/>
      <c r="K2966" s="166"/>
      <c r="L2966" s="166"/>
      <c r="M2966" s="166"/>
      <c r="N2966" s="166"/>
      <c r="O2966" s="166"/>
      <c r="P2966" s="166"/>
      <c r="Q2966" s="166"/>
      <c r="R2966" s="166"/>
      <c r="S2966" s="166"/>
      <c r="T2966" s="166"/>
      <c r="U2966" s="166"/>
      <c r="V2966" s="166"/>
      <c r="W2966" s="166"/>
      <c r="X2966" s="166"/>
      <c r="Y2966" s="166"/>
      <c r="Z2966" s="166"/>
      <c r="AA2966" s="166"/>
      <c r="AB2966" s="166"/>
      <c r="AC2966" s="166"/>
      <c r="AD2966" s="166"/>
      <c r="AE2966" s="166"/>
      <c r="AF2966" s="166"/>
      <c r="AG2966" s="166"/>
      <c r="AH2966" s="166"/>
      <c r="AI2966" s="166"/>
    </row>
    <row r="2967" spans="7:35" x14ac:dyDescent="0.25">
      <c r="G2967" s="165"/>
      <c r="H2967" s="166"/>
      <c r="I2967" s="167"/>
      <c r="J2967" s="167"/>
      <c r="K2967" s="166"/>
      <c r="L2967" s="166"/>
      <c r="M2967" s="166"/>
      <c r="N2967" s="166"/>
      <c r="O2967" s="166"/>
      <c r="P2967" s="166"/>
      <c r="Q2967" s="166"/>
      <c r="R2967" s="166"/>
      <c r="S2967" s="166"/>
      <c r="T2967" s="166"/>
      <c r="U2967" s="166"/>
      <c r="V2967" s="166"/>
      <c r="W2967" s="166"/>
      <c r="X2967" s="166"/>
      <c r="Y2967" s="166"/>
      <c r="Z2967" s="166"/>
      <c r="AA2967" s="166"/>
      <c r="AB2967" s="166"/>
      <c r="AC2967" s="166"/>
      <c r="AD2967" s="166"/>
      <c r="AE2967" s="166"/>
      <c r="AF2967" s="166"/>
      <c r="AG2967" s="166"/>
      <c r="AH2967" s="166"/>
      <c r="AI2967" s="166"/>
    </row>
    <row r="2968" spans="7:35" x14ac:dyDescent="0.25">
      <c r="G2968" s="165"/>
      <c r="H2968" s="166"/>
      <c r="I2968" s="167"/>
      <c r="J2968" s="167"/>
      <c r="K2968" s="166"/>
      <c r="L2968" s="166"/>
      <c r="M2968" s="166"/>
      <c r="N2968" s="166"/>
      <c r="O2968" s="166"/>
      <c r="P2968" s="166"/>
      <c r="Q2968" s="166"/>
      <c r="R2968" s="166"/>
      <c r="S2968" s="166"/>
      <c r="T2968" s="166"/>
      <c r="U2968" s="166"/>
      <c r="V2968" s="166"/>
      <c r="W2968" s="166"/>
      <c r="X2968" s="166"/>
      <c r="Y2968" s="166"/>
      <c r="Z2968" s="166"/>
      <c r="AA2968" s="166"/>
      <c r="AB2968" s="166"/>
      <c r="AC2968" s="166"/>
      <c r="AD2968" s="166"/>
      <c r="AE2968" s="166"/>
      <c r="AF2968" s="166"/>
      <c r="AG2968" s="166"/>
      <c r="AH2968" s="166"/>
      <c r="AI2968" s="166"/>
    </row>
    <row r="2969" spans="7:35" x14ac:dyDescent="0.25">
      <c r="G2969" s="165"/>
      <c r="H2969" s="166"/>
      <c r="I2969" s="167"/>
      <c r="J2969" s="167"/>
      <c r="K2969" s="166"/>
      <c r="L2969" s="166"/>
      <c r="M2969" s="166"/>
      <c r="N2969" s="166"/>
      <c r="O2969" s="166"/>
      <c r="P2969" s="166"/>
      <c r="Q2969" s="166"/>
      <c r="R2969" s="166"/>
      <c r="S2969" s="166"/>
      <c r="T2969" s="166"/>
      <c r="U2969" s="166"/>
      <c r="V2969" s="166"/>
      <c r="W2969" s="166"/>
      <c r="X2969" s="166"/>
      <c r="Y2969" s="166"/>
      <c r="Z2969" s="166"/>
      <c r="AA2969" s="166"/>
      <c r="AB2969" s="166"/>
      <c r="AC2969" s="166"/>
      <c r="AD2969" s="166"/>
      <c r="AE2969" s="166"/>
      <c r="AF2969" s="166"/>
      <c r="AG2969" s="166"/>
      <c r="AH2969" s="166"/>
      <c r="AI2969" s="166"/>
    </row>
    <row r="2970" spans="7:35" x14ac:dyDescent="0.25">
      <c r="G2970" s="165"/>
      <c r="H2970" s="166"/>
      <c r="I2970" s="167"/>
      <c r="J2970" s="167"/>
      <c r="K2970" s="166"/>
      <c r="L2970" s="166"/>
      <c r="M2970" s="166"/>
      <c r="N2970" s="166"/>
      <c r="O2970" s="166"/>
      <c r="P2970" s="166"/>
      <c r="Q2970" s="166"/>
      <c r="R2970" s="166"/>
      <c r="S2970" s="166"/>
      <c r="T2970" s="166"/>
      <c r="U2970" s="166"/>
      <c r="V2970" s="166"/>
      <c r="W2970" s="166"/>
      <c r="X2970" s="166"/>
      <c r="Y2970" s="166"/>
      <c r="Z2970" s="166"/>
      <c r="AA2970" s="166"/>
      <c r="AB2970" s="166"/>
      <c r="AC2970" s="166"/>
      <c r="AD2970" s="166"/>
      <c r="AE2970" s="166"/>
      <c r="AF2970" s="166"/>
      <c r="AG2970" s="166"/>
      <c r="AH2970" s="166"/>
      <c r="AI2970" s="166"/>
    </row>
    <row r="2971" spans="7:35" x14ac:dyDescent="0.25">
      <c r="G2971" s="165"/>
      <c r="H2971" s="166"/>
      <c r="I2971" s="167"/>
      <c r="J2971" s="167"/>
      <c r="K2971" s="166"/>
      <c r="L2971" s="166"/>
      <c r="M2971" s="166"/>
      <c r="N2971" s="166"/>
      <c r="O2971" s="166"/>
      <c r="P2971" s="166"/>
      <c r="Q2971" s="166"/>
      <c r="R2971" s="166"/>
      <c r="S2971" s="166"/>
      <c r="T2971" s="166"/>
      <c r="U2971" s="166"/>
      <c r="V2971" s="166"/>
      <c r="W2971" s="166"/>
      <c r="X2971" s="166"/>
      <c r="Y2971" s="166"/>
      <c r="Z2971" s="166"/>
      <c r="AA2971" s="166"/>
      <c r="AB2971" s="166"/>
      <c r="AC2971" s="166"/>
      <c r="AD2971" s="166"/>
      <c r="AE2971" s="166"/>
      <c r="AF2971" s="166"/>
      <c r="AG2971" s="166"/>
      <c r="AH2971" s="166"/>
      <c r="AI2971" s="166"/>
    </row>
    <row r="2972" spans="7:35" x14ac:dyDescent="0.25">
      <c r="G2972" s="165"/>
      <c r="H2972" s="166"/>
      <c r="I2972" s="167"/>
      <c r="J2972" s="167"/>
      <c r="K2972" s="166"/>
      <c r="L2972" s="166"/>
      <c r="M2972" s="166"/>
      <c r="N2972" s="166"/>
      <c r="O2972" s="166"/>
      <c r="P2972" s="166"/>
      <c r="Q2972" s="166"/>
      <c r="R2972" s="166"/>
      <c r="S2972" s="166"/>
      <c r="T2972" s="166"/>
      <c r="U2972" s="166"/>
      <c r="V2972" s="166"/>
      <c r="W2972" s="166"/>
      <c r="X2972" s="166"/>
      <c r="Y2972" s="166"/>
      <c r="Z2972" s="166"/>
      <c r="AA2972" s="166"/>
      <c r="AB2972" s="166"/>
      <c r="AC2972" s="166"/>
      <c r="AD2972" s="166"/>
      <c r="AE2972" s="166"/>
      <c r="AF2972" s="166"/>
      <c r="AG2972" s="166"/>
      <c r="AH2972" s="166"/>
      <c r="AI2972" s="166"/>
    </row>
    <row r="2973" spans="7:35" x14ac:dyDescent="0.25">
      <c r="G2973" s="165"/>
      <c r="H2973" s="166"/>
      <c r="I2973" s="167"/>
      <c r="J2973" s="167"/>
      <c r="K2973" s="166"/>
      <c r="L2973" s="166"/>
      <c r="M2973" s="166"/>
      <c r="N2973" s="166"/>
      <c r="O2973" s="166"/>
      <c r="P2973" s="166"/>
      <c r="Q2973" s="166"/>
      <c r="R2973" s="166"/>
      <c r="S2973" s="166"/>
      <c r="T2973" s="166"/>
      <c r="U2973" s="166"/>
      <c r="V2973" s="166"/>
      <c r="W2973" s="166"/>
      <c r="X2973" s="166"/>
      <c r="Y2973" s="166"/>
      <c r="Z2973" s="166"/>
      <c r="AA2973" s="166"/>
      <c r="AB2973" s="166"/>
      <c r="AC2973" s="166"/>
      <c r="AD2973" s="166"/>
      <c r="AE2973" s="166"/>
      <c r="AF2973" s="166"/>
      <c r="AG2973" s="166"/>
      <c r="AH2973" s="166"/>
      <c r="AI2973" s="166"/>
    </row>
    <row r="2974" spans="7:35" x14ac:dyDescent="0.25">
      <c r="G2974" s="165"/>
      <c r="H2974" s="166"/>
      <c r="I2974" s="167"/>
      <c r="J2974" s="167"/>
      <c r="K2974" s="166"/>
      <c r="L2974" s="166"/>
      <c r="M2974" s="166"/>
      <c r="N2974" s="166"/>
      <c r="O2974" s="166"/>
      <c r="P2974" s="166"/>
      <c r="Q2974" s="166"/>
      <c r="R2974" s="166"/>
      <c r="S2974" s="166"/>
      <c r="T2974" s="166"/>
      <c r="U2974" s="166"/>
      <c r="V2974" s="166"/>
      <c r="W2974" s="166"/>
      <c r="X2974" s="166"/>
      <c r="Y2974" s="166"/>
      <c r="Z2974" s="166"/>
      <c r="AA2974" s="166"/>
      <c r="AB2974" s="166"/>
      <c r="AC2974" s="166"/>
      <c r="AD2974" s="166"/>
      <c r="AE2974" s="166"/>
      <c r="AF2974" s="166"/>
      <c r="AG2974" s="166"/>
      <c r="AH2974" s="166"/>
      <c r="AI2974" s="166"/>
    </row>
    <row r="2975" spans="7:35" x14ac:dyDescent="0.25">
      <c r="G2975" s="165"/>
      <c r="H2975" s="166"/>
      <c r="I2975" s="167"/>
      <c r="J2975" s="167"/>
      <c r="K2975" s="166"/>
      <c r="L2975" s="166"/>
      <c r="M2975" s="166"/>
      <c r="N2975" s="166"/>
      <c r="O2975" s="166"/>
      <c r="P2975" s="166"/>
      <c r="Q2975" s="166"/>
      <c r="R2975" s="166"/>
      <c r="S2975" s="166"/>
      <c r="T2975" s="166"/>
      <c r="U2975" s="166"/>
      <c r="V2975" s="166"/>
      <c r="W2975" s="166"/>
      <c r="X2975" s="166"/>
      <c r="Y2975" s="166"/>
      <c r="Z2975" s="166"/>
      <c r="AA2975" s="166"/>
      <c r="AB2975" s="166"/>
      <c r="AC2975" s="166"/>
      <c r="AD2975" s="166"/>
      <c r="AE2975" s="166"/>
      <c r="AF2975" s="166"/>
      <c r="AG2975" s="166"/>
      <c r="AH2975" s="166"/>
      <c r="AI2975" s="166"/>
    </row>
    <row r="2976" spans="7:35" x14ac:dyDescent="0.25">
      <c r="G2976" s="165"/>
      <c r="H2976" s="166"/>
      <c r="I2976" s="167"/>
      <c r="J2976" s="167"/>
      <c r="K2976" s="166"/>
      <c r="L2976" s="166"/>
      <c r="M2976" s="166"/>
      <c r="N2976" s="166"/>
      <c r="O2976" s="166"/>
      <c r="P2976" s="166"/>
      <c r="Q2976" s="166"/>
      <c r="R2976" s="166"/>
      <c r="S2976" s="166"/>
      <c r="T2976" s="166"/>
      <c r="U2976" s="166"/>
      <c r="V2976" s="166"/>
      <c r="W2976" s="166"/>
      <c r="X2976" s="166"/>
      <c r="Y2976" s="166"/>
      <c r="Z2976" s="166"/>
      <c r="AA2976" s="166"/>
      <c r="AB2976" s="166"/>
      <c r="AC2976" s="166"/>
      <c r="AD2976" s="166"/>
      <c r="AE2976" s="166"/>
      <c r="AF2976" s="166"/>
      <c r="AG2976" s="166"/>
      <c r="AH2976" s="166"/>
      <c r="AI2976" s="166"/>
    </row>
    <row r="2977" spans="7:35" x14ac:dyDescent="0.25">
      <c r="G2977" s="165"/>
      <c r="H2977" s="166"/>
      <c r="I2977" s="167"/>
      <c r="J2977" s="167"/>
      <c r="K2977" s="166"/>
      <c r="L2977" s="166"/>
      <c r="M2977" s="166"/>
      <c r="N2977" s="166"/>
      <c r="O2977" s="166"/>
      <c r="P2977" s="166"/>
      <c r="Q2977" s="166"/>
      <c r="R2977" s="166"/>
      <c r="S2977" s="166"/>
      <c r="T2977" s="166"/>
      <c r="U2977" s="166"/>
      <c r="V2977" s="166"/>
      <c r="W2977" s="166"/>
      <c r="X2977" s="166"/>
      <c r="Y2977" s="166"/>
      <c r="Z2977" s="166"/>
      <c r="AA2977" s="166"/>
      <c r="AB2977" s="166"/>
      <c r="AC2977" s="166"/>
      <c r="AD2977" s="166"/>
      <c r="AE2977" s="166"/>
      <c r="AF2977" s="166"/>
      <c r="AG2977" s="166"/>
      <c r="AH2977" s="166"/>
      <c r="AI2977" s="166"/>
    </row>
    <row r="2978" spans="7:35" x14ac:dyDescent="0.25">
      <c r="G2978" s="165"/>
      <c r="H2978" s="166"/>
      <c r="I2978" s="167"/>
      <c r="J2978" s="167"/>
      <c r="K2978" s="166"/>
      <c r="L2978" s="166"/>
      <c r="M2978" s="166"/>
      <c r="N2978" s="166"/>
      <c r="O2978" s="166"/>
      <c r="P2978" s="166"/>
      <c r="Q2978" s="166"/>
      <c r="R2978" s="166"/>
      <c r="S2978" s="166"/>
      <c r="T2978" s="166"/>
      <c r="U2978" s="166"/>
      <c r="V2978" s="166"/>
      <c r="W2978" s="166"/>
      <c r="X2978" s="166"/>
      <c r="Y2978" s="166"/>
      <c r="Z2978" s="166"/>
      <c r="AA2978" s="166"/>
      <c r="AB2978" s="166"/>
      <c r="AC2978" s="166"/>
      <c r="AD2978" s="166"/>
      <c r="AE2978" s="166"/>
      <c r="AF2978" s="166"/>
      <c r="AG2978" s="166"/>
      <c r="AH2978" s="166"/>
      <c r="AI2978" s="166"/>
    </row>
    <row r="2979" spans="7:35" x14ac:dyDescent="0.25">
      <c r="G2979" s="165"/>
      <c r="H2979" s="166"/>
      <c r="I2979" s="167"/>
      <c r="J2979" s="167"/>
      <c r="K2979" s="166"/>
      <c r="L2979" s="166"/>
      <c r="M2979" s="166"/>
      <c r="N2979" s="166"/>
      <c r="O2979" s="166"/>
      <c r="P2979" s="166"/>
      <c r="Q2979" s="166"/>
      <c r="R2979" s="166"/>
      <c r="S2979" s="166"/>
      <c r="T2979" s="166"/>
      <c r="U2979" s="166"/>
      <c r="V2979" s="166"/>
      <c r="W2979" s="166"/>
      <c r="X2979" s="166"/>
      <c r="Y2979" s="166"/>
      <c r="Z2979" s="166"/>
      <c r="AA2979" s="166"/>
      <c r="AB2979" s="166"/>
      <c r="AC2979" s="166"/>
      <c r="AD2979" s="166"/>
      <c r="AE2979" s="166"/>
      <c r="AF2979" s="166"/>
      <c r="AG2979" s="166"/>
      <c r="AH2979" s="166"/>
      <c r="AI2979" s="166"/>
    </row>
    <row r="2980" spans="7:35" x14ac:dyDescent="0.25">
      <c r="G2980" s="165"/>
      <c r="H2980" s="166"/>
      <c r="I2980" s="167"/>
      <c r="J2980" s="167"/>
      <c r="K2980" s="166"/>
      <c r="L2980" s="166"/>
      <c r="M2980" s="166"/>
      <c r="N2980" s="166"/>
      <c r="O2980" s="166"/>
      <c r="P2980" s="166"/>
      <c r="Q2980" s="166"/>
      <c r="R2980" s="166"/>
      <c r="S2980" s="166"/>
      <c r="T2980" s="166"/>
      <c r="U2980" s="166"/>
      <c r="V2980" s="166"/>
      <c r="W2980" s="166"/>
      <c r="X2980" s="166"/>
      <c r="Y2980" s="166"/>
      <c r="Z2980" s="166"/>
      <c r="AA2980" s="166"/>
      <c r="AB2980" s="166"/>
      <c r="AC2980" s="166"/>
      <c r="AD2980" s="166"/>
      <c r="AE2980" s="166"/>
      <c r="AF2980" s="166"/>
      <c r="AG2980" s="166"/>
      <c r="AH2980" s="166"/>
      <c r="AI2980" s="166"/>
    </row>
    <row r="2981" spans="7:35" x14ac:dyDescent="0.25">
      <c r="G2981" s="165"/>
      <c r="H2981" s="166"/>
      <c r="I2981" s="167"/>
      <c r="J2981" s="167"/>
      <c r="K2981" s="166"/>
      <c r="L2981" s="166"/>
      <c r="M2981" s="166"/>
      <c r="N2981" s="166"/>
      <c r="O2981" s="166"/>
      <c r="P2981" s="166"/>
      <c r="Q2981" s="166"/>
      <c r="R2981" s="166"/>
      <c r="S2981" s="166"/>
      <c r="T2981" s="166"/>
      <c r="U2981" s="166"/>
      <c r="V2981" s="166"/>
      <c r="W2981" s="166"/>
      <c r="X2981" s="166"/>
      <c r="Y2981" s="166"/>
      <c r="Z2981" s="166"/>
      <c r="AA2981" s="166"/>
      <c r="AB2981" s="166"/>
      <c r="AC2981" s="166"/>
      <c r="AD2981" s="166"/>
      <c r="AE2981" s="166"/>
      <c r="AF2981" s="166"/>
      <c r="AG2981" s="166"/>
      <c r="AH2981" s="166"/>
      <c r="AI2981" s="166"/>
    </row>
    <row r="2982" spans="7:35" x14ac:dyDescent="0.25">
      <c r="G2982" s="165"/>
      <c r="H2982" s="166"/>
      <c r="I2982" s="167"/>
      <c r="J2982" s="167"/>
      <c r="K2982" s="166"/>
      <c r="L2982" s="166"/>
      <c r="M2982" s="166"/>
      <c r="N2982" s="166"/>
      <c r="O2982" s="166"/>
      <c r="P2982" s="166"/>
      <c r="Q2982" s="166"/>
      <c r="R2982" s="166"/>
      <c r="S2982" s="166"/>
      <c r="T2982" s="166"/>
      <c r="U2982" s="166"/>
      <c r="V2982" s="166"/>
      <c r="W2982" s="166"/>
      <c r="X2982" s="166"/>
      <c r="Y2982" s="166"/>
      <c r="Z2982" s="166"/>
      <c r="AA2982" s="166"/>
      <c r="AB2982" s="166"/>
      <c r="AC2982" s="166"/>
      <c r="AD2982" s="166"/>
      <c r="AE2982" s="166"/>
      <c r="AF2982" s="166"/>
      <c r="AG2982" s="166"/>
      <c r="AH2982" s="166"/>
      <c r="AI2982" s="166"/>
    </row>
    <row r="2983" spans="7:35" x14ac:dyDescent="0.25">
      <c r="G2983" s="165"/>
      <c r="H2983" s="166"/>
      <c r="I2983" s="167"/>
      <c r="J2983" s="167"/>
      <c r="K2983" s="166"/>
      <c r="L2983" s="166"/>
      <c r="M2983" s="166"/>
      <c r="N2983" s="166"/>
      <c r="O2983" s="166"/>
      <c r="P2983" s="166"/>
      <c r="Q2983" s="166"/>
      <c r="R2983" s="166"/>
      <c r="S2983" s="166"/>
      <c r="T2983" s="166"/>
      <c r="U2983" s="166"/>
      <c r="V2983" s="166"/>
      <c r="W2983" s="166"/>
      <c r="X2983" s="166"/>
      <c r="Y2983" s="166"/>
      <c r="Z2983" s="166"/>
      <c r="AA2983" s="166"/>
      <c r="AB2983" s="166"/>
      <c r="AC2983" s="166"/>
      <c r="AD2983" s="166"/>
      <c r="AE2983" s="166"/>
      <c r="AF2983" s="166"/>
      <c r="AG2983" s="166"/>
      <c r="AH2983" s="166"/>
      <c r="AI2983" s="166"/>
    </row>
    <row r="2984" spans="7:35" x14ac:dyDescent="0.25">
      <c r="G2984" s="165"/>
      <c r="H2984" s="166"/>
      <c r="I2984" s="167"/>
      <c r="J2984" s="167"/>
      <c r="K2984" s="166"/>
      <c r="L2984" s="166"/>
      <c r="M2984" s="166"/>
      <c r="N2984" s="166"/>
      <c r="O2984" s="166"/>
      <c r="P2984" s="166"/>
      <c r="Q2984" s="166"/>
      <c r="R2984" s="166"/>
      <c r="S2984" s="166"/>
      <c r="T2984" s="166"/>
      <c r="U2984" s="166"/>
      <c r="V2984" s="166"/>
      <c r="W2984" s="166"/>
      <c r="X2984" s="166"/>
      <c r="Y2984" s="166"/>
      <c r="Z2984" s="166"/>
      <c r="AA2984" s="166"/>
      <c r="AB2984" s="166"/>
      <c r="AC2984" s="166"/>
      <c r="AD2984" s="166"/>
      <c r="AE2984" s="166"/>
      <c r="AF2984" s="166"/>
      <c r="AG2984" s="166"/>
      <c r="AH2984" s="166"/>
      <c r="AI2984" s="166"/>
    </row>
    <row r="2985" spans="7:35" x14ac:dyDescent="0.25">
      <c r="G2985" s="165"/>
      <c r="H2985" s="166"/>
      <c r="I2985" s="167"/>
      <c r="J2985" s="167"/>
      <c r="K2985" s="166"/>
      <c r="L2985" s="166"/>
      <c r="M2985" s="166"/>
      <c r="N2985" s="166"/>
      <c r="O2985" s="166"/>
      <c r="P2985" s="166"/>
      <c r="Q2985" s="166"/>
      <c r="R2985" s="166"/>
      <c r="S2985" s="166"/>
      <c r="T2985" s="166"/>
      <c r="U2985" s="166"/>
      <c r="V2985" s="166"/>
      <c r="W2985" s="166"/>
      <c r="X2985" s="166"/>
      <c r="Y2985" s="166"/>
      <c r="Z2985" s="166"/>
      <c r="AA2985" s="166"/>
      <c r="AB2985" s="166"/>
      <c r="AC2985" s="166"/>
      <c r="AD2985" s="166"/>
      <c r="AE2985" s="166"/>
      <c r="AF2985" s="166"/>
      <c r="AG2985" s="166"/>
      <c r="AH2985" s="166"/>
      <c r="AI2985" s="166"/>
    </row>
    <row r="2986" spans="7:35" x14ac:dyDescent="0.25">
      <c r="G2986" s="165"/>
      <c r="H2986" s="166"/>
      <c r="I2986" s="167"/>
      <c r="J2986" s="167"/>
      <c r="K2986" s="166"/>
      <c r="L2986" s="166"/>
      <c r="M2986" s="166"/>
      <c r="N2986" s="166"/>
      <c r="O2986" s="166"/>
      <c r="P2986" s="166"/>
      <c r="Q2986" s="166"/>
      <c r="R2986" s="166"/>
      <c r="S2986" s="166"/>
      <c r="T2986" s="166"/>
      <c r="U2986" s="166"/>
      <c r="V2986" s="166"/>
      <c r="W2986" s="166"/>
      <c r="X2986" s="166"/>
      <c r="Y2986" s="166"/>
      <c r="Z2986" s="166"/>
      <c r="AA2986" s="166"/>
      <c r="AB2986" s="166"/>
      <c r="AC2986" s="166"/>
      <c r="AD2986" s="166"/>
      <c r="AE2986" s="166"/>
      <c r="AF2986" s="166"/>
      <c r="AG2986" s="166"/>
      <c r="AH2986" s="166"/>
      <c r="AI2986" s="166"/>
    </row>
    <row r="2987" spans="7:35" x14ac:dyDescent="0.25">
      <c r="G2987" s="165"/>
      <c r="H2987" s="166"/>
      <c r="I2987" s="167"/>
      <c r="J2987" s="167"/>
      <c r="K2987" s="166"/>
      <c r="L2987" s="166"/>
      <c r="M2987" s="166"/>
      <c r="N2987" s="166"/>
      <c r="O2987" s="166"/>
      <c r="P2987" s="166"/>
      <c r="Q2987" s="166"/>
      <c r="R2987" s="166"/>
      <c r="S2987" s="166"/>
      <c r="T2987" s="166"/>
      <c r="U2987" s="166"/>
      <c r="V2987" s="166"/>
      <c r="W2987" s="166"/>
      <c r="X2987" s="166"/>
      <c r="Y2987" s="166"/>
      <c r="Z2987" s="166"/>
      <c r="AA2987" s="166"/>
      <c r="AB2987" s="166"/>
      <c r="AC2987" s="166"/>
      <c r="AD2987" s="166"/>
      <c r="AE2987" s="166"/>
      <c r="AF2987" s="166"/>
      <c r="AG2987" s="166"/>
      <c r="AH2987" s="166"/>
      <c r="AI2987" s="166"/>
    </row>
    <row r="2988" spans="7:35" x14ac:dyDescent="0.25">
      <c r="G2988" s="165"/>
      <c r="H2988" s="166"/>
      <c r="I2988" s="167"/>
      <c r="J2988" s="167"/>
      <c r="K2988" s="166"/>
      <c r="L2988" s="166"/>
      <c r="M2988" s="166"/>
      <c r="N2988" s="166"/>
      <c r="O2988" s="166"/>
      <c r="P2988" s="166"/>
      <c r="Q2988" s="166"/>
      <c r="R2988" s="166"/>
      <c r="S2988" s="166"/>
      <c r="T2988" s="166"/>
      <c r="U2988" s="166"/>
      <c r="V2988" s="166"/>
      <c r="W2988" s="166"/>
      <c r="X2988" s="166"/>
      <c r="Y2988" s="166"/>
      <c r="Z2988" s="166"/>
      <c r="AA2988" s="166"/>
      <c r="AB2988" s="166"/>
      <c r="AC2988" s="166"/>
      <c r="AD2988" s="166"/>
      <c r="AE2988" s="166"/>
      <c r="AF2988" s="166"/>
      <c r="AG2988" s="166"/>
      <c r="AH2988" s="166"/>
      <c r="AI2988" s="166"/>
    </row>
    <row r="2989" spans="7:35" x14ac:dyDescent="0.25">
      <c r="G2989" s="165"/>
      <c r="H2989" s="166"/>
      <c r="I2989" s="167"/>
      <c r="J2989" s="167"/>
      <c r="K2989" s="166"/>
      <c r="L2989" s="166"/>
      <c r="M2989" s="166"/>
      <c r="N2989" s="166"/>
      <c r="O2989" s="166"/>
      <c r="P2989" s="166"/>
      <c r="Q2989" s="166"/>
      <c r="R2989" s="166"/>
      <c r="S2989" s="166"/>
      <c r="T2989" s="166"/>
      <c r="U2989" s="166"/>
      <c r="V2989" s="166"/>
      <c r="W2989" s="166"/>
      <c r="X2989" s="166"/>
      <c r="Y2989" s="166"/>
      <c r="Z2989" s="166"/>
      <c r="AA2989" s="166"/>
      <c r="AB2989" s="166"/>
      <c r="AC2989" s="166"/>
      <c r="AD2989" s="166"/>
      <c r="AE2989" s="166"/>
      <c r="AF2989" s="166"/>
      <c r="AG2989" s="166"/>
      <c r="AH2989" s="166"/>
      <c r="AI2989" s="166"/>
    </row>
    <row r="2990" spans="7:35" x14ac:dyDescent="0.25">
      <c r="G2990" s="165"/>
      <c r="H2990" s="166"/>
      <c r="I2990" s="167"/>
      <c r="J2990" s="167"/>
      <c r="K2990" s="166"/>
      <c r="L2990" s="166"/>
      <c r="M2990" s="166"/>
      <c r="N2990" s="166"/>
      <c r="O2990" s="166"/>
      <c r="P2990" s="166"/>
      <c r="Q2990" s="166"/>
      <c r="R2990" s="166"/>
      <c r="S2990" s="166"/>
      <c r="T2990" s="166"/>
      <c r="U2990" s="166"/>
      <c r="V2990" s="166"/>
      <c r="W2990" s="166"/>
      <c r="X2990" s="166"/>
      <c r="Y2990" s="166"/>
      <c r="Z2990" s="166"/>
      <c r="AA2990" s="166"/>
      <c r="AB2990" s="166"/>
      <c r="AC2990" s="166"/>
      <c r="AD2990" s="166"/>
      <c r="AE2990" s="166"/>
      <c r="AF2990" s="166"/>
      <c r="AG2990" s="166"/>
      <c r="AH2990" s="166"/>
      <c r="AI2990" s="166"/>
    </row>
    <row r="2991" spans="7:35" x14ac:dyDescent="0.25">
      <c r="G2991" s="165"/>
      <c r="H2991" s="166"/>
      <c r="I2991" s="167"/>
      <c r="J2991" s="167"/>
      <c r="K2991" s="166"/>
      <c r="L2991" s="166"/>
      <c r="M2991" s="166"/>
      <c r="N2991" s="166"/>
      <c r="O2991" s="166"/>
      <c r="P2991" s="166"/>
      <c r="Q2991" s="166"/>
      <c r="R2991" s="166"/>
      <c r="S2991" s="166"/>
      <c r="T2991" s="166"/>
      <c r="U2991" s="166"/>
      <c r="V2991" s="166"/>
      <c r="W2991" s="166"/>
      <c r="X2991" s="166"/>
      <c r="Y2991" s="166"/>
      <c r="Z2991" s="166"/>
      <c r="AA2991" s="166"/>
      <c r="AB2991" s="166"/>
      <c r="AC2991" s="166"/>
      <c r="AD2991" s="166"/>
      <c r="AE2991" s="166"/>
      <c r="AF2991" s="166"/>
      <c r="AG2991" s="166"/>
      <c r="AH2991" s="166"/>
      <c r="AI2991" s="166"/>
    </row>
    <row r="2992" spans="7:35" x14ac:dyDescent="0.25">
      <c r="G2992" s="165"/>
      <c r="H2992" s="166"/>
      <c r="I2992" s="167"/>
      <c r="J2992" s="167"/>
      <c r="K2992" s="166"/>
      <c r="L2992" s="166"/>
      <c r="M2992" s="166"/>
      <c r="N2992" s="166"/>
      <c r="O2992" s="166"/>
      <c r="P2992" s="166"/>
      <c r="Q2992" s="166"/>
      <c r="R2992" s="166"/>
      <c r="S2992" s="166"/>
      <c r="T2992" s="166"/>
      <c r="U2992" s="166"/>
      <c r="V2992" s="166"/>
      <c r="W2992" s="166"/>
      <c r="X2992" s="166"/>
      <c r="Y2992" s="166"/>
      <c r="Z2992" s="166"/>
      <c r="AA2992" s="166"/>
      <c r="AB2992" s="166"/>
      <c r="AC2992" s="166"/>
      <c r="AD2992" s="166"/>
      <c r="AE2992" s="166"/>
      <c r="AF2992" s="166"/>
      <c r="AG2992" s="166"/>
      <c r="AH2992" s="166"/>
      <c r="AI2992" s="166"/>
    </row>
    <row r="2993" spans="6:35" x14ac:dyDescent="0.25">
      <c r="G2993" s="165"/>
      <c r="H2993" s="166"/>
      <c r="I2993" s="167"/>
      <c r="J2993" s="167"/>
      <c r="K2993" s="166"/>
      <c r="L2993" s="166"/>
      <c r="M2993" s="166"/>
      <c r="N2993" s="166"/>
      <c r="O2993" s="166"/>
      <c r="P2993" s="166"/>
      <c r="Q2993" s="166"/>
      <c r="R2993" s="166"/>
      <c r="S2993" s="166"/>
      <c r="T2993" s="166"/>
      <c r="U2993" s="166"/>
      <c r="V2993" s="166"/>
      <c r="W2993" s="166"/>
      <c r="X2993" s="166"/>
      <c r="Y2993" s="166"/>
      <c r="Z2993" s="166"/>
      <c r="AA2993" s="166"/>
      <c r="AB2993" s="166"/>
      <c r="AC2993" s="166"/>
      <c r="AD2993" s="166"/>
      <c r="AE2993" s="166"/>
      <c r="AF2993" s="166"/>
      <c r="AG2993" s="166"/>
      <c r="AH2993" s="166"/>
      <c r="AI2993" s="166"/>
    </row>
    <row r="2994" spans="6:35" x14ac:dyDescent="0.25">
      <c r="G2994" s="165"/>
      <c r="H2994" s="166"/>
      <c r="I2994" s="167"/>
      <c r="J2994" s="167"/>
      <c r="K2994" s="166"/>
      <c r="L2994" s="166"/>
      <c r="M2994" s="166"/>
      <c r="N2994" s="166"/>
      <c r="O2994" s="166"/>
      <c r="P2994" s="166"/>
      <c r="Q2994" s="166"/>
      <c r="R2994" s="166"/>
      <c r="S2994" s="166"/>
      <c r="T2994" s="166"/>
      <c r="U2994" s="166"/>
      <c r="V2994" s="166"/>
      <c r="W2994" s="166"/>
      <c r="X2994" s="166"/>
      <c r="Y2994" s="166"/>
      <c r="Z2994" s="166"/>
      <c r="AA2994" s="166"/>
      <c r="AB2994" s="166"/>
      <c r="AC2994" s="166"/>
      <c r="AD2994" s="166"/>
      <c r="AE2994" s="166"/>
      <c r="AF2994" s="166"/>
      <c r="AG2994" s="166"/>
      <c r="AH2994" s="166"/>
      <c r="AI2994" s="166"/>
    </row>
    <row r="2995" spans="6:35" x14ac:dyDescent="0.25">
      <c r="G2995" s="165"/>
      <c r="H2995" s="166"/>
      <c r="I2995" s="167"/>
      <c r="J2995" s="167"/>
      <c r="K2995" s="166"/>
      <c r="L2995" s="166"/>
      <c r="M2995" s="166"/>
      <c r="N2995" s="166"/>
      <c r="O2995" s="166"/>
      <c r="P2995" s="166"/>
      <c r="Q2995" s="166"/>
      <c r="R2995" s="166"/>
      <c r="S2995" s="166"/>
      <c r="T2995" s="166"/>
      <c r="U2995" s="166"/>
      <c r="V2995" s="166"/>
      <c r="W2995" s="166"/>
      <c r="X2995" s="166"/>
      <c r="Y2995" s="166"/>
      <c r="Z2995" s="166"/>
      <c r="AA2995" s="166"/>
      <c r="AB2995" s="166"/>
      <c r="AC2995" s="166"/>
      <c r="AD2995" s="166"/>
      <c r="AE2995" s="166"/>
      <c r="AF2995" s="166"/>
      <c r="AG2995" s="166"/>
      <c r="AH2995" s="166"/>
      <c r="AI2995" s="166"/>
    </row>
    <row r="2996" spans="6:35" x14ac:dyDescent="0.25">
      <c r="G2996" s="165"/>
      <c r="H2996" s="166"/>
      <c r="I2996" s="167"/>
      <c r="J2996" s="167"/>
      <c r="K2996" s="166"/>
      <c r="L2996" s="166"/>
      <c r="M2996" s="166"/>
      <c r="N2996" s="166"/>
      <c r="O2996" s="166"/>
      <c r="P2996" s="166"/>
      <c r="Q2996" s="166"/>
      <c r="R2996" s="166"/>
      <c r="S2996" s="166"/>
      <c r="T2996" s="166"/>
      <c r="U2996" s="166"/>
      <c r="V2996" s="166"/>
      <c r="W2996" s="166"/>
      <c r="X2996" s="166"/>
      <c r="Y2996" s="166"/>
      <c r="Z2996" s="166"/>
      <c r="AA2996" s="166"/>
      <c r="AB2996" s="166"/>
      <c r="AC2996" s="166"/>
      <c r="AD2996" s="166"/>
      <c r="AE2996" s="166"/>
      <c r="AF2996" s="166"/>
      <c r="AG2996" s="166"/>
      <c r="AH2996" s="166"/>
      <c r="AI2996" s="166"/>
    </row>
    <row r="2997" spans="6:35" x14ac:dyDescent="0.25">
      <c r="G2997" s="165"/>
      <c r="H2997" s="166"/>
      <c r="I2997" s="167"/>
      <c r="J2997" s="167"/>
      <c r="K2997" s="166"/>
      <c r="L2997" s="166"/>
      <c r="M2997" s="166"/>
      <c r="N2997" s="166"/>
      <c r="O2997" s="166"/>
      <c r="P2997" s="166"/>
      <c r="Q2997" s="166"/>
      <c r="R2997" s="166"/>
      <c r="S2997" s="166"/>
      <c r="T2997" s="166"/>
      <c r="U2997" s="166"/>
      <c r="V2997" s="166"/>
      <c r="W2997" s="166"/>
      <c r="X2997" s="166"/>
      <c r="Y2997" s="166"/>
      <c r="Z2997" s="166"/>
      <c r="AA2997" s="166"/>
      <c r="AB2997" s="166"/>
      <c r="AC2997" s="166"/>
      <c r="AD2997" s="166"/>
      <c r="AE2997" s="166"/>
      <c r="AF2997" s="166"/>
      <c r="AG2997" s="166"/>
      <c r="AH2997" s="166"/>
      <c r="AI2997" s="166"/>
    </row>
    <row r="2998" spans="6:35" x14ac:dyDescent="0.25">
      <c r="G2998" s="165"/>
      <c r="H2998" s="166"/>
      <c r="I2998" s="167"/>
      <c r="J2998" s="167"/>
      <c r="K2998" s="166"/>
      <c r="L2998" s="166"/>
      <c r="M2998" s="166"/>
      <c r="N2998" s="166"/>
      <c r="O2998" s="166"/>
      <c r="P2998" s="166"/>
      <c r="Q2998" s="166"/>
      <c r="R2998" s="166"/>
      <c r="S2998" s="166"/>
      <c r="T2998" s="166"/>
      <c r="U2998" s="166"/>
      <c r="V2998" s="166"/>
      <c r="W2998" s="166"/>
      <c r="X2998" s="166"/>
      <c r="Y2998" s="166"/>
      <c r="Z2998" s="166"/>
      <c r="AA2998" s="166"/>
      <c r="AB2998" s="166"/>
      <c r="AC2998" s="166"/>
      <c r="AD2998" s="166"/>
      <c r="AE2998" s="166"/>
      <c r="AF2998" s="166"/>
      <c r="AG2998" s="166"/>
      <c r="AH2998" s="166"/>
      <c r="AI2998" s="166"/>
    </row>
    <row r="2999" spans="6:35" x14ac:dyDescent="0.25">
      <c r="G2999" s="165"/>
      <c r="H2999" s="166"/>
      <c r="I2999" s="167"/>
      <c r="J2999" s="167"/>
      <c r="K2999" s="166"/>
      <c r="L2999" s="166"/>
      <c r="M2999" s="166"/>
      <c r="N2999" s="166"/>
      <c r="O2999" s="166"/>
      <c r="P2999" s="166"/>
      <c r="Q2999" s="166"/>
      <c r="R2999" s="166"/>
      <c r="S2999" s="166"/>
      <c r="T2999" s="166"/>
      <c r="U2999" s="166"/>
      <c r="V2999" s="166"/>
      <c r="W2999" s="166"/>
      <c r="X2999" s="166"/>
      <c r="Y2999" s="166"/>
      <c r="Z2999" s="166"/>
      <c r="AA2999" s="166"/>
      <c r="AB2999" s="166"/>
      <c r="AC2999" s="166"/>
      <c r="AD2999" s="166"/>
      <c r="AE2999" s="166"/>
      <c r="AF2999" s="166"/>
      <c r="AG2999" s="166"/>
      <c r="AH2999" s="166"/>
      <c r="AI2999" s="166"/>
    </row>
    <row r="3000" spans="6:35" x14ac:dyDescent="0.25">
      <c r="G3000" s="158" t="s">
        <v>1099</v>
      </c>
      <c r="H3000" s="159" t="s">
        <v>1085</v>
      </c>
      <c r="I3000" s="160" t="s">
        <v>1096</v>
      </c>
      <c r="J3000" s="160" t="s">
        <v>1097</v>
      </c>
      <c r="K3000" s="159" t="s">
        <v>1084</v>
      </c>
      <c r="L3000" s="159" t="s">
        <v>1329</v>
      </c>
      <c r="M3000" s="159" t="s">
        <v>1330</v>
      </c>
      <c r="N3000" s="159" t="s">
        <v>1332</v>
      </c>
      <c r="O3000" s="159" t="s">
        <v>1333</v>
      </c>
      <c r="P3000" s="159"/>
      <c r="Q3000" s="159"/>
      <c r="R3000" s="159" t="s">
        <v>12</v>
      </c>
      <c r="S3000" s="159" t="s">
        <v>1014</v>
      </c>
      <c r="T3000" s="159" t="s">
        <v>935</v>
      </c>
      <c r="U3000" s="159" t="s">
        <v>1422</v>
      </c>
      <c r="V3000" s="159" t="s">
        <v>1088</v>
      </c>
      <c r="W3000" s="159" t="s">
        <v>1089</v>
      </c>
      <c r="X3000" s="159" t="s">
        <v>1090</v>
      </c>
      <c r="Y3000" s="159" t="s">
        <v>1091</v>
      </c>
      <c r="Z3000" s="159" t="s">
        <v>1092</v>
      </c>
      <c r="AA3000" s="159" t="s">
        <v>1093</v>
      </c>
      <c r="AB3000" s="159" t="s">
        <v>1094</v>
      </c>
      <c r="AC3000" s="159" t="s">
        <v>1095</v>
      </c>
      <c r="AD3000" s="159" t="s">
        <v>1341</v>
      </c>
      <c r="AE3000" s="159" t="s">
        <v>1376</v>
      </c>
      <c r="AF3000" s="159" t="s">
        <v>1105</v>
      </c>
      <c r="AG3000" s="159" t="s">
        <v>1106</v>
      </c>
      <c r="AH3000" s="159" t="s">
        <v>1512</v>
      </c>
      <c r="AI3000" s="159" t="s">
        <v>1514</v>
      </c>
    </row>
    <row r="3001" spans="6:35" x14ac:dyDescent="0.25">
      <c r="F3001" s="132" t="s">
        <v>1086</v>
      </c>
      <c r="G3001" s="134">
        <f>MAX(G1:G2999)+1</f>
        <v>1</v>
      </c>
      <c r="H3001" s="14" t="str">
        <f>Setup!AA45</f>
        <v>Initiative Game</v>
      </c>
      <c r="I3001" s="15">
        <f>Setup!AC32</f>
        <v>0</v>
      </c>
      <c r="J3001" s="15">
        <f>Setup!AC33</f>
        <v>0</v>
      </c>
      <c r="K3001" s="14" t="str">
        <f>IF(Battle!AD44=0,Reference!C107,Battle!AD44)&amp;IF(Setup!AB15="Earth Shaking Event","-Earth Shaking Event","")&amp;IF(Setup!AA45="Initiative Game",""," Vanguard Earned: "&amp;U3001)</f>
        <v>-The epic battle begins with Not Selected taking the first victory from Not Selected-</v>
      </c>
      <c r="L3001" s="14" t="str">
        <f>IF(Setup!AA45="Initiative Game","",IF(ISNA(VLOOKUP(L3000,Setup!$Y$28:$AC$29,5,0)),"Undecided",VLOOKUP(L3000,Setup!$Y$28:$AC$29,5,0)))</f>
        <v/>
      </c>
      <c r="M3001" s="14" t="str">
        <f>IF(Setup!AA45="Initiative Game","",IF(ISNA(VLOOKUP(M3000,Setup!$Y$28:$AC$29,5,0)),"Undecided",VLOOKUP(M3000,Setup!$Y$28:$AC$29,5,0)))</f>
        <v/>
      </c>
      <c r="N3001" s="14" t="str">
        <f>IF(Setup!AA45="Initiative Game","",Setup!AD28)</f>
        <v/>
      </c>
      <c r="O3001" s="14" t="str">
        <f>IF(Setup!AA45="Initiative Game","",Setup!AD29)</f>
        <v/>
      </c>
      <c r="R3001" s="14" t="str">
        <f>IF(Setup!AA45="Initiative Game","",Reference!H4)</f>
        <v/>
      </c>
      <c r="S3001" s="14" t="str">
        <f>IF(ISNA(IF(Setup!AA45="Initiative Game","",IF(LEFT(VLOOKUP("Attacking From",Setup!Y28:AE29,7,0),4)="Cons",VLOOKUP("Attacking From",Setup!Y28:AE29,7,0),""))),"Undecided",IF(Setup!AA45="Initiative Game","",IF(LEFT(VLOOKUP("Attacking From",Setup!Y28:AE29,7,0),4)="Cons",VLOOKUP("Attacking From",Setup!Y28:AE29,7,0),"")))</f>
        <v/>
      </c>
      <c r="T3001" s="14" t="str">
        <f>IF(ISNA(IF(Setup!AA45="Initiative Game","",IF(LEFT(VLOOKUP("Defending",Setup!$Y$28:$AE$29,7,0),4)="Hero",VLOOKUP("Defending",Setup!$Y$28:$AE$29,7,0),""))),"Undecided",IF(Setup!AA45="Initiative Game","",IF(LEFT(VLOOKUP("Defending",Setup!$Y$28:$AE$29,7,0),4)="Hero",VLOOKUP("Defending",Setup!$Y$28:$AE$29,7,0),"")))</f>
        <v/>
      </c>
      <c r="U3001" s="14" t="str">
        <f ca="1">Vanguard!C4</f>
        <v/>
      </c>
      <c r="V3001" s="14" t="str">
        <f>IF($H$3001="Initiative Game","",Setup!AC21)</f>
        <v/>
      </c>
      <c r="W3001" s="14" t="str">
        <f>IF($H$3001="Initiative Game","",Setup!AD21)</f>
        <v/>
      </c>
      <c r="X3001" s="14" t="str">
        <f>IF($H$3001="Initiative Game","",Setup!AC22)</f>
        <v/>
      </c>
      <c r="Y3001" s="14" t="str">
        <f>IF($H$3001="Initiative Game","",Setup!AD22)</f>
        <v/>
      </c>
      <c r="Z3001" s="14">
        <f>Setup!AC23</f>
        <v>0</v>
      </c>
      <c r="AA3001" s="14" t="str">
        <f>IF(H3001="Initiative Game","",Setup!AD23)</f>
        <v/>
      </c>
      <c r="AB3001" s="14">
        <f>Setup!AC24</f>
        <v>0</v>
      </c>
      <c r="AC3001" s="14" t="str">
        <f>IF(H3001="Initiative Game","",Setup!AD24)</f>
        <v/>
      </c>
      <c r="AD3001" s="14" t="str">
        <f>IF(Setup!AA45="Normal Game",IF(Setup!Y25="Attacker",Setup!AC48,""),"")</f>
        <v/>
      </c>
      <c r="AE3001" s="14" t="str">
        <f>IF(Setup!AA45="Initiative Game","",DefenseRef!C18)</f>
        <v/>
      </c>
      <c r="AF3001" s="14" t="str">
        <f>LEFT(Z3001,3)</f>
        <v>0</v>
      </c>
      <c r="AG3001" s="14" t="str">
        <f>LEFT(AB3001,3)</f>
        <v>0</v>
      </c>
      <c r="AH3001" s="14" t="str">
        <f>IF(Setup!AA45="Initiative Game","",IF(LEFT(V3001,3)=LEFT(Z3001,3),"",LEFT(Z3001,3)))</f>
        <v/>
      </c>
      <c r="AI3001" s="14">
        <f>J3001-I3001</f>
        <v>0</v>
      </c>
    </row>
    <row r="3002" spans="6:35" s="130" customFormat="1" x14ac:dyDescent="0.25">
      <c r="F3002" s="132"/>
      <c r="G3002" s="131"/>
      <c r="I3002" s="133"/>
      <c r="J3002" s="133"/>
    </row>
  </sheetData>
  <sortState ref="G2:AI2999">
    <sortCondition descending="1" ref="G2:G2999"/>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1:AO123"/>
  <sheetViews>
    <sheetView topLeftCell="J1" workbookViewId="0">
      <selection activeCell="AJ5" sqref="AJ5:AK46"/>
    </sheetView>
  </sheetViews>
  <sheetFormatPr defaultRowHeight="15" x14ac:dyDescent="0.25"/>
  <cols>
    <col min="2" max="2" width="21" bestFit="1" customWidth="1"/>
    <col min="3" max="3" width="33.140625" customWidth="1"/>
    <col min="4" max="4" width="27.5703125" customWidth="1"/>
    <col min="5" max="5" width="13.28515625" bestFit="1" customWidth="1"/>
    <col min="6" max="6" width="11.5703125" bestFit="1" customWidth="1"/>
    <col min="7" max="8" width="11.7109375" customWidth="1"/>
    <col min="9" max="9" width="11.85546875" customWidth="1"/>
    <col min="10" max="10" width="19.42578125" bestFit="1" customWidth="1"/>
    <col min="11" max="11" width="11.7109375" customWidth="1"/>
    <col min="12" max="12" width="5.5703125" bestFit="1" customWidth="1"/>
    <col min="13" max="13" width="17.85546875" bestFit="1" customWidth="1"/>
    <col min="14" max="14" width="15.140625" bestFit="1" customWidth="1"/>
    <col min="15" max="15" width="12.140625" bestFit="1" customWidth="1"/>
    <col min="22" max="22" width="17.5703125" bestFit="1" customWidth="1"/>
    <col min="23" max="23" width="12.28515625" bestFit="1" customWidth="1"/>
    <col min="24" max="24" width="18.85546875" bestFit="1" customWidth="1"/>
    <col min="26" max="26" width="14" bestFit="1" customWidth="1"/>
    <col min="27" max="28" width="18.85546875" bestFit="1" customWidth="1"/>
    <col min="29" max="30" width="18.140625" bestFit="1" customWidth="1"/>
    <col min="31" max="31" width="18.85546875" bestFit="1" customWidth="1"/>
    <col min="32" max="32" width="11.7109375" bestFit="1" customWidth="1"/>
    <col min="33" max="33" width="11.28515625" bestFit="1" customWidth="1"/>
  </cols>
  <sheetData>
    <row r="1" spans="2:41" x14ac:dyDescent="0.25">
      <c r="Z1" s="117" t="s">
        <v>1066</v>
      </c>
    </row>
    <row r="2" spans="2:41" x14ac:dyDescent="0.25">
      <c r="B2" t="s">
        <v>1063</v>
      </c>
      <c r="C2" t="s">
        <v>1064</v>
      </c>
      <c r="E2" t="s">
        <v>1111</v>
      </c>
      <c r="F2" t="s">
        <v>1081</v>
      </c>
    </row>
    <row r="3" spans="2:41" x14ac:dyDescent="0.25">
      <c r="B3" t="s">
        <v>1021</v>
      </c>
      <c r="C3" t="s">
        <v>1042</v>
      </c>
      <c r="E3" t="s">
        <v>1021</v>
      </c>
      <c r="F3" t="str">
        <f>'PL1'!$J$7&amp;" - "&amp;RIGHT(E3,2)</f>
        <v>Patrick - 01</v>
      </c>
      <c r="H3" s="4" t="s">
        <v>1365</v>
      </c>
      <c r="I3" s="4"/>
      <c r="J3" s="4"/>
      <c r="O3" t="s">
        <v>819</v>
      </c>
      <c r="V3" t="s">
        <v>995</v>
      </c>
      <c r="AM3" t="s">
        <v>1152</v>
      </c>
      <c r="AN3" t="s">
        <v>383</v>
      </c>
    </row>
    <row r="4" spans="2:41" x14ac:dyDescent="0.25">
      <c r="B4" t="s">
        <v>1042</v>
      </c>
      <c r="C4" t="s">
        <v>1021</v>
      </c>
      <c r="E4" t="s">
        <v>1022</v>
      </c>
      <c r="F4" t="str">
        <f>'PL1'!$J$7&amp;" - "&amp;RIGHT(E4,2)</f>
        <v>Patrick - 02</v>
      </c>
      <c r="H4" s="4" t="str">
        <f ca="1">Setup!AB26&amp;IF(Setup!Y26="Attacker",VLOOKUP(RANDBETWEEN(1,6),H5:I10,2,0),"Death")</f>
        <v>UndecidedDeath</v>
      </c>
      <c r="I4" s="4" t="s">
        <v>1363</v>
      </c>
      <c r="J4" s="4" t="s">
        <v>1362</v>
      </c>
      <c r="M4" t="str">
        <f>IF(Setup!AC55="Move","No Move In Range","No Attack in Range")</f>
        <v>No Attack in Range</v>
      </c>
      <c r="N4" t="s">
        <v>1326</v>
      </c>
      <c r="O4">
        <f>Setup!AC48</f>
        <v>0</v>
      </c>
      <c r="V4" t="s">
        <v>995</v>
      </c>
      <c r="X4" t="s">
        <v>805</v>
      </c>
      <c r="AJ4" t="s">
        <v>812</v>
      </c>
      <c r="AL4" t="s">
        <v>935</v>
      </c>
    </row>
    <row r="5" spans="2:41" x14ac:dyDescent="0.25">
      <c r="B5" t="s">
        <v>1022</v>
      </c>
      <c r="C5" t="s">
        <v>1043</v>
      </c>
      <c r="E5" t="s">
        <v>1023</v>
      </c>
      <c r="F5" t="str">
        <f>'PL1'!$J$7&amp;" - "&amp;RIGHT(E5,2)</f>
        <v>Patrick - 03</v>
      </c>
      <c r="H5" s="4">
        <v>1</v>
      </c>
      <c r="I5" s="4" t="s">
        <v>1366</v>
      </c>
      <c r="J5" s="4" t="s">
        <v>1356</v>
      </c>
      <c r="M5" s="4" t="str">
        <f>IF(Setup!$AC$55="Move",IF(COUNTIF(P5:U5,$O$4)=0,IF(COUNTIF(P5:U5,"Dea")=0,X5,""),""),IF($O$4=W5,IF(N5=O5,X5,IF(COUNTIF(P5:U5,Setup!$AC$49)=0,X5,"")),""))</f>
        <v/>
      </c>
      <c r="N5">
        <f>6-COUNTBLANK(P5:U5)</f>
        <v>0</v>
      </c>
      <c r="O5">
        <f>COUNTIF(P5:U5,$O$4)</f>
        <v>0</v>
      </c>
      <c r="P5" s="4" t="str">
        <f>IF(ISNA(LEFT(VLOOKUP(AA5,MapReference!$Q$9:$S$50,3,0),3)),"",LEFT(VLOOKUP(AA5,MapReference!$Q$9:$S$50,3,0),3))</f>
        <v/>
      </c>
      <c r="Q5" s="4" t="str">
        <f>IF(ISNA(LEFT(VLOOKUP(AB5,MapReference!$Q$9:$S$50,3,0),3)),"",LEFT(VLOOKUP(AB5,MapReference!$Q$9:$S$50,3,0),3))</f>
        <v/>
      </c>
      <c r="R5" s="4" t="str">
        <f>IF(ISNA(LEFT(VLOOKUP(AC5,MapReference!$Q$9:$S$50,3,0),3)),"",LEFT(VLOOKUP(AC5,MapReference!$Q$9:$S$50,3,0),3))</f>
        <v/>
      </c>
      <c r="S5" s="4" t="str">
        <f>IF(ISNA(LEFT(VLOOKUP(AD5,MapReference!$Q$9:$S$50,3,0),3)),"",LEFT(VLOOKUP(AD5,MapReference!$Q$9:$S$50,3,0),3))</f>
        <v/>
      </c>
      <c r="T5" s="4" t="str">
        <f>IF(ISNA(LEFT(VLOOKUP(AE5,MapReference!$Q$9:$S$50,3,0),3)),"",LEFT(VLOOKUP(AE5,MapReference!$Q$9:$S$50,3,0),3))</f>
        <v/>
      </c>
      <c r="U5" s="4" t="str">
        <f>IF(ISNA(LEFT(VLOOKUP(AF5,MapReference!$Q$9:$S$50,3,0),3)),"",LEFT(VLOOKUP(AF5,MapReference!$Q$9:$S$50,3,0),3))</f>
        <v/>
      </c>
      <c r="V5" t="str">
        <f>W5&amp;Y5</f>
        <v>Africa</v>
      </c>
      <c r="W5" t="str">
        <f>LEFT(VLOOKUP(X5,MapReference!$Q$9:$S$50,3,0),3)</f>
        <v/>
      </c>
      <c r="X5" s="4" t="s">
        <v>824</v>
      </c>
      <c r="Y5" s="4" t="s">
        <v>394</v>
      </c>
      <c r="Z5" s="4" t="s">
        <v>5</v>
      </c>
      <c r="AA5" s="4" t="s">
        <v>823</v>
      </c>
      <c r="AB5" s="4" t="s">
        <v>825</v>
      </c>
      <c r="AC5" s="4" t="s">
        <v>821</v>
      </c>
      <c r="AD5" s="4" t="s">
        <v>995</v>
      </c>
      <c r="AE5" s="4" t="s">
        <v>995</v>
      </c>
      <c r="AF5" s="4" t="s">
        <v>995</v>
      </c>
      <c r="AJ5" s="147">
        <f ca="1">RAND()</f>
        <v>0.38444914741146841</v>
      </c>
      <c r="AK5" t="str">
        <f>"Hero-"&amp;AL5</f>
        <v>Hero-The Champion</v>
      </c>
      <c r="AL5" s="4" t="s">
        <v>1113</v>
      </c>
      <c r="AM5" s="4"/>
      <c r="AN5" s="4"/>
      <c r="AO5" s="4" t="s">
        <v>1120</v>
      </c>
    </row>
    <row r="6" spans="2:41" x14ac:dyDescent="0.25">
      <c r="B6" t="s">
        <v>1043</v>
      </c>
      <c r="C6" t="s">
        <v>1022</v>
      </c>
      <c r="E6" t="s">
        <v>1024</v>
      </c>
      <c r="F6" t="str">
        <f>'PL1'!$J$7&amp;" - "&amp;RIGHT(E6,2)</f>
        <v>Patrick - 04</v>
      </c>
      <c r="H6" s="4">
        <v>2</v>
      </c>
      <c r="I6" s="4" t="s">
        <v>385</v>
      </c>
      <c r="J6" s="4" t="s">
        <v>868</v>
      </c>
      <c r="M6" s="4" t="str">
        <f>IF(Setup!$AC$55="Move",IF(COUNTIF(P6:U6,$O$4)=0,IF(COUNTIF(P6:U6,"Dea")=0,X6,""),""),IF($O$4=W6,IF(N6=O6,X6,IF(COUNTIF(P6:U6,Setup!$AC$49)=0,X6,"")),""))</f>
        <v/>
      </c>
      <c r="N6">
        <f t="shared" ref="N6:N46" si="0">6-COUNTBLANK(P6:U6)</f>
        <v>0</v>
      </c>
      <c r="O6">
        <f t="shared" ref="O6:O46" si="1">COUNTIF(P6:U6,$O$4)</f>
        <v>0</v>
      </c>
      <c r="P6" s="4" t="str">
        <f>IF(ISNA(LEFT(VLOOKUP(AA6,MapReference!$Q$9:$S$50,3,0),3)),"",LEFT(VLOOKUP(AA6,MapReference!$Q$9:$S$50,3,0),3))</f>
        <v/>
      </c>
      <c r="Q6" s="4" t="str">
        <f>IF(ISNA(LEFT(VLOOKUP(AB6,MapReference!$Q$9:$S$50,3,0),3)),"",LEFT(VLOOKUP(AB6,MapReference!$Q$9:$S$50,3,0),3))</f>
        <v/>
      </c>
      <c r="R6" s="4" t="str">
        <f>IF(ISNA(LEFT(VLOOKUP(AC6,MapReference!$Q$9:$S$50,3,0),3)),"",LEFT(VLOOKUP(AC6,MapReference!$Q$9:$S$50,3,0),3))</f>
        <v/>
      </c>
      <c r="S6" s="4" t="str">
        <f>IF(ISNA(LEFT(VLOOKUP(AD6,MapReference!$Q$9:$S$50,3,0),3)),"",LEFT(VLOOKUP(AD6,MapReference!$Q$9:$S$50,3,0),3))</f>
        <v/>
      </c>
      <c r="T6" s="4" t="str">
        <f>IF(ISNA(LEFT(VLOOKUP(AE6,MapReference!$Q$9:$S$50,3,0),3)),"",LEFT(VLOOKUP(AE6,MapReference!$Q$9:$S$50,3,0),3))</f>
        <v/>
      </c>
      <c r="U6" s="4" t="str">
        <f>IF(ISNA(LEFT(VLOOKUP(AF6,MapReference!$Q$9:$S$50,3,0),3)),"",LEFT(VLOOKUP(AF6,MapReference!$Q$9:$S$50,3,0),3))</f>
        <v/>
      </c>
      <c r="V6" t="str">
        <f t="shared" ref="V6:V46" si="2">W6&amp;Y6</f>
        <v>Africa</v>
      </c>
      <c r="W6" t="str">
        <f>LEFT(VLOOKUP(X6,MapReference!$Q$9:$S$50,3,0),3)</f>
        <v/>
      </c>
      <c r="X6" s="4" t="s">
        <v>823</v>
      </c>
      <c r="Y6" s="4" t="s">
        <v>394</v>
      </c>
      <c r="Z6" s="4" t="s">
        <v>5</v>
      </c>
      <c r="AA6" s="4" t="s">
        <v>822</v>
      </c>
      <c r="AB6" s="4" t="s">
        <v>821</v>
      </c>
      <c r="AC6" s="4" t="s">
        <v>824</v>
      </c>
      <c r="AD6" s="4" t="s">
        <v>825</v>
      </c>
      <c r="AE6" s="4" t="s">
        <v>826</v>
      </c>
      <c r="AF6" s="4" t="s">
        <v>836</v>
      </c>
      <c r="AJ6" s="147">
        <f t="shared" ref="AJ6:AJ46" ca="1" si="3">RAND()</f>
        <v>0.57099384942024323</v>
      </c>
      <c r="AK6" t="str">
        <f t="shared" ref="AK6:AK25" si="4">"Hero-"&amp;AL6</f>
        <v>Hero-The Explorer</v>
      </c>
      <c r="AL6" s="4" t="s">
        <v>1114</v>
      </c>
      <c r="AM6" s="4"/>
      <c r="AN6" s="4"/>
      <c r="AO6" s="4" t="s">
        <v>1115</v>
      </c>
    </row>
    <row r="7" spans="2:41" x14ac:dyDescent="0.25">
      <c r="B7" t="s">
        <v>1023</v>
      </c>
      <c r="C7" t="s">
        <v>1044</v>
      </c>
      <c r="E7" t="s">
        <v>1025</v>
      </c>
      <c r="F7" t="str">
        <f>'PL1'!$J$7&amp;" - "&amp;RIGHT(E7,2)</f>
        <v>Patrick - 05</v>
      </c>
      <c r="H7" s="4">
        <v>3</v>
      </c>
      <c r="I7" s="4" t="s">
        <v>1360</v>
      </c>
      <c r="J7" s="4" t="s">
        <v>1361</v>
      </c>
      <c r="M7" s="4" t="str">
        <f>IF(Setup!$AC$55="Move",IF(COUNTIF(P7:U7,$O$4)=0,IF(COUNTIF(P7:U7,"Dea")=0,X7,""),""),IF($O$4=W7,IF(N7=O7,X7,IF(COUNTIF(P7:U7,Setup!$AC$49)=0,X7,"")),""))</f>
        <v/>
      </c>
      <c r="N7">
        <f t="shared" si="0"/>
        <v>0</v>
      </c>
      <c r="O7">
        <f t="shared" si="1"/>
        <v>0</v>
      </c>
      <c r="P7" s="4" t="str">
        <f>IF(ISNA(LEFT(VLOOKUP(AA7,MapReference!$Q$9:$S$50,3,0),3)),"",LEFT(VLOOKUP(AA7,MapReference!$Q$9:$S$50,3,0),3))</f>
        <v/>
      </c>
      <c r="Q7" s="4" t="str">
        <f>IF(ISNA(LEFT(VLOOKUP(AB7,MapReference!$Q$9:$S$50,3,0),3)),"",LEFT(VLOOKUP(AB7,MapReference!$Q$9:$S$50,3,0),3))</f>
        <v/>
      </c>
      <c r="R7" s="4" t="str">
        <f>IF(ISNA(LEFT(VLOOKUP(AC7,MapReference!$Q$9:$S$50,3,0),3)),"",LEFT(VLOOKUP(AC7,MapReference!$Q$9:$S$50,3,0),3))</f>
        <v/>
      </c>
      <c r="S7" s="4" t="str">
        <f>IF(ISNA(LEFT(VLOOKUP(AD7,MapReference!$Q$9:$S$50,3,0),3)),"",LEFT(VLOOKUP(AD7,MapReference!$Q$9:$S$50,3,0),3))</f>
        <v/>
      </c>
      <c r="T7" s="4" t="str">
        <f>IF(ISNA(LEFT(VLOOKUP(AE7,MapReference!$Q$9:$S$50,3,0),3)),"",LEFT(VLOOKUP(AE7,MapReference!$Q$9:$S$50,3,0),3))</f>
        <v/>
      </c>
      <c r="U7" s="4" t="str">
        <f>IF(ISNA(LEFT(VLOOKUP(AF7,MapReference!$Q$9:$S$50,3,0),3)),"",LEFT(VLOOKUP(AF7,MapReference!$Q$9:$S$50,3,0),3))</f>
        <v/>
      </c>
      <c r="V7" t="str">
        <f t="shared" si="2"/>
        <v>Africa</v>
      </c>
      <c r="W7" t="str">
        <f>LEFT(VLOOKUP(X7,MapReference!$Q$9:$S$50,3,0),3)</f>
        <v/>
      </c>
      <c r="X7" s="4" t="s">
        <v>822</v>
      </c>
      <c r="Y7" s="4" t="s">
        <v>394</v>
      </c>
      <c r="Z7" s="4" t="s">
        <v>5</v>
      </c>
      <c r="AA7" s="4" t="s">
        <v>836</v>
      </c>
      <c r="AB7" s="4" t="s">
        <v>853</v>
      </c>
      <c r="AC7" s="4" t="s">
        <v>821</v>
      </c>
      <c r="AD7" s="4" t="s">
        <v>823</v>
      </c>
      <c r="AE7" s="4" t="s">
        <v>995</v>
      </c>
      <c r="AF7" s="4" t="s">
        <v>995</v>
      </c>
      <c r="AJ7" s="147">
        <f t="shared" ca="1" si="3"/>
        <v>0.61530970543116381</v>
      </c>
      <c r="AK7" t="str">
        <f t="shared" si="4"/>
        <v>Hero-Cloak of the Philosopher</v>
      </c>
      <c r="AL7" s="4" t="s">
        <v>1116</v>
      </c>
      <c r="AM7" s="4"/>
      <c r="AN7" s="4"/>
      <c r="AO7" s="4" t="s">
        <v>1117</v>
      </c>
    </row>
    <row r="8" spans="2:41" x14ac:dyDescent="0.25">
      <c r="B8" t="s">
        <v>1044</v>
      </c>
      <c r="C8" t="s">
        <v>1023</v>
      </c>
      <c r="E8" t="s">
        <v>1026</v>
      </c>
      <c r="F8" t="str">
        <f>'PL1'!$J$7&amp;" - "&amp;RIGHT(E8,2)</f>
        <v>Patrick - 06</v>
      </c>
      <c r="H8" s="4">
        <v>4</v>
      </c>
      <c r="I8" s="4" t="s">
        <v>1368</v>
      </c>
      <c r="J8" s="4" t="s">
        <v>1357</v>
      </c>
      <c r="M8" s="4" t="str">
        <f>IF(Setup!$AC$55="Move",IF(COUNTIF(P8:U8,$O$4)=0,IF(COUNTIF(P8:U8,"Dea")=0,X8,""),""),IF($O$4=W8,IF(N8=O8,X8,IF(COUNTIF(P8:U8,Setup!$AC$49)=0,X8,"")),""))</f>
        <v/>
      </c>
      <c r="N8">
        <f t="shared" si="0"/>
        <v>0</v>
      </c>
      <c r="O8">
        <f t="shared" si="1"/>
        <v>0</v>
      </c>
      <c r="P8" s="4" t="str">
        <f>IF(ISNA(LEFT(VLOOKUP(AA8,MapReference!$Q$9:$S$50,3,0),3)),"",LEFT(VLOOKUP(AA8,MapReference!$Q$9:$S$50,3,0),3))</f>
        <v/>
      </c>
      <c r="Q8" s="4" t="str">
        <f>IF(ISNA(LEFT(VLOOKUP(AB8,MapReference!$Q$9:$S$50,3,0),3)),"",LEFT(VLOOKUP(AB8,MapReference!$Q$9:$S$50,3,0),3))</f>
        <v/>
      </c>
      <c r="R8" s="4" t="str">
        <f>IF(ISNA(LEFT(VLOOKUP(AC8,MapReference!$Q$9:$S$50,3,0),3)),"",LEFT(VLOOKUP(AC8,MapReference!$Q$9:$S$50,3,0),3))</f>
        <v/>
      </c>
      <c r="S8" s="4" t="str">
        <f>IF(ISNA(LEFT(VLOOKUP(AD8,MapReference!$Q$9:$S$50,3,0),3)),"",LEFT(VLOOKUP(AD8,MapReference!$Q$9:$S$50,3,0),3))</f>
        <v/>
      </c>
      <c r="T8" s="4" t="str">
        <f>IF(ISNA(LEFT(VLOOKUP(AE8,MapReference!$Q$9:$S$50,3,0),3)),"",LEFT(VLOOKUP(AE8,MapReference!$Q$9:$S$50,3,0),3))</f>
        <v/>
      </c>
      <c r="U8" s="4" t="str">
        <f>IF(ISNA(LEFT(VLOOKUP(AF8,MapReference!$Q$9:$S$50,3,0),3)),"",LEFT(VLOOKUP(AF8,MapReference!$Q$9:$S$50,3,0),3))</f>
        <v/>
      </c>
      <c r="V8" t="str">
        <f t="shared" si="2"/>
        <v>Africa</v>
      </c>
      <c r="W8" t="str">
        <f>LEFT(VLOOKUP(X8,MapReference!$Q$9:$S$50,3,0),3)</f>
        <v/>
      </c>
      <c r="X8" s="4" t="s">
        <v>826</v>
      </c>
      <c r="Y8" s="4" t="s">
        <v>394</v>
      </c>
      <c r="Z8" s="4" t="s">
        <v>5</v>
      </c>
      <c r="AA8" s="4" t="s">
        <v>825</v>
      </c>
      <c r="AB8" s="4" t="s">
        <v>823</v>
      </c>
      <c r="AC8" s="4" t="s">
        <v>995</v>
      </c>
      <c r="AD8" s="4" t="s">
        <v>995</v>
      </c>
      <c r="AE8" s="4" t="s">
        <v>995</v>
      </c>
      <c r="AF8" s="4" t="s">
        <v>995</v>
      </c>
      <c r="AJ8" s="147">
        <f t="shared" ca="1" si="3"/>
        <v>0.71782013638984732</v>
      </c>
      <c r="AK8" t="str">
        <f t="shared" si="4"/>
        <v>Hero-The Avenger</v>
      </c>
      <c r="AL8" s="4" t="s">
        <v>1118</v>
      </c>
      <c r="AM8" s="4"/>
      <c r="AN8" s="4"/>
      <c r="AO8" s="4" t="s">
        <v>1119</v>
      </c>
    </row>
    <row r="9" spans="2:41" x14ac:dyDescent="0.25">
      <c r="B9" t="s">
        <v>1024</v>
      </c>
      <c r="C9" t="s">
        <v>1045</v>
      </c>
      <c r="E9" t="s">
        <v>1027</v>
      </c>
      <c r="F9" t="str">
        <f>'PL1'!$J$7&amp;" - "&amp;RIGHT(E9,2)</f>
        <v>Patrick - 07</v>
      </c>
      <c r="H9" s="4">
        <v>5</v>
      </c>
      <c r="I9" s="4" t="s">
        <v>383</v>
      </c>
      <c r="J9" s="4" t="s">
        <v>1358</v>
      </c>
      <c r="M9" s="4" t="str">
        <f>IF(Setup!$AC$55="Move",IF(COUNTIF(P9:U9,$O$4)=0,IF(COUNTIF(P9:U9,"Dea")=0,X9,""),""),IF($O$4=W9,IF(N9=O9,X9,IF(COUNTIF(P9:U9,Setup!$AC$49)=0,X9,"")),""))</f>
        <v/>
      </c>
      <c r="N9">
        <f t="shared" si="0"/>
        <v>0</v>
      </c>
      <c r="O9">
        <f t="shared" si="1"/>
        <v>0</v>
      </c>
      <c r="P9" s="4" t="str">
        <f>IF(ISNA(LEFT(VLOOKUP(AA9,MapReference!$Q$9:$S$50,3,0),3)),"",LEFT(VLOOKUP(AA9,MapReference!$Q$9:$S$50,3,0),3))</f>
        <v/>
      </c>
      <c r="Q9" s="4" t="str">
        <f>IF(ISNA(LEFT(VLOOKUP(AB9,MapReference!$Q$9:$S$50,3,0),3)),"",LEFT(VLOOKUP(AB9,MapReference!$Q$9:$S$50,3,0),3))</f>
        <v/>
      </c>
      <c r="R9" s="4" t="str">
        <f>IF(ISNA(LEFT(VLOOKUP(AC9,MapReference!$Q$9:$S$50,3,0),3)),"",LEFT(VLOOKUP(AC9,MapReference!$Q$9:$S$50,3,0),3))</f>
        <v/>
      </c>
      <c r="S9" s="4" t="str">
        <f>IF(ISNA(LEFT(VLOOKUP(AD9,MapReference!$Q$9:$S$50,3,0),3)),"",LEFT(VLOOKUP(AD9,MapReference!$Q$9:$S$50,3,0),3))</f>
        <v/>
      </c>
      <c r="T9" s="4" t="str">
        <f>IF(ISNA(LEFT(VLOOKUP(AE9,MapReference!$Q$9:$S$50,3,0),3)),"",LEFT(VLOOKUP(AE9,MapReference!$Q$9:$S$50,3,0),3))</f>
        <v/>
      </c>
      <c r="U9" s="4" t="str">
        <f>IF(ISNA(LEFT(VLOOKUP(AF9,MapReference!$Q$9:$S$50,3,0),3)),"",LEFT(VLOOKUP(AF9,MapReference!$Q$9:$S$50,3,0),3))</f>
        <v/>
      </c>
      <c r="V9" t="str">
        <f t="shared" si="2"/>
        <v>Africa</v>
      </c>
      <c r="W9" t="str">
        <f>LEFT(VLOOKUP(X9,MapReference!$Q$9:$S$50,3,0),3)</f>
        <v/>
      </c>
      <c r="X9" s="4" t="s">
        <v>821</v>
      </c>
      <c r="Y9" s="4" t="s">
        <v>394</v>
      </c>
      <c r="Z9" s="4" t="s">
        <v>5</v>
      </c>
      <c r="AA9" s="4" t="s">
        <v>824</v>
      </c>
      <c r="AB9" s="4" t="s">
        <v>844</v>
      </c>
      <c r="AC9" s="4" t="s">
        <v>852</v>
      </c>
      <c r="AD9" s="4" t="s">
        <v>853</v>
      </c>
      <c r="AE9" s="4" t="s">
        <v>822</v>
      </c>
      <c r="AF9" s="4" t="s">
        <v>823</v>
      </c>
      <c r="AJ9" s="147">
        <f t="shared" ca="1" si="3"/>
        <v>0.35625741517978471</v>
      </c>
      <c r="AK9" t="str">
        <f t="shared" si="4"/>
        <v>Hero-The Warmonger</v>
      </c>
      <c r="AL9" s="4" t="s">
        <v>1121</v>
      </c>
      <c r="AM9" s="4"/>
      <c r="AN9" s="4"/>
      <c r="AO9" s="4" t="s">
        <v>1122</v>
      </c>
    </row>
    <row r="10" spans="2:41" x14ac:dyDescent="0.25">
      <c r="B10" t="s">
        <v>1045</v>
      </c>
      <c r="C10" t="s">
        <v>1024</v>
      </c>
      <c r="E10" t="s">
        <v>1028</v>
      </c>
      <c r="F10" t="str">
        <f>'PL1'!$J$7&amp;" - "&amp;RIGHT(E10,2)</f>
        <v>Patrick - 08</v>
      </c>
      <c r="H10" s="4">
        <v>6</v>
      </c>
      <c r="I10" s="4" t="s">
        <v>1367</v>
      </c>
      <c r="J10" s="4" t="s">
        <v>1359</v>
      </c>
      <c r="M10" s="4" t="str">
        <f>IF(Setup!$AC$55="Move",IF(COUNTIF(P10:U10,$O$4)=0,IF(COUNTIF(P10:U10,"Dea")=0,X10,""),""),IF($O$4=W10,IF(N10=O10,X10,IF(COUNTIF(P10:U10,Setup!$AC$49)=0,X10,"")),""))</f>
        <v/>
      </c>
      <c r="N10">
        <f t="shared" si="0"/>
        <v>0</v>
      </c>
      <c r="O10">
        <f t="shared" si="1"/>
        <v>0</v>
      </c>
      <c r="P10" s="4" t="str">
        <f>IF(ISNA(LEFT(VLOOKUP(AA10,MapReference!$Q$9:$S$50,3,0),3)),"",LEFT(VLOOKUP(AA10,MapReference!$Q$9:$S$50,3,0),3))</f>
        <v/>
      </c>
      <c r="Q10" s="4" t="str">
        <f>IF(ISNA(LEFT(VLOOKUP(AB10,MapReference!$Q$9:$S$50,3,0),3)),"",LEFT(VLOOKUP(AB10,MapReference!$Q$9:$S$50,3,0),3))</f>
        <v/>
      </c>
      <c r="R10" s="4" t="str">
        <f>IF(ISNA(LEFT(VLOOKUP(AC10,MapReference!$Q$9:$S$50,3,0),3)),"",LEFT(VLOOKUP(AC10,MapReference!$Q$9:$S$50,3,0),3))</f>
        <v/>
      </c>
      <c r="S10" s="4" t="str">
        <f>IF(ISNA(LEFT(VLOOKUP(AD10,MapReference!$Q$9:$S$50,3,0),3)),"",LEFT(VLOOKUP(AD10,MapReference!$Q$9:$S$50,3,0),3))</f>
        <v/>
      </c>
      <c r="T10" s="4" t="str">
        <f>IF(ISNA(LEFT(VLOOKUP(AE10,MapReference!$Q$9:$S$50,3,0),3)),"",LEFT(VLOOKUP(AE10,MapReference!$Q$9:$S$50,3,0),3))</f>
        <v/>
      </c>
      <c r="U10" s="4" t="str">
        <f>IF(ISNA(LEFT(VLOOKUP(AF10,MapReference!$Q$9:$S$50,3,0),3)),"",LEFT(VLOOKUP(AF10,MapReference!$Q$9:$S$50,3,0),3))</f>
        <v/>
      </c>
      <c r="V10" t="str">
        <f t="shared" si="2"/>
        <v>Africa</v>
      </c>
      <c r="W10" t="str">
        <f>LEFT(VLOOKUP(X10,MapReference!$Q$9:$S$50,3,0),3)</f>
        <v/>
      </c>
      <c r="X10" s="4" t="s">
        <v>825</v>
      </c>
      <c r="Y10" s="4" t="s">
        <v>394</v>
      </c>
      <c r="Z10" s="4" t="s">
        <v>5</v>
      </c>
      <c r="AA10" s="4" t="s">
        <v>824</v>
      </c>
      <c r="AB10" s="4" t="s">
        <v>823</v>
      </c>
      <c r="AC10" s="4" t="s">
        <v>826</v>
      </c>
      <c r="AD10" s="4" t="s">
        <v>995</v>
      </c>
      <c r="AE10" s="4" t="s">
        <v>995</v>
      </c>
      <c r="AF10" s="4" t="s">
        <v>995</v>
      </c>
      <c r="AJ10" s="147">
        <f t="shared" ca="1" si="3"/>
        <v>0.16097152542441717</v>
      </c>
      <c r="AK10" t="str">
        <f t="shared" si="4"/>
        <v>Hero-The Destined</v>
      </c>
      <c r="AL10" s="4" t="s">
        <v>1123</v>
      </c>
      <c r="AM10" s="4"/>
      <c r="AN10" s="4"/>
      <c r="AO10" s="4" t="s">
        <v>1124</v>
      </c>
    </row>
    <row r="11" spans="2:41" x14ac:dyDescent="0.25">
      <c r="B11" t="s">
        <v>1025</v>
      </c>
      <c r="C11" t="s">
        <v>1046</v>
      </c>
      <c r="E11" t="s">
        <v>1029</v>
      </c>
      <c r="F11" t="str">
        <f>'PL1'!$J$7&amp;" - "&amp;RIGHT(E11,2)</f>
        <v>Patrick - 09</v>
      </c>
      <c r="M11" s="4" t="str">
        <f>IF(Setup!$AC$55="Move",IF(COUNTIF(P11:U11,$O$4)=0,IF(COUNTIF(P11:U11,"Dea")=0,X11,""),""),IF($O$4=W11,IF(N11=O11,X11,IF(COUNTIF(P11:U11,Setup!$AC$49)=0,X11,"")),""))</f>
        <v/>
      </c>
      <c r="N11">
        <f t="shared" si="0"/>
        <v>0</v>
      </c>
      <c r="O11">
        <f t="shared" si="1"/>
        <v>0</v>
      </c>
      <c r="P11" s="4" t="str">
        <f>IF(ISNA(LEFT(VLOOKUP(AA11,MapReference!$Q$9:$S$50,3,0),3)),"",LEFT(VLOOKUP(AA11,MapReference!$Q$9:$S$50,3,0),3))</f>
        <v/>
      </c>
      <c r="Q11" s="4" t="str">
        <f>IF(ISNA(LEFT(VLOOKUP(AB11,MapReference!$Q$9:$S$50,3,0),3)),"",LEFT(VLOOKUP(AB11,MapReference!$Q$9:$S$50,3,0),3))</f>
        <v/>
      </c>
      <c r="R11" s="4" t="str">
        <f>IF(ISNA(LEFT(VLOOKUP(AC11,MapReference!$Q$9:$S$50,3,0),3)),"",LEFT(VLOOKUP(AC11,MapReference!$Q$9:$S$50,3,0),3))</f>
        <v/>
      </c>
      <c r="S11" s="4" t="str">
        <f>IF(ISNA(LEFT(VLOOKUP(AD11,MapReference!$Q$9:$S$50,3,0),3)),"",LEFT(VLOOKUP(AD11,MapReference!$Q$9:$S$50,3,0),3))</f>
        <v/>
      </c>
      <c r="T11" s="4" t="str">
        <f>IF(ISNA(LEFT(VLOOKUP(AE11,MapReference!$Q$9:$S$50,3,0),3)),"",LEFT(VLOOKUP(AE11,MapReference!$Q$9:$S$50,3,0),3))</f>
        <v/>
      </c>
      <c r="U11" s="4" t="str">
        <f>IF(ISNA(LEFT(VLOOKUP(AF11,MapReference!$Q$9:$S$50,3,0),3)),"",LEFT(VLOOKUP(AF11,MapReference!$Q$9:$S$50,3,0),3))</f>
        <v/>
      </c>
      <c r="V11" t="str">
        <f t="shared" si="2"/>
        <v>Asia</v>
      </c>
      <c r="W11" t="str">
        <f>LEFT(VLOOKUP(X11,MapReference!$Q$9:$S$50,3,0),3)</f>
        <v/>
      </c>
      <c r="X11" s="4" t="s">
        <v>832</v>
      </c>
      <c r="Y11" s="4" t="s">
        <v>392</v>
      </c>
      <c r="Z11" s="4" t="s">
        <v>7</v>
      </c>
      <c r="AA11" s="4" t="s">
        <v>829</v>
      </c>
      <c r="AB11" s="4" t="s">
        <v>835</v>
      </c>
      <c r="AC11" s="4" t="s">
        <v>837</v>
      </c>
      <c r="AD11" s="4" t="s">
        <v>836</v>
      </c>
      <c r="AE11" s="4" t="s">
        <v>851</v>
      </c>
      <c r="AF11" s="4" t="s">
        <v>995</v>
      </c>
      <c r="AJ11" s="147">
        <f t="shared" ca="1" si="3"/>
        <v>0.73041056052960374</v>
      </c>
      <c r="AK11" t="str">
        <f t="shared" si="4"/>
        <v>Hero-The Philosopher</v>
      </c>
      <c r="AL11" s="4" t="s">
        <v>1125</v>
      </c>
      <c r="AM11" s="4"/>
      <c r="AN11" s="4"/>
      <c r="AO11" s="4" t="s">
        <v>1126</v>
      </c>
    </row>
    <row r="12" spans="2:41" x14ac:dyDescent="0.25">
      <c r="B12" t="s">
        <v>1046</v>
      </c>
      <c r="C12" t="s">
        <v>1025</v>
      </c>
      <c r="E12" t="s">
        <v>1030</v>
      </c>
      <c r="F12" t="str">
        <f>'PL1'!$J$7&amp;" - "&amp;RIGHT(E12,2)</f>
        <v>Patrick - 10</v>
      </c>
      <c r="H12" s="4" t="s">
        <v>1401</v>
      </c>
      <c r="I12" s="4"/>
      <c r="J12" s="4"/>
      <c r="M12" s="4" t="str">
        <f>IF(Setup!$AC$55="Move",IF(COUNTIF(P12:U12,$O$4)=0,IF(COUNTIF(P12:U12,"Dea")=0,X12,""),""),IF($O$4=W12,IF(N12=O12,X12,IF(COUNTIF(P12:U12,Setup!$AC$49)=0,X12,"")),""))</f>
        <v/>
      </c>
      <c r="N12">
        <f t="shared" si="0"/>
        <v>0</v>
      </c>
      <c r="O12">
        <f t="shared" si="1"/>
        <v>0</v>
      </c>
      <c r="P12" s="4" t="str">
        <f>IF(ISNA(LEFT(VLOOKUP(AA12,MapReference!$Q$9:$S$50,3,0),3)),"",LEFT(VLOOKUP(AA12,MapReference!$Q$9:$S$50,3,0),3))</f>
        <v/>
      </c>
      <c r="Q12" s="4" t="str">
        <f>IF(ISNA(LEFT(VLOOKUP(AB12,MapReference!$Q$9:$S$50,3,0),3)),"",LEFT(VLOOKUP(AB12,MapReference!$Q$9:$S$50,3,0),3))</f>
        <v/>
      </c>
      <c r="R12" s="4" t="str">
        <f>IF(ISNA(LEFT(VLOOKUP(AC12,MapReference!$Q$9:$S$50,3,0),3)),"",LEFT(VLOOKUP(AC12,MapReference!$Q$9:$S$50,3,0),3))</f>
        <v/>
      </c>
      <c r="S12" s="4" t="str">
        <f>IF(ISNA(LEFT(VLOOKUP(AD12,MapReference!$Q$9:$S$50,3,0),3)),"",LEFT(VLOOKUP(AD12,MapReference!$Q$9:$S$50,3,0),3))</f>
        <v/>
      </c>
      <c r="T12" s="4" t="str">
        <f>IF(ISNA(LEFT(VLOOKUP(AE12,MapReference!$Q$9:$S$50,3,0),3)),"",LEFT(VLOOKUP(AE12,MapReference!$Q$9:$S$50,3,0),3))</f>
        <v/>
      </c>
      <c r="U12" s="4" t="str">
        <f>IF(ISNA(LEFT(VLOOKUP(AF12,MapReference!$Q$9:$S$50,3,0),3)),"",LEFT(VLOOKUP(AF12,MapReference!$Q$9:$S$50,3,0),3))</f>
        <v/>
      </c>
      <c r="V12" t="str">
        <f t="shared" si="2"/>
        <v>Asia</v>
      </c>
      <c r="W12" t="str">
        <f>LEFT(VLOOKUP(X12,MapReference!$Q$9:$S$50,3,0),3)</f>
        <v/>
      </c>
      <c r="X12" s="4" t="s">
        <v>835</v>
      </c>
      <c r="Y12" s="4" t="s">
        <v>392</v>
      </c>
      <c r="Z12" s="4" t="s">
        <v>7</v>
      </c>
      <c r="AA12" s="4" t="s">
        <v>833</v>
      </c>
      <c r="AB12" s="4" t="s">
        <v>827</v>
      </c>
      <c r="AC12" s="4" t="s">
        <v>829</v>
      </c>
      <c r="AD12" s="4" t="s">
        <v>832</v>
      </c>
      <c r="AE12" s="4" t="s">
        <v>837</v>
      </c>
      <c r="AF12" s="4" t="s">
        <v>838</v>
      </c>
      <c r="AJ12" s="147">
        <f t="shared" ca="1" si="3"/>
        <v>0.33668254018614452</v>
      </c>
      <c r="AK12" t="str">
        <f t="shared" si="4"/>
        <v>Hero-The Savant</v>
      </c>
      <c r="AL12" s="4" t="s">
        <v>1127</v>
      </c>
      <c r="AM12" s="4"/>
      <c r="AN12" s="4"/>
      <c r="AO12" s="4" t="s">
        <v>1128</v>
      </c>
    </row>
    <row r="13" spans="2:41" x14ac:dyDescent="0.25">
      <c r="B13" t="s">
        <v>1026</v>
      </c>
      <c r="C13" t="s">
        <v>1047</v>
      </c>
      <c r="E13" t="s">
        <v>1031</v>
      </c>
      <c r="F13" t="str">
        <f>'PL1'!$J$7&amp;" - "&amp;RIGHT(E13,2)</f>
        <v>Patrick - 11</v>
      </c>
      <c r="H13" s="4" t="s">
        <v>11</v>
      </c>
      <c r="I13" s="4"/>
      <c r="J13" s="4"/>
      <c r="M13" s="4" t="str">
        <f>IF(Setup!$AC$55="Move",IF(COUNTIF(P13:U13,$O$4)=0,IF(COUNTIF(P13:U13,"Dea")=0,X13,""),""),IF($O$4=W13,IF(N13=O13,X13,IF(COUNTIF(P13:U13,Setup!$AC$49)=0,X13,"")),""))</f>
        <v/>
      </c>
      <c r="N13">
        <f t="shared" si="0"/>
        <v>0</v>
      </c>
      <c r="O13">
        <f t="shared" si="1"/>
        <v>0</v>
      </c>
      <c r="P13" s="4" t="str">
        <f>IF(ISNA(LEFT(VLOOKUP(AA13,MapReference!$Q$9:$S$50,3,0),3)),"",LEFT(VLOOKUP(AA13,MapReference!$Q$9:$S$50,3,0),3))</f>
        <v/>
      </c>
      <c r="Q13" s="4" t="str">
        <f>IF(ISNA(LEFT(VLOOKUP(AB13,MapReference!$Q$9:$S$50,3,0),3)),"",LEFT(VLOOKUP(AB13,MapReference!$Q$9:$S$50,3,0),3))</f>
        <v/>
      </c>
      <c r="R13" s="4" t="str">
        <f>IF(ISNA(LEFT(VLOOKUP(AC13,MapReference!$Q$9:$S$50,3,0),3)),"",LEFT(VLOOKUP(AC13,MapReference!$Q$9:$S$50,3,0),3))</f>
        <v/>
      </c>
      <c r="S13" s="4" t="str">
        <f>IF(ISNA(LEFT(VLOOKUP(AD13,MapReference!$Q$9:$S$50,3,0),3)),"",LEFT(VLOOKUP(AD13,MapReference!$Q$9:$S$50,3,0),3))</f>
        <v/>
      </c>
      <c r="T13" s="4" t="str">
        <f>IF(ISNA(LEFT(VLOOKUP(AE13,MapReference!$Q$9:$S$50,3,0),3)),"",LEFT(VLOOKUP(AE13,MapReference!$Q$9:$S$50,3,0),3))</f>
        <v/>
      </c>
      <c r="U13" s="4" t="str">
        <f>IF(ISNA(LEFT(VLOOKUP(AF13,MapReference!$Q$9:$S$50,3,0),3)),"",LEFT(VLOOKUP(AF13,MapReference!$Q$9:$S$50,3,0),3))</f>
        <v/>
      </c>
      <c r="V13" t="str">
        <f t="shared" si="2"/>
        <v>Asia</v>
      </c>
      <c r="W13" t="str">
        <f>LEFT(VLOOKUP(X13,MapReference!$Q$9:$S$50,3,0),3)</f>
        <v/>
      </c>
      <c r="X13" s="4" t="s">
        <v>837</v>
      </c>
      <c r="Y13" s="4" t="s">
        <v>392</v>
      </c>
      <c r="Z13" s="4" t="s">
        <v>7</v>
      </c>
      <c r="AA13" s="4" t="s">
        <v>836</v>
      </c>
      <c r="AB13" s="4" t="s">
        <v>832</v>
      </c>
      <c r="AC13" s="4" t="s">
        <v>835</v>
      </c>
      <c r="AD13" s="4" t="s">
        <v>838</v>
      </c>
      <c r="AE13" s="4" t="s">
        <v>995</v>
      </c>
      <c r="AF13" s="4" t="s">
        <v>995</v>
      </c>
      <c r="AJ13" s="147">
        <f t="shared" ca="1" si="3"/>
        <v>0.82425945064305672</v>
      </c>
      <c r="AK13" t="str">
        <f t="shared" si="4"/>
        <v>Hero-The Provider</v>
      </c>
      <c r="AL13" s="4" t="s">
        <v>1129</v>
      </c>
      <c r="AM13" s="4"/>
      <c r="AN13" s="4"/>
      <c r="AO13" s="4" t="s">
        <v>1130</v>
      </c>
    </row>
    <row r="14" spans="2:41" x14ac:dyDescent="0.25">
      <c r="B14" t="s">
        <v>1047</v>
      </c>
      <c r="C14" t="s">
        <v>1026</v>
      </c>
      <c r="E14" t="s">
        <v>1032</v>
      </c>
      <c r="F14" t="str">
        <f>'PL1'!$J$7&amp;" - "&amp;RIGHT(E14,2)</f>
        <v>Patrick - 12</v>
      </c>
      <c r="H14" s="4">
        <v>1</v>
      </c>
      <c r="I14" s="4" t="s">
        <v>377</v>
      </c>
      <c r="J14" s="4" t="s">
        <v>1402</v>
      </c>
      <c r="M14" s="4" t="str">
        <f>IF(Setup!$AC$55="Move",IF(COUNTIF(P14:U14,$O$4)=0,IF(COUNTIF(P14:U14,"Dea")=0,X14,""),""),IF($O$4=W14,IF(N14=O14,X14,IF(COUNTIF(P14:U14,Setup!$AC$49)=0,X14,"")),""))</f>
        <v/>
      </c>
      <c r="N14">
        <f t="shared" si="0"/>
        <v>0</v>
      </c>
      <c r="O14">
        <f t="shared" si="1"/>
        <v>0</v>
      </c>
      <c r="P14" s="4" t="str">
        <f>IF(ISNA(LEFT(VLOOKUP(AA14,MapReference!$Q$9:$S$50,3,0),3)),"",LEFT(VLOOKUP(AA14,MapReference!$Q$9:$S$50,3,0),3))</f>
        <v/>
      </c>
      <c r="Q14" s="4" t="str">
        <f>IF(ISNA(LEFT(VLOOKUP(AB14,MapReference!$Q$9:$S$50,3,0),3)),"",LEFT(VLOOKUP(AB14,MapReference!$Q$9:$S$50,3,0),3))</f>
        <v/>
      </c>
      <c r="R14" s="4" t="str">
        <f>IF(ISNA(LEFT(VLOOKUP(AC14,MapReference!$Q$9:$S$50,3,0),3)),"",LEFT(VLOOKUP(AC14,MapReference!$Q$9:$S$50,3,0),3))</f>
        <v/>
      </c>
      <c r="S14" s="4" t="str">
        <f>IF(ISNA(LEFT(VLOOKUP(AD14,MapReference!$Q$9:$S$50,3,0),3)),"",LEFT(VLOOKUP(AD14,MapReference!$Q$9:$S$50,3,0),3))</f>
        <v/>
      </c>
      <c r="T14" s="4" t="str">
        <f>IF(ISNA(LEFT(VLOOKUP(AE14,MapReference!$Q$9:$S$50,3,0),3)),"",LEFT(VLOOKUP(AE14,MapReference!$Q$9:$S$50,3,0),3))</f>
        <v/>
      </c>
      <c r="U14" s="4" t="str">
        <f>IF(ISNA(LEFT(VLOOKUP(AF14,MapReference!$Q$9:$S$50,3,0),3)),"",LEFT(VLOOKUP(AF14,MapReference!$Q$9:$S$50,3,0),3))</f>
        <v/>
      </c>
      <c r="V14" t="str">
        <f t="shared" si="2"/>
        <v>Asia</v>
      </c>
      <c r="W14" t="str">
        <f>LEFT(VLOOKUP(X14,MapReference!$Q$9:$S$50,3,0),3)</f>
        <v/>
      </c>
      <c r="X14" s="4" t="s">
        <v>830</v>
      </c>
      <c r="Y14" s="4" t="s">
        <v>392</v>
      </c>
      <c r="Z14" s="4" t="s">
        <v>7</v>
      </c>
      <c r="AA14" s="4" t="s">
        <v>828</v>
      </c>
      <c r="AB14" s="4" t="s">
        <v>831</v>
      </c>
      <c r="AC14" s="4" t="s">
        <v>833</v>
      </c>
      <c r="AD14" s="4" t="s">
        <v>827</v>
      </c>
      <c r="AE14" s="4" t="s">
        <v>995</v>
      </c>
      <c r="AF14" s="4" t="s">
        <v>995</v>
      </c>
      <c r="AJ14" s="147">
        <f t="shared" ca="1" si="3"/>
        <v>0.98893452416989425</v>
      </c>
      <c r="AK14" t="str">
        <f t="shared" si="4"/>
        <v>Hero-The Protector</v>
      </c>
      <c r="AL14" s="4" t="s">
        <v>1131</v>
      </c>
      <c r="AM14" s="4"/>
      <c r="AN14" s="4"/>
      <c r="AO14" s="4" t="s">
        <v>1132</v>
      </c>
    </row>
    <row r="15" spans="2:41" x14ac:dyDescent="0.25">
      <c r="B15" t="s">
        <v>1027</v>
      </c>
      <c r="C15" t="s">
        <v>1048</v>
      </c>
      <c r="E15" t="s">
        <v>1033</v>
      </c>
      <c r="F15" t="str">
        <f>'PL1'!$J$7&amp;" - "&amp;RIGHT(E15,2)</f>
        <v>Patrick - 13</v>
      </c>
      <c r="H15" s="4">
        <v>2</v>
      </c>
      <c r="I15" s="4" t="s">
        <v>1461</v>
      </c>
      <c r="J15" s="4" t="s">
        <v>866</v>
      </c>
      <c r="M15" s="4" t="str">
        <f>IF(Setup!$AC$55="Move",IF(COUNTIF(P15:U15,$O$4)=0,IF(COUNTIF(P15:U15,"Dea")=0,X15,""),""),IF($O$4=W15,IF(N15=O15,X15,IF(COUNTIF(P15:U15,Setup!$AC$49)=0,X15,"")),""))</f>
        <v/>
      </c>
      <c r="N15">
        <f t="shared" si="0"/>
        <v>0</v>
      </c>
      <c r="O15">
        <f>COUNTIF(P15:U15,$O$4)</f>
        <v>0</v>
      </c>
      <c r="P15" s="4" t="str">
        <f>IF(ISNA(LEFT(VLOOKUP(AA15,MapReference!$Q$9:$S$50,3,0),3)),"",LEFT(VLOOKUP(AA15,MapReference!$Q$9:$S$50,3,0),3))</f>
        <v/>
      </c>
      <c r="Q15" s="4" t="str">
        <f>IF(ISNA(LEFT(VLOOKUP(AB15,MapReference!$Q$9:$S$50,3,0),3)),"",LEFT(VLOOKUP(AB15,MapReference!$Q$9:$S$50,3,0),3))</f>
        <v/>
      </c>
      <c r="R15" s="4" t="str">
        <f>IF(ISNA(LEFT(VLOOKUP(AC15,MapReference!$Q$9:$S$50,3,0),3)),"",LEFT(VLOOKUP(AC15,MapReference!$Q$9:$S$50,3,0),3))</f>
        <v/>
      </c>
      <c r="S15" s="4" t="str">
        <f>IF(ISNA(LEFT(VLOOKUP(AD15,MapReference!$Q$9:$S$50,3,0),3)),"",LEFT(VLOOKUP(AD15,MapReference!$Q$9:$S$50,3,0),3))</f>
        <v/>
      </c>
      <c r="T15" s="4" t="str">
        <f>IF(ISNA(LEFT(VLOOKUP(AE15,MapReference!$Q$9:$S$50,3,0),3)),"",LEFT(VLOOKUP(AE15,MapReference!$Q$9:$S$50,3,0),3))</f>
        <v/>
      </c>
      <c r="U15" s="4" t="str">
        <f>IF(ISNA(LEFT(VLOOKUP(AF15,MapReference!$Q$9:$S$50,3,0),3)),"",LEFT(VLOOKUP(AF15,MapReference!$Q$9:$S$50,3,0),3))</f>
        <v/>
      </c>
      <c r="V15" t="str">
        <f t="shared" si="2"/>
        <v>Asia</v>
      </c>
      <c r="W15" t="str">
        <f>LEFT(VLOOKUP(X15,MapReference!$Q$9:$S$50,3,0),3)</f>
        <v/>
      </c>
      <c r="X15" s="4" t="s">
        <v>834</v>
      </c>
      <c r="Y15" s="4" t="s">
        <v>392</v>
      </c>
      <c r="Z15" s="4" t="s">
        <v>7</v>
      </c>
      <c r="AA15" s="4" t="s">
        <v>833</v>
      </c>
      <c r="AB15" s="4" t="s">
        <v>831</v>
      </c>
      <c r="AC15" s="4" t="s">
        <v>995</v>
      </c>
      <c r="AD15" s="4" t="s">
        <v>995</v>
      </c>
      <c r="AE15" s="4" t="s">
        <v>995</v>
      </c>
      <c r="AF15" s="4" t="s">
        <v>995</v>
      </c>
      <c r="AJ15" s="147">
        <f t="shared" ca="1" si="3"/>
        <v>0.86564701384474618</v>
      </c>
      <c r="AK15" t="str">
        <f t="shared" si="4"/>
        <v>Hero-The General</v>
      </c>
      <c r="AL15" s="4" t="s">
        <v>1133</v>
      </c>
      <c r="AM15" s="4"/>
      <c r="AN15" s="4"/>
      <c r="AO15" s="4" t="s">
        <v>1134</v>
      </c>
    </row>
    <row r="16" spans="2:41" x14ac:dyDescent="0.25">
      <c r="B16" t="s">
        <v>1048</v>
      </c>
      <c r="C16" t="s">
        <v>1027</v>
      </c>
      <c r="E16" t="s">
        <v>1034</v>
      </c>
      <c r="F16" t="str">
        <f>'PL1'!$J$7&amp;" - "&amp;RIGHT(E16,2)</f>
        <v>Patrick - 14</v>
      </c>
      <c r="H16" s="4">
        <v>3</v>
      </c>
      <c r="I16" s="4" t="s">
        <v>390</v>
      </c>
      <c r="J16" s="4" t="s">
        <v>390</v>
      </c>
      <c r="M16" s="4" t="str">
        <f>IF(Setup!$AC$55="Move",IF(COUNTIF(P16:U16,$O$4)=0,IF(COUNTIF(P16:U16,"Dea")=0,X16,""),""),IF($O$4=W16,IF(N16=O16,X16,IF(COUNTIF(P16:U16,Setup!$AC$49)=0,X16,"")),""))</f>
        <v/>
      </c>
      <c r="N16">
        <f t="shared" si="0"/>
        <v>0</v>
      </c>
      <c r="O16">
        <f>COUNTIF(P16:U16,$O$4)</f>
        <v>0</v>
      </c>
      <c r="P16" s="4" t="str">
        <f>IF(ISNA(LEFT(VLOOKUP(AA16,MapReference!$Q$9:$S$50,3,0),3)),"",LEFT(VLOOKUP(AA16,MapReference!$Q$9:$S$50,3,0),3))</f>
        <v/>
      </c>
      <c r="Q16" s="4" t="str">
        <f>IF(ISNA(LEFT(VLOOKUP(AB16,MapReference!$Q$9:$S$50,3,0),3)),"",LEFT(VLOOKUP(AB16,MapReference!$Q$9:$S$50,3,0),3))</f>
        <v/>
      </c>
      <c r="R16" s="4" t="str">
        <f>IF(ISNA(LEFT(VLOOKUP(AC16,MapReference!$Q$9:$S$50,3,0),3)),"",LEFT(VLOOKUP(AC16,MapReference!$Q$9:$S$50,3,0),3))</f>
        <v/>
      </c>
      <c r="S16" s="4" t="str">
        <f>IF(ISNA(LEFT(VLOOKUP(AD16,MapReference!$Q$9:$S$50,3,0),3)),"",LEFT(VLOOKUP(AD16,MapReference!$Q$9:$S$50,3,0),3))</f>
        <v/>
      </c>
      <c r="T16" s="4" t="str">
        <f>IF(ISNA(LEFT(VLOOKUP(AE16,MapReference!$Q$9:$S$50,3,0),3)),"",LEFT(VLOOKUP(AE16,MapReference!$Q$9:$S$50,3,0),3))</f>
        <v/>
      </c>
      <c r="U16" s="4" t="str">
        <f>IF(ISNA(LEFT(VLOOKUP(AF16,MapReference!$Q$9:$S$50,3,0),3)),"",LEFT(VLOOKUP(AF16,MapReference!$Q$9:$S$50,3,0),3))</f>
        <v/>
      </c>
      <c r="V16" t="str">
        <f t="shared" si="2"/>
        <v>Asia</v>
      </c>
      <c r="W16" t="str">
        <f>LEFT(VLOOKUP(X16,MapReference!$Q$9:$S$50,3,0),3)</f>
        <v/>
      </c>
      <c r="X16" s="4" t="s">
        <v>831</v>
      </c>
      <c r="Y16" s="4" t="s">
        <v>392</v>
      </c>
      <c r="Z16" s="4" t="s">
        <v>7</v>
      </c>
      <c r="AA16" s="4" t="s">
        <v>834</v>
      </c>
      <c r="AB16" s="4" t="s">
        <v>854</v>
      </c>
      <c r="AC16" s="4" t="s">
        <v>833</v>
      </c>
      <c r="AD16" s="4" t="s">
        <v>830</v>
      </c>
      <c r="AE16" s="4" t="s">
        <v>828</v>
      </c>
      <c r="AF16" s="4" t="s">
        <v>995</v>
      </c>
      <c r="AJ16" s="147">
        <f t="shared" ca="1" si="3"/>
        <v>0.81141858221934382</v>
      </c>
      <c r="AK16" t="str">
        <f t="shared" si="4"/>
        <v>Hero-The Vanquisher</v>
      </c>
      <c r="AL16" s="4" t="s">
        <v>1135</v>
      </c>
      <c r="AM16" s="4">
        <v>1</v>
      </c>
      <c r="AN16" s="4"/>
      <c r="AO16" s="4" t="s">
        <v>1155</v>
      </c>
    </row>
    <row r="17" spans="2:41" x14ac:dyDescent="0.25">
      <c r="B17" t="s">
        <v>1028</v>
      </c>
      <c r="C17" t="s">
        <v>1049</v>
      </c>
      <c r="E17" t="s">
        <v>1035</v>
      </c>
      <c r="F17" t="str">
        <f>'PL1'!$J$7&amp;" - "&amp;RIGHT(E17,2)</f>
        <v>Patrick - 15</v>
      </c>
      <c r="H17" s="4">
        <v>4</v>
      </c>
      <c r="I17" s="4" t="s">
        <v>396</v>
      </c>
      <c r="J17" s="4" t="s">
        <v>867</v>
      </c>
      <c r="M17" s="4" t="str">
        <f>IF(Setup!$AC$55="Move",IF(COUNTIF(P17:U17,$O$4)=0,IF(COUNTIF(P17:U17,"Dea")=0,X17,""),""),IF($O$4=W17,IF(N17=O17,X17,IF(COUNTIF(P17:U17,Setup!$AC$49)=0,X17,"")),""))</f>
        <v/>
      </c>
      <c r="N17">
        <f t="shared" si="0"/>
        <v>0</v>
      </c>
      <c r="O17">
        <f t="shared" si="1"/>
        <v>0</v>
      </c>
      <c r="P17" s="4" t="str">
        <f>IF(ISNA(LEFT(VLOOKUP(AA17,MapReference!$Q$9:$S$50,3,0),3)),"",LEFT(VLOOKUP(AA17,MapReference!$Q$9:$S$50,3,0),3))</f>
        <v/>
      </c>
      <c r="Q17" s="4" t="str">
        <f>IF(ISNA(LEFT(VLOOKUP(AB17,MapReference!$Q$9:$S$50,3,0),3)),"",LEFT(VLOOKUP(AB17,MapReference!$Q$9:$S$50,3,0),3))</f>
        <v/>
      </c>
      <c r="R17" s="4" t="str">
        <f>IF(ISNA(LEFT(VLOOKUP(AC17,MapReference!$Q$9:$S$50,3,0),3)),"",LEFT(VLOOKUP(AC17,MapReference!$Q$9:$S$50,3,0),3))</f>
        <v/>
      </c>
      <c r="S17" s="4" t="str">
        <f>IF(ISNA(LEFT(VLOOKUP(AD17,MapReference!$Q$9:$S$50,3,0),3)),"",LEFT(VLOOKUP(AD17,MapReference!$Q$9:$S$50,3,0),3))</f>
        <v/>
      </c>
      <c r="T17" s="4" t="str">
        <f>IF(ISNA(LEFT(VLOOKUP(AE17,MapReference!$Q$9:$S$50,3,0),3)),"",LEFT(VLOOKUP(AE17,MapReference!$Q$9:$S$50,3,0),3))</f>
        <v/>
      </c>
      <c r="U17" s="4" t="str">
        <f>IF(ISNA(LEFT(VLOOKUP(AF17,MapReference!$Q$9:$S$50,3,0),3)),"",LEFT(VLOOKUP(AF17,MapReference!$Q$9:$S$50,3,0),3))</f>
        <v/>
      </c>
      <c r="V17" t="str">
        <f t="shared" si="2"/>
        <v>Asia</v>
      </c>
      <c r="W17" t="str">
        <f>LEFT(VLOOKUP(X17,MapReference!$Q$9:$S$50,3,0),3)</f>
        <v/>
      </c>
      <c r="X17" s="4" t="s">
        <v>836</v>
      </c>
      <c r="Y17" s="4" t="s">
        <v>392</v>
      </c>
      <c r="Z17" s="4" t="s">
        <v>7</v>
      </c>
      <c r="AA17" s="4" t="s">
        <v>823</v>
      </c>
      <c r="AB17" s="4" t="s">
        <v>822</v>
      </c>
      <c r="AC17" s="4" t="s">
        <v>853</v>
      </c>
      <c r="AD17" s="4" t="s">
        <v>851</v>
      </c>
      <c r="AE17" s="4" t="s">
        <v>832</v>
      </c>
      <c r="AF17" s="4" t="s">
        <v>837</v>
      </c>
      <c r="AJ17" s="147">
        <f t="shared" ca="1" si="3"/>
        <v>0.93148887966257843</v>
      </c>
      <c r="AK17" t="str">
        <f t="shared" si="4"/>
        <v>Hero-Axe of the Warmonger</v>
      </c>
      <c r="AL17" s="4" t="s">
        <v>1136</v>
      </c>
      <c r="AM17" s="4"/>
      <c r="AN17" s="4"/>
      <c r="AO17" s="4" t="s">
        <v>1137</v>
      </c>
    </row>
    <row r="18" spans="2:41" x14ac:dyDescent="0.25">
      <c r="B18" t="s">
        <v>1049</v>
      </c>
      <c r="C18" t="s">
        <v>1028</v>
      </c>
      <c r="E18" t="s">
        <v>1036</v>
      </c>
      <c r="F18" t="str">
        <f>'PL1'!$J$7&amp;" - "&amp;RIGHT(E18,2)</f>
        <v>Patrick - 16</v>
      </c>
      <c r="H18" s="4">
        <v>5</v>
      </c>
      <c r="I18" s="4" t="s">
        <v>401</v>
      </c>
      <c r="J18" s="4" t="s">
        <v>1403</v>
      </c>
      <c r="M18" s="4" t="str">
        <f>IF(Setup!$AC$55="Move",IF(COUNTIF(P18:U18,$O$4)=0,IF(COUNTIF(P18:U18,"Dea")=0,X18,""),""),IF($O$4=W18,IF(N18=O18,X18,IF(COUNTIF(P18:U18,Setup!$AC$49)=0,X18,"")),""))</f>
        <v/>
      </c>
      <c r="N18">
        <f t="shared" si="0"/>
        <v>0</v>
      </c>
      <c r="O18">
        <f t="shared" si="1"/>
        <v>0</v>
      </c>
      <c r="P18" s="4" t="str">
        <f>IF(ISNA(LEFT(VLOOKUP(AA18,MapReference!$Q$9:$S$50,3,0),3)),"",LEFT(VLOOKUP(AA18,MapReference!$Q$9:$S$50,3,0),3))</f>
        <v/>
      </c>
      <c r="Q18" s="4" t="str">
        <f>IF(ISNA(LEFT(VLOOKUP(AB18,MapReference!$Q$9:$S$50,3,0),3)),"",LEFT(VLOOKUP(AB18,MapReference!$Q$9:$S$50,3,0),3))</f>
        <v/>
      </c>
      <c r="R18" s="4" t="str">
        <f>IF(ISNA(LEFT(VLOOKUP(AC18,MapReference!$Q$9:$S$50,3,0),3)),"",LEFT(VLOOKUP(AC18,MapReference!$Q$9:$S$50,3,0),3))</f>
        <v/>
      </c>
      <c r="S18" s="4" t="str">
        <f>IF(ISNA(LEFT(VLOOKUP(AD18,MapReference!$Q$9:$S$50,3,0),3)),"",LEFT(VLOOKUP(AD18,MapReference!$Q$9:$S$50,3,0),3))</f>
        <v/>
      </c>
      <c r="T18" s="4" t="str">
        <f>IF(ISNA(LEFT(VLOOKUP(AE18,MapReference!$Q$9:$S$50,3,0),3)),"",LEFT(VLOOKUP(AE18,MapReference!$Q$9:$S$50,3,0),3))</f>
        <v/>
      </c>
      <c r="U18" s="4" t="str">
        <f>IF(ISNA(LEFT(VLOOKUP(AF18,MapReference!$Q$9:$S$50,3,0),3)),"",LEFT(VLOOKUP(AF18,MapReference!$Q$9:$S$50,3,0),3))</f>
        <v/>
      </c>
      <c r="V18" t="str">
        <f t="shared" si="2"/>
        <v>Asia</v>
      </c>
      <c r="W18" t="str">
        <f>LEFT(VLOOKUP(X18,MapReference!$Q$9:$S$50,3,0),3)</f>
        <v/>
      </c>
      <c r="X18" s="4" t="s">
        <v>833</v>
      </c>
      <c r="Y18" s="4" t="s">
        <v>392</v>
      </c>
      <c r="Z18" s="4" t="s">
        <v>7</v>
      </c>
      <c r="AA18" s="4" t="s">
        <v>834</v>
      </c>
      <c r="AB18" s="4" t="s">
        <v>831</v>
      </c>
      <c r="AC18" s="4" t="s">
        <v>830</v>
      </c>
      <c r="AD18" s="4" t="s">
        <v>827</v>
      </c>
      <c r="AE18" s="4" t="s">
        <v>835</v>
      </c>
      <c r="AF18" s="4" t="s">
        <v>995</v>
      </c>
      <c r="AJ18" s="147">
        <f t="shared" ca="1" si="3"/>
        <v>0.62725698653839734</v>
      </c>
      <c r="AK18" t="str">
        <f t="shared" si="4"/>
        <v>Hero-The Warrior</v>
      </c>
      <c r="AL18" s="4" t="s">
        <v>1138</v>
      </c>
      <c r="AM18" s="4"/>
      <c r="AN18" s="4"/>
      <c r="AO18" s="4" t="s">
        <v>1139</v>
      </c>
    </row>
    <row r="19" spans="2:41" x14ac:dyDescent="0.25">
      <c r="B19" t="s">
        <v>1029</v>
      </c>
      <c r="C19" t="s">
        <v>1050</v>
      </c>
      <c r="E19" t="s">
        <v>1037</v>
      </c>
      <c r="F19" t="str">
        <f>'PL1'!$J$7&amp;" - "&amp;RIGHT(E19,2)</f>
        <v>Patrick - 17</v>
      </c>
      <c r="H19" s="4">
        <v>6</v>
      </c>
      <c r="I19" s="4" t="s">
        <v>405</v>
      </c>
      <c r="J19" s="4" t="s">
        <v>869</v>
      </c>
      <c r="M19" s="4" t="str">
        <f>IF(Setup!$AC$55="Move",IF(COUNTIF(P19:U19,$O$4)=0,IF(COUNTIF(P19:U19,"Dea")=0,X19,""),""),IF($O$4=W19,IF(N19=O19,X19,IF(COUNTIF(P19:U19,Setup!$AC$49)=0,X19,"")),""))</f>
        <v/>
      </c>
      <c r="N19">
        <f t="shared" si="0"/>
        <v>0</v>
      </c>
      <c r="O19">
        <f t="shared" si="1"/>
        <v>0</v>
      </c>
      <c r="P19" s="4" t="str">
        <f>IF(ISNA(LEFT(VLOOKUP(AA19,MapReference!$Q$9:$S$50,3,0),3)),"",LEFT(VLOOKUP(AA19,MapReference!$Q$9:$S$50,3,0),3))</f>
        <v/>
      </c>
      <c r="Q19" s="4" t="str">
        <f>IF(ISNA(LEFT(VLOOKUP(AB19,MapReference!$Q$9:$S$50,3,0),3)),"",LEFT(VLOOKUP(AB19,MapReference!$Q$9:$S$50,3,0),3))</f>
        <v/>
      </c>
      <c r="R19" s="4" t="str">
        <f>IF(ISNA(LEFT(VLOOKUP(AC19,MapReference!$Q$9:$S$50,3,0),3)),"",LEFT(VLOOKUP(AC19,MapReference!$Q$9:$S$50,3,0),3))</f>
        <v/>
      </c>
      <c r="S19" s="4" t="str">
        <f>IF(ISNA(LEFT(VLOOKUP(AD19,MapReference!$Q$9:$S$50,3,0),3)),"",LEFT(VLOOKUP(AD19,MapReference!$Q$9:$S$50,3,0),3))</f>
        <v/>
      </c>
      <c r="T19" s="4" t="str">
        <f>IF(ISNA(LEFT(VLOOKUP(AE19,MapReference!$Q$9:$S$50,3,0),3)),"",LEFT(VLOOKUP(AE19,MapReference!$Q$9:$S$50,3,0),3))</f>
        <v/>
      </c>
      <c r="U19" s="4" t="str">
        <f>IF(ISNA(LEFT(VLOOKUP(AF19,MapReference!$Q$9:$S$50,3,0),3)),"",LEFT(VLOOKUP(AF19,MapReference!$Q$9:$S$50,3,0),3))</f>
        <v/>
      </c>
      <c r="V19" t="str">
        <f t="shared" si="2"/>
        <v>Asia</v>
      </c>
      <c r="W19" t="str">
        <f>LEFT(VLOOKUP(X19,MapReference!$Q$9:$S$50,3,0),3)</f>
        <v/>
      </c>
      <c r="X19" s="4" t="s">
        <v>838</v>
      </c>
      <c r="Y19" s="4" t="s">
        <v>392</v>
      </c>
      <c r="Z19" s="4" t="s">
        <v>7</v>
      </c>
      <c r="AA19" s="4" t="s">
        <v>835</v>
      </c>
      <c r="AB19" s="4" t="s">
        <v>837</v>
      </c>
      <c r="AC19" s="4" t="s">
        <v>839</v>
      </c>
      <c r="AD19" s="4" t="s">
        <v>995</v>
      </c>
      <c r="AE19" s="4" t="s">
        <v>995</v>
      </c>
      <c r="AF19" s="4" t="s">
        <v>995</v>
      </c>
      <c r="AJ19" s="147">
        <f t="shared" ca="1" si="3"/>
        <v>0.95557575077746804</v>
      </c>
      <c r="AK19" t="str">
        <f t="shared" si="4"/>
        <v>Hero-Spear of the General</v>
      </c>
      <c r="AL19" s="4" t="s">
        <v>1140</v>
      </c>
      <c r="AM19" s="4"/>
      <c r="AN19" s="4"/>
      <c r="AO19" s="4" t="s">
        <v>1141</v>
      </c>
    </row>
    <row r="20" spans="2:41" x14ac:dyDescent="0.25">
      <c r="B20" t="s">
        <v>1050</v>
      </c>
      <c r="C20" t="s">
        <v>1029</v>
      </c>
      <c r="E20" t="s">
        <v>1038</v>
      </c>
      <c r="F20" t="str">
        <f>'PL1'!$J$7&amp;" - "&amp;RIGHT(E20,2)</f>
        <v>Patrick - 18</v>
      </c>
      <c r="H20" s="4" t="s">
        <v>12</v>
      </c>
      <c r="I20" s="4"/>
      <c r="J20" s="4"/>
      <c r="M20" s="4" t="str">
        <f>IF(Setup!$AC$55="Move",IF(COUNTIF(P20:U20,$O$4)=0,IF(COUNTIF(P20:U20,"Dea")=0,X20,""),""),IF($O$4=W20,IF(N20=O20,X20,IF(COUNTIF(P20:U20,Setup!$AC$49)=0,X20,"")),""))</f>
        <v/>
      </c>
      <c r="N20">
        <f t="shared" si="0"/>
        <v>0</v>
      </c>
      <c r="O20">
        <f t="shared" si="1"/>
        <v>0</v>
      </c>
      <c r="P20" s="4" t="str">
        <f>IF(ISNA(LEFT(VLOOKUP(AA20,MapReference!$Q$9:$S$50,3,0),3)),"",LEFT(VLOOKUP(AA20,MapReference!$Q$9:$S$50,3,0),3))</f>
        <v/>
      </c>
      <c r="Q20" s="4" t="str">
        <f>IF(ISNA(LEFT(VLOOKUP(AB20,MapReference!$Q$9:$S$50,3,0),3)),"",LEFT(VLOOKUP(AB20,MapReference!$Q$9:$S$50,3,0),3))</f>
        <v/>
      </c>
      <c r="R20" s="4" t="str">
        <f>IF(ISNA(LEFT(VLOOKUP(AC20,MapReference!$Q$9:$S$50,3,0),3)),"",LEFT(VLOOKUP(AC20,MapReference!$Q$9:$S$50,3,0),3))</f>
        <v/>
      </c>
      <c r="S20" s="4" t="str">
        <f>IF(ISNA(LEFT(VLOOKUP(AD20,MapReference!$Q$9:$S$50,3,0),3)),"",LEFT(VLOOKUP(AD20,MapReference!$Q$9:$S$50,3,0),3))</f>
        <v/>
      </c>
      <c r="T20" s="4" t="str">
        <f>IF(ISNA(LEFT(VLOOKUP(AE20,MapReference!$Q$9:$S$50,3,0),3)),"",LEFT(VLOOKUP(AE20,MapReference!$Q$9:$S$50,3,0),3))</f>
        <v/>
      </c>
      <c r="U20" s="4" t="str">
        <f>IF(ISNA(LEFT(VLOOKUP(AF20,MapReference!$Q$9:$S$50,3,0),3)),"",LEFT(VLOOKUP(AF20,MapReference!$Q$9:$S$50,3,0),3))</f>
        <v/>
      </c>
      <c r="V20" t="str">
        <f t="shared" si="2"/>
        <v>Asia</v>
      </c>
      <c r="W20" t="str">
        <f>LEFT(VLOOKUP(X20,MapReference!$Q$9:$S$50,3,0),3)</f>
        <v/>
      </c>
      <c r="X20" s="4" t="s">
        <v>827</v>
      </c>
      <c r="Y20" s="4" t="s">
        <v>392</v>
      </c>
      <c r="Z20" s="4" t="s">
        <v>7</v>
      </c>
      <c r="AA20" s="4" t="s">
        <v>835</v>
      </c>
      <c r="AB20" s="4" t="s">
        <v>829</v>
      </c>
      <c r="AC20" s="4" t="s">
        <v>833</v>
      </c>
      <c r="AD20" s="4" t="s">
        <v>830</v>
      </c>
      <c r="AE20" s="4" t="s">
        <v>828</v>
      </c>
      <c r="AF20" s="4" t="s">
        <v>995</v>
      </c>
      <c r="AJ20" s="147">
        <f t="shared" ca="1" si="3"/>
        <v>0.78042973929418824</v>
      </c>
      <c r="AK20" t="str">
        <f t="shared" si="4"/>
        <v>Hero-Bow of the Hunter</v>
      </c>
      <c r="AL20" s="4" t="s">
        <v>1142</v>
      </c>
      <c r="AM20" s="4"/>
      <c r="AN20" s="4"/>
      <c r="AO20" s="4" t="s">
        <v>1143</v>
      </c>
    </row>
    <row r="21" spans="2:41" x14ac:dyDescent="0.25">
      <c r="B21" t="s">
        <v>1030</v>
      </c>
      <c r="C21" t="s">
        <v>1051</v>
      </c>
      <c r="E21" t="s">
        <v>1039</v>
      </c>
      <c r="F21" t="str">
        <f>'PL1'!$J$7&amp;" - "&amp;RIGHT(E21,2)</f>
        <v>Patrick - 19</v>
      </c>
      <c r="H21" s="4">
        <v>1</v>
      </c>
      <c r="I21" s="4" t="s">
        <v>378</v>
      </c>
      <c r="J21" s="4" t="s">
        <v>1404</v>
      </c>
      <c r="M21" s="4" t="str">
        <f>IF(Setup!$AC$55="Move",IF(COUNTIF(P21:U21,$O$4)=0,IF(COUNTIF(P21:U21,"Dea")=0,X21,""),""),IF($O$4=W21,IF(N21=O21,X21,IF(COUNTIF(P21:U21,Setup!$AC$49)=0,X21,"")),""))</f>
        <v/>
      </c>
      <c r="N21">
        <f t="shared" si="0"/>
        <v>0</v>
      </c>
      <c r="O21">
        <f t="shared" si="1"/>
        <v>0</v>
      </c>
      <c r="P21" s="4" t="str">
        <f>IF(ISNA(LEFT(VLOOKUP(AA21,MapReference!$Q$9:$S$50,3,0),3)),"",LEFT(VLOOKUP(AA21,MapReference!$Q$9:$S$50,3,0),3))</f>
        <v/>
      </c>
      <c r="Q21" s="4" t="str">
        <f>IF(ISNA(LEFT(VLOOKUP(AB21,MapReference!$Q$9:$S$50,3,0),3)),"",LEFT(VLOOKUP(AB21,MapReference!$Q$9:$S$50,3,0),3))</f>
        <v/>
      </c>
      <c r="R21" s="4" t="str">
        <f>IF(ISNA(LEFT(VLOOKUP(AC21,MapReference!$Q$9:$S$50,3,0),3)),"",LEFT(VLOOKUP(AC21,MapReference!$Q$9:$S$50,3,0),3))</f>
        <v/>
      </c>
      <c r="S21" s="4" t="str">
        <f>IF(ISNA(LEFT(VLOOKUP(AD21,MapReference!$Q$9:$S$50,3,0),3)),"",LEFT(VLOOKUP(AD21,MapReference!$Q$9:$S$50,3,0),3))</f>
        <v/>
      </c>
      <c r="T21" s="4" t="str">
        <f>IF(ISNA(LEFT(VLOOKUP(AE21,MapReference!$Q$9:$S$50,3,0),3)),"",LEFT(VLOOKUP(AE21,MapReference!$Q$9:$S$50,3,0),3))</f>
        <v/>
      </c>
      <c r="U21" s="4" t="str">
        <f>IF(ISNA(LEFT(VLOOKUP(AF21,MapReference!$Q$9:$S$50,3,0),3)),"",LEFT(VLOOKUP(AF21,MapReference!$Q$9:$S$50,3,0),3))</f>
        <v/>
      </c>
      <c r="V21" t="str">
        <f t="shared" si="2"/>
        <v>Asia</v>
      </c>
      <c r="W21" t="str">
        <f>LEFT(VLOOKUP(X21,MapReference!$Q$9:$S$50,3,0),3)</f>
        <v/>
      </c>
      <c r="X21" s="4" t="s">
        <v>829</v>
      </c>
      <c r="Y21" s="4" t="s">
        <v>392</v>
      </c>
      <c r="Z21" s="4" t="s">
        <v>7</v>
      </c>
      <c r="AA21" s="4" t="s">
        <v>851</v>
      </c>
      <c r="AB21" s="4" t="s">
        <v>832</v>
      </c>
      <c r="AC21" s="4" t="s">
        <v>835</v>
      </c>
      <c r="AD21" s="4" t="s">
        <v>827</v>
      </c>
      <c r="AE21" s="4" t="s">
        <v>995</v>
      </c>
      <c r="AF21" s="4" t="s">
        <v>995</v>
      </c>
      <c r="AJ21" s="147">
        <f t="shared" ca="1" si="3"/>
        <v>0.54617122716609412</v>
      </c>
      <c r="AK21" t="str">
        <f t="shared" si="4"/>
        <v>Hero-The Hunter</v>
      </c>
      <c r="AL21" s="4" t="s">
        <v>1144</v>
      </c>
      <c r="AM21" s="4"/>
      <c r="AN21" s="4"/>
      <c r="AO21" s="4" t="s">
        <v>1145</v>
      </c>
    </row>
    <row r="22" spans="2:41" x14ac:dyDescent="0.25">
      <c r="B22" t="s">
        <v>1051</v>
      </c>
      <c r="C22" t="s">
        <v>1030</v>
      </c>
      <c r="E22" t="s">
        <v>1040</v>
      </c>
      <c r="F22" t="str">
        <f>'PL1'!$J$7&amp;" - "&amp;RIGHT(E22,2)</f>
        <v>Patrick - 20</v>
      </c>
      <c r="H22" s="4">
        <v>2</v>
      </c>
      <c r="I22" s="4" t="s">
        <v>385</v>
      </c>
      <c r="J22" s="4" t="s">
        <v>868</v>
      </c>
      <c r="M22" s="4" t="str">
        <f>IF(Setup!$AC$55="Move",IF(COUNTIF(P22:U22,$O$4)=0,IF(COUNTIF(P22:U22,"Dea")=0,X22,""),""),IF($O$4=W22,IF(N22=O22,X22,IF(COUNTIF(P22:U22,Setup!$AC$49)=0,X22,"")),""))</f>
        <v/>
      </c>
      <c r="N22">
        <f t="shared" si="0"/>
        <v>0</v>
      </c>
      <c r="O22">
        <f t="shared" si="1"/>
        <v>0</v>
      </c>
      <c r="P22" s="4" t="str">
        <f>IF(ISNA(LEFT(VLOOKUP(AA22,MapReference!$Q$9:$S$50,3,0),3)),"",LEFT(VLOOKUP(AA22,MapReference!$Q$9:$S$50,3,0),3))</f>
        <v/>
      </c>
      <c r="Q22" s="4" t="str">
        <f>IF(ISNA(LEFT(VLOOKUP(AB22,MapReference!$Q$9:$S$50,3,0),3)),"",LEFT(VLOOKUP(AB22,MapReference!$Q$9:$S$50,3,0),3))</f>
        <v/>
      </c>
      <c r="R22" s="4" t="str">
        <f>IF(ISNA(LEFT(VLOOKUP(AC22,MapReference!$Q$9:$S$50,3,0),3)),"",LEFT(VLOOKUP(AC22,MapReference!$Q$9:$S$50,3,0),3))</f>
        <v/>
      </c>
      <c r="S22" s="4" t="str">
        <f>IF(ISNA(LEFT(VLOOKUP(AD22,MapReference!$Q$9:$S$50,3,0),3)),"",LEFT(VLOOKUP(AD22,MapReference!$Q$9:$S$50,3,0),3))</f>
        <v/>
      </c>
      <c r="T22" s="4" t="str">
        <f>IF(ISNA(LEFT(VLOOKUP(AE22,MapReference!$Q$9:$S$50,3,0),3)),"",LEFT(VLOOKUP(AE22,MapReference!$Q$9:$S$50,3,0),3))</f>
        <v/>
      </c>
      <c r="U22" s="4" t="str">
        <f>IF(ISNA(LEFT(VLOOKUP(AF22,MapReference!$Q$9:$S$50,3,0),3)),"",LEFT(VLOOKUP(AF22,MapReference!$Q$9:$S$50,3,0),3))</f>
        <v/>
      </c>
      <c r="V22" t="str">
        <f t="shared" si="2"/>
        <v>Asia</v>
      </c>
      <c r="W22" t="str">
        <f>LEFT(VLOOKUP(X22,MapReference!$Q$9:$S$50,3,0),3)</f>
        <v/>
      </c>
      <c r="X22" s="4" t="s">
        <v>828</v>
      </c>
      <c r="Y22" s="4" t="s">
        <v>392</v>
      </c>
      <c r="Z22" s="4" t="s">
        <v>7</v>
      </c>
      <c r="AA22" s="4" t="s">
        <v>830</v>
      </c>
      <c r="AB22" s="4" t="s">
        <v>831</v>
      </c>
      <c r="AC22" s="4" t="s">
        <v>827</v>
      </c>
      <c r="AD22" s="4" t="s">
        <v>995</v>
      </c>
      <c r="AE22" s="4" t="s">
        <v>995</v>
      </c>
      <c r="AF22" s="4" t="s">
        <v>995</v>
      </c>
      <c r="AJ22" s="147">
        <f t="shared" ca="1" si="3"/>
        <v>8.9173436661589056E-2</v>
      </c>
      <c r="AK22" t="str">
        <f t="shared" si="4"/>
        <v>Hero-Lash of the Tyrant</v>
      </c>
      <c r="AL22" s="4" t="s">
        <v>1146</v>
      </c>
      <c r="AM22" s="4"/>
      <c r="AN22" s="4"/>
      <c r="AO22" s="4" t="s">
        <v>1147</v>
      </c>
    </row>
    <row r="23" spans="2:41" x14ac:dyDescent="0.25">
      <c r="B23" t="s">
        <v>1031</v>
      </c>
      <c r="C23" t="s">
        <v>1052</v>
      </c>
      <c r="E23" t="s">
        <v>1041</v>
      </c>
      <c r="F23" t="str">
        <f>'PL1'!$J$7&amp;" - "&amp;RIGHT(E23,2)</f>
        <v>Patrick - 21</v>
      </c>
      <c r="H23" s="4">
        <v>3</v>
      </c>
      <c r="I23" s="4" t="s">
        <v>1360</v>
      </c>
      <c r="J23" s="4" t="s">
        <v>1405</v>
      </c>
      <c r="M23" s="4" t="str">
        <f>IF(Setup!$AC$55="Move",IF(COUNTIF(P23:U23,$O$4)=0,IF(COUNTIF(P23:U23,"Dea")=0,X23,""),""),IF($O$4=W23,IF(N23=O23,X23,IF(COUNTIF(P23:U23,Setup!$AC$49)=0,X23,"")),""))</f>
        <v/>
      </c>
      <c r="N23">
        <f t="shared" si="0"/>
        <v>0</v>
      </c>
      <c r="O23">
        <f t="shared" si="1"/>
        <v>0</v>
      </c>
      <c r="P23" s="4" t="str">
        <f>IF(ISNA(LEFT(VLOOKUP(AA23,MapReference!$Q$9:$S$50,3,0),3)),"",LEFT(VLOOKUP(AA23,MapReference!$Q$9:$S$50,3,0),3))</f>
        <v/>
      </c>
      <c r="Q23" s="4" t="str">
        <f>IF(ISNA(LEFT(VLOOKUP(AB23,MapReference!$Q$9:$S$50,3,0),3)),"",LEFT(VLOOKUP(AB23,MapReference!$Q$9:$S$50,3,0),3))</f>
        <v/>
      </c>
      <c r="R23" s="4" t="str">
        <f>IF(ISNA(LEFT(VLOOKUP(AC23,MapReference!$Q$9:$S$50,3,0),3)),"",LEFT(VLOOKUP(AC23,MapReference!$Q$9:$S$50,3,0),3))</f>
        <v/>
      </c>
      <c r="S23" s="4" t="str">
        <f>IF(ISNA(LEFT(VLOOKUP(AD23,MapReference!$Q$9:$S$50,3,0),3)),"",LEFT(VLOOKUP(AD23,MapReference!$Q$9:$S$50,3,0),3))</f>
        <v/>
      </c>
      <c r="T23" s="4" t="str">
        <f>IF(ISNA(LEFT(VLOOKUP(AE23,MapReference!$Q$9:$S$50,3,0),3)),"",LEFT(VLOOKUP(AE23,MapReference!$Q$9:$S$50,3,0),3))</f>
        <v/>
      </c>
      <c r="U23" s="4" t="str">
        <f>IF(ISNA(LEFT(VLOOKUP(AF23,MapReference!$Q$9:$S$50,3,0),3)),"",LEFT(VLOOKUP(AF23,MapReference!$Q$9:$S$50,3,0),3))</f>
        <v/>
      </c>
      <c r="V23" t="str">
        <f t="shared" si="2"/>
        <v>Australia</v>
      </c>
      <c r="W23" t="str">
        <f>LEFT(VLOOKUP(X23,MapReference!$Q$9:$S$50,3,0),3)</f>
        <v/>
      </c>
      <c r="X23" s="4" t="s">
        <v>841</v>
      </c>
      <c r="Y23" s="4" t="s">
        <v>399</v>
      </c>
      <c r="Z23" s="4" t="s">
        <v>6</v>
      </c>
      <c r="AA23" s="4" t="s">
        <v>840</v>
      </c>
      <c r="AB23" s="4" t="s">
        <v>842</v>
      </c>
      <c r="AC23" s="4" t="s">
        <v>995</v>
      </c>
      <c r="AD23" s="4" t="s">
        <v>995</v>
      </c>
      <c r="AE23" s="4" t="s">
        <v>995</v>
      </c>
      <c r="AF23" s="4" t="s">
        <v>995</v>
      </c>
      <c r="AJ23" s="147">
        <f t="shared" ca="1" si="3"/>
        <v>0.27905237488154699</v>
      </c>
      <c r="AK23" t="str">
        <f t="shared" si="4"/>
        <v>Hero-The Tyrant</v>
      </c>
      <c r="AL23" s="4" t="s">
        <v>1148</v>
      </c>
      <c r="AM23" s="4"/>
      <c r="AN23" s="4"/>
      <c r="AO23" s="4" t="s">
        <v>1149</v>
      </c>
    </row>
    <row r="24" spans="2:41" x14ac:dyDescent="0.25">
      <c r="B24" t="s">
        <v>1052</v>
      </c>
      <c r="C24" t="s">
        <v>1031</v>
      </c>
      <c r="E24" t="s">
        <v>1042</v>
      </c>
      <c r="F24" t="str">
        <f>'PL2'!$J$7&amp;" - "&amp;RIGHT(E24,2)</f>
        <v>Justin - 01</v>
      </c>
      <c r="H24" s="4">
        <v>4</v>
      </c>
      <c r="I24" s="4" t="s">
        <v>397</v>
      </c>
      <c r="J24" s="4" t="s">
        <v>1406</v>
      </c>
      <c r="M24" s="4" t="str">
        <f>IF(Setup!$AC$55="Move",IF(COUNTIF(P24:U24,$O$4)=0,IF(COUNTIF(P24:U24,"Dea")=0,X24,""),""),IF($O$4=W24,IF(N24=O24,X24,IF(COUNTIF(P24:U24,Setup!$AC$49)=0,X24,"")),""))</f>
        <v/>
      </c>
      <c r="N24">
        <f t="shared" si="0"/>
        <v>0</v>
      </c>
      <c r="O24">
        <f t="shared" si="1"/>
        <v>0</v>
      </c>
      <c r="P24" s="4" t="str">
        <f>IF(ISNA(LEFT(VLOOKUP(AA24,MapReference!$Q$9:$S$50,3,0),3)),"",LEFT(VLOOKUP(AA24,MapReference!$Q$9:$S$50,3,0),3))</f>
        <v/>
      </c>
      <c r="Q24" s="4" t="str">
        <f>IF(ISNA(LEFT(VLOOKUP(AB24,MapReference!$Q$9:$S$50,3,0),3)),"",LEFT(VLOOKUP(AB24,MapReference!$Q$9:$S$50,3,0),3))</f>
        <v/>
      </c>
      <c r="R24" s="4" t="str">
        <f>IF(ISNA(LEFT(VLOOKUP(AC24,MapReference!$Q$9:$S$50,3,0),3)),"",LEFT(VLOOKUP(AC24,MapReference!$Q$9:$S$50,3,0),3))</f>
        <v/>
      </c>
      <c r="S24" s="4" t="str">
        <f>IF(ISNA(LEFT(VLOOKUP(AD24,MapReference!$Q$9:$S$50,3,0),3)),"",LEFT(VLOOKUP(AD24,MapReference!$Q$9:$S$50,3,0),3))</f>
        <v/>
      </c>
      <c r="T24" s="4" t="str">
        <f>IF(ISNA(LEFT(VLOOKUP(AE24,MapReference!$Q$9:$S$50,3,0),3)),"",LEFT(VLOOKUP(AE24,MapReference!$Q$9:$S$50,3,0),3))</f>
        <v/>
      </c>
      <c r="U24" s="4" t="str">
        <f>IF(ISNA(LEFT(VLOOKUP(AF24,MapReference!$Q$9:$S$50,3,0),3)),"",LEFT(VLOOKUP(AF24,MapReference!$Q$9:$S$50,3,0),3))</f>
        <v/>
      </c>
      <c r="V24" t="str">
        <f t="shared" si="2"/>
        <v>Australia</v>
      </c>
      <c r="W24" t="str">
        <f>LEFT(VLOOKUP(X24,MapReference!$Q$9:$S$50,3,0),3)</f>
        <v/>
      </c>
      <c r="X24" s="4" t="s">
        <v>839</v>
      </c>
      <c r="Y24" s="4" t="s">
        <v>399</v>
      </c>
      <c r="Z24" s="4" t="s">
        <v>6</v>
      </c>
      <c r="AA24" s="4" t="s">
        <v>838</v>
      </c>
      <c r="AB24" s="4" t="s">
        <v>840</v>
      </c>
      <c r="AC24" s="4" t="s">
        <v>842</v>
      </c>
      <c r="AD24" s="4" t="s">
        <v>995</v>
      </c>
      <c r="AE24" s="4" t="s">
        <v>995</v>
      </c>
      <c r="AF24" s="4" t="s">
        <v>995</v>
      </c>
      <c r="AJ24" s="147">
        <f t="shared" ca="1" si="3"/>
        <v>0.53962913208880381</v>
      </c>
      <c r="AK24" t="str">
        <f t="shared" si="4"/>
        <v>Hero-The Slayer</v>
      </c>
      <c r="AL24" s="4" t="s">
        <v>1150</v>
      </c>
      <c r="AM24" s="4"/>
      <c r="AN24" s="4">
        <v>7</v>
      </c>
      <c r="AO24" s="4" t="s">
        <v>1151</v>
      </c>
    </row>
    <row r="25" spans="2:41" x14ac:dyDescent="0.25">
      <c r="B25" t="s">
        <v>1032</v>
      </c>
      <c r="C25" t="s">
        <v>1053</v>
      </c>
      <c r="E25" t="s">
        <v>1043</v>
      </c>
      <c r="F25" t="str">
        <f>'PL2'!$J$7&amp;" - "&amp;RIGHT(E25,2)</f>
        <v>Justin - 02</v>
      </c>
      <c r="H25" s="4">
        <v>5</v>
      </c>
      <c r="I25" s="4" t="s">
        <v>402</v>
      </c>
      <c r="J25" s="4" t="s">
        <v>1407</v>
      </c>
      <c r="M25" s="4" t="str">
        <f>IF(Setup!$AC$55="Move",IF(COUNTIF(P25:U25,$O$4)=0,IF(COUNTIF(P25:U25,"Dea")=0,X25,""),""),IF($O$4=W25,IF(N25=O25,X25,IF(COUNTIF(P25:U25,Setup!$AC$49)=0,X25,"")),""))</f>
        <v/>
      </c>
      <c r="N25">
        <f t="shared" si="0"/>
        <v>0</v>
      </c>
      <c r="O25">
        <f t="shared" si="1"/>
        <v>0</v>
      </c>
      <c r="P25" s="4" t="str">
        <f>IF(ISNA(LEFT(VLOOKUP(AA25,MapReference!$Q$9:$S$50,3,0),3)),"",LEFT(VLOOKUP(AA25,MapReference!$Q$9:$S$50,3,0),3))</f>
        <v/>
      </c>
      <c r="Q25" s="4" t="str">
        <f>IF(ISNA(LEFT(VLOOKUP(AB25,MapReference!$Q$9:$S$50,3,0),3)),"",LEFT(VLOOKUP(AB25,MapReference!$Q$9:$S$50,3,0),3))</f>
        <v/>
      </c>
      <c r="R25" s="4" t="str">
        <f>IF(ISNA(LEFT(VLOOKUP(AC25,MapReference!$Q$9:$S$50,3,0),3)),"",LEFT(VLOOKUP(AC25,MapReference!$Q$9:$S$50,3,0),3))</f>
        <v/>
      </c>
      <c r="S25" s="4" t="str">
        <f>IF(ISNA(LEFT(VLOOKUP(AD25,MapReference!$Q$9:$S$50,3,0),3)),"",LEFT(VLOOKUP(AD25,MapReference!$Q$9:$S$50,3,0),3))</f>
        <v/>
      </c>
      <c r="T25" s="4" t="str">
        <f>IF(ISNA(LEFT(VLOOKUP(AE25,MapReference!$Q$9:$S$50,3,0),3)),"",LEFT(VLOOKUP(AE25,MapReference!$Q$9:$S$50,3,0),3))</f>
        <v/>
      </c>
      <c r="U25" s="4" t="str">
        <f>IF(ISNA(LEFT(VLOOKUP(AF25,MapReference!$Q$9:$S$50,3,0),3)),"",LEFT(VLOOKUP(AF25,MapReference!$Q$9:$S$50,3,0),3))</f>
        <v/>
      </c>
      <c r="V25" t="str">
        <f t="shared" si="2"/>
        <v>Australia</v>
      </c>
      <c r="W25" t="str">
        <f>LEFT(VLOOKUP(X25,MapReference!$Q$9:$S$50,3,0),3)</f>
        <v/>
      </c>
      <c r="X25" s="4" t="s">
        <v>840</v>
      </c>
      <c r="Y25" s="4" t="s">
        <v>399</v>
      </c>
      <c r="Z25" s="4" t="s">
        <v>6</v>
      </c>
      <c r="AA25" s="4" t="s">
        <v>839</v>
      </c>
      <c r="AB25" s="4" t="s">
        <v>841</v>
      </c>
      <c r="AC25" s="4" t="s">
        <v>842</v>
      </c>
      <c r="AD25" s="4" t="s">
        <v>995</v>
      </c>
      <c r="AE25" s="4" t="s">
        <v>995</v>
      </c>
      <c r="AF25" s="4" t="s">
        <v>995</v>
      </c>
      <c r="AJ25" s="147">
        <f t="shared" ca="1" si="3"/>
        <v>0.58709492688401366</v>
      </c>
      <c r="AK25" t="str">
        <f t="shared" si="4"/>
        <v>Hero-The Harvester</v>
      </c>
      <c r="AL25" s="4" t="s">
        <v>1153</v>
      </c>
      <c r="AM25" s="4"/>
      <c r="AN25" s="4"/>
      <c r="AO25" s="4" t="s">
        <v>1154</v>
      </c>
    </row>
    <row r="26" spans="2:41" x14ac:dyDescent="0.25">
      <c r="B26" t="s">
        <v>1053</v>
      </c>
      <c r="C26" t="s">
        <v>1032</v>
      </c>
      <c r="E26" t="s">
        <v>1044</v>
      </c>
      <c r="F26" t="str">
        <f>'PL2'!$J$7&amp;" - "&amp;RIGHT(E26,2)</f>
        <v>Justin - 03</v>
      </c>
      <c r="H26" s="4">
        <v>6</v>
      </c>
      <c r="I26" s="4" t="s">
        <v>406</v>
      </c>
      <c r="J26" s="4" t="s">
        <v>874</v>
      </c>
      <c r="M26" s="4" t="str">
        <f>IF(Setup!$AC$55="Move",IF(COUNTIF(P26:U26,$O$4)=0,IF(COUNTIF(P26:U26,"Dea")=0,X26,""),""),IF($O$4=W26,IF(N26=O26,X26,IF(COUNTIF(P26:U26,Setup!$AC$49)=0,X26,"")),""))</f>
        <v/>
      </c>
      <c r="N26">
        <f t="shared" si="0"/>
        <v>0</v>
      </c>
      <c r="O26">
        <f t="shared" si="1"/>
        <v>0</v>
      </c>
      <c r="P26" s="4" t="str">
        <f>IF(ISNA(LEFT(VLOOKUP(AA26,MapReference!$Q$9:$S$50,3,0),3)),"",LEFT(VLOOKUP(AA26,MapReference!$Q$9:$S$50,3,0),3))</f>
        <v/>
      </c>
      <c r="Q26" s="4" t="str">
        <f>IF(ISNA(LEFT(VLOOKUP(AB26,MapReference!$Q$9:$S$50,3,0),3)),"",LEFT(VLOOKUP(AB26,MapReference!$Q$9:$S$50,3,0),3))</f>
        <v/>
      </c>
      <c r="R26" s="4" t="str">
        <f>IF(ISNA(LEFT(VLOOKUP(AC26,MapReference!$Q$9:$S$50,3,0),3)),"",LEFT(VLOOKUP(AC26,MapReference!$Q$9:$S$50,3,0),3))</f>
        <v/>
      </c>
      <c r="S26" s="4" t="str">
        <f>IF(ISNA(LEFT(VLOOKUP(AD26,MapReference!$Q$9:$S$50,3,0),3)),"",LEFT(VLOOKUP(AD26,MapReference!$Q$9:$S$50,3,0),3))</f>
        <v/>
      </c>
      <c r="T26" s="4" t="str">
        <f>IF(ISNA(LEFT(VLOOKUP(AE26,MapReference!$Q$9:$S$50,3,0),3)),"",LEFT(VLOOKUP(AE26,MapReference!$Q$9:$S$50,3,0),3))</f>
        <v/>
      </c>
      <c r="U26" s="4" t="str">
        <f>IF(ISNA(LEFT(VLOOKUP(AF26,MapReference!$Q$9:$S$50,3,0),3)),"",LEFT(VLOOKUP(AF26,MapReference!$Q$9:$S$50,3,0),3))</f>
        <v/>
      </c>
      <c r="V26" t="str">
        <f t="shared" si="2"/>
        <v>Australia</v>
      </c>
      <c r="W26" t="str">
        <f>LEFT(VLOOKUP(X26,MapReference!$Q$9:$S$50,3,0),3)</f>
        <v/>
      </c>
      <c r="X26" s="4" t="s">
        <v>842</v>
      </c>
      <c r="Y26" s="4" t="s">
        <v>399</v>
      </c>
      <c r="Z26" s="4" t="s">
        <v>6</v>
      </c>
      <c r="AA26" s="4" t="s">
        <v>841</v>
      </c>
      <c r="AB26" s="4" t="s">
        <v>839</v>
      </c>
      <c r="AC26" s="4" t="s">
        <v>840</v>
      </c>
      <c r="AD26" s="4" t="s">
        <v>995</v>
      </c>
      <c r="AE26" s="4" t="s">
        <v>995</v>
      </c>
      <c r="AF26" s="4" t="s">
        <v>995</v>
      </c>
      <c r="AJ26" s="147">
        <f t="shared" ca="1" si="3"/>
        <v>0.13543468568970152</v>
      </c>
      <c r="AK26" s="144" t="s">
        <v>799</v>
      </c>
    </row>
    <row r="27" spans="2:41" x14ac:dyDescent="0.25">
      <c r="B27" t="s">
        <v>1033</v>
      </c>
      <c r="C27" t="s">
        <v>1054</v>
      </c>
      <c r="E27" t="s">
        <v>1045</v>
      </c>
      <c r="F27" t="str">
        <f>'PL2'!$J$7&amp;" - "&amp;RIGHT(E27,2)</f>
        <v>Justin - 04</v>
      </c>
      <c r="M27" s="4" t="str">
        <f>IF(Setup!$AC$55="Move",IF(COUNTIF(P27:U27,$O$4)=0,IF(COUNTIF(P27:U27,"Dea")=0,X27,""),""),IF($O$4=W27,IF(N27=O27,X27,IF(COUNTIF(P27:U27,Setup!$AC$49)=0,X27,"")),""))</f>
        <v/>
      </c>
      <c r="N27">
        <f t="shared" si="0"/>
        <v>0</v>
      </c>
      <c r="O27">
        <f t="shared" si="1"/>
        <v>0</v>
      </c>
      <c r="P27" s="4" t="str">
        <f>IF(ISNA(LEFT(VLOOKUP(AA27,MapReference!$Q$9:$S$50,3,0),3)),"",LEFT(VLOOKUP(AA27,MapReference!$Q$9:$S$50,3,0),3))</f>
        <v/>
      </c>
      <c r="Q27" s="4" t="str">
        <f>IF(ISNA(LEFT(VLOOKUP(AB27,MapReference!$Q$9:$S$50,3,0),3)),"",LEFT(VLOOKUP(AB27,MapReference!$Q$9:$S$50,3,0),3))</f>
        <v/>
      </c>
      <c r="R27" s="4" t="str">
        <f>IF(ISNA(LEFT(VLOOKUP(AC27,MapReference!$Q$9:$S$50,3,0),3)),"",LEFT(VLOOKUP(AC27,MapReference!$Q$9:$S$50,3,0),3))</f>
        <v/>
      </c>
      <c r="S27" s="4" t="str">
        <f>IF(ISNA(LEFT(VLOOKUP(AD27,MapReference!$Q$9:$S$50,3,0),3)),"",LEFT(VLOOKUP(AD27,MapReference!$Q$9:$S$50,3,0),3))</f>
        <v/>
      </c>
      <c r="T27" s="4" t="str">
        <f>IF(ISNA(LEFT(VLOOKUP(AE27,MapReference!$Q$9:$S$50,3,0),3)),"",LEFT(VLOOKUP(AE27,MapReference!$Q$9:$S$50,3,0),3))</f>
        <v/>
      </c>
      <c r="U27" s="4" t="str">
        <f>IF(ISNA(LEFT(VLOOKUP(AF27,MapReference!$Q$9:$S$50,3,0),3)),"",LEFT(VLOOKUP(AF27,MapReference!$Q$9:$S$50,3,0),3))</f>
        <v/>
      </c>
      <c r="V27" t="str">
        <f t="shared" si="2"/>
        <v>Europe</v>
      </c>
      <c r="W27" t="str">
        <f>LEFT(VLOOKUP(X27,MapReference!$Q$9:$S$50,3,0),3)</f>
        <v/>
      </c>
      <c r="X27" s="4" t="s">
        <v>849</v>
      </c>
      <c r="Y27" s="4" t="s">
        <v>387</v>
      </c>
      <c r="Z27" s="4" t="s">
        <v>4</v>
      </c>
      <c r="AA27" s="4" t="s">
        <v>847</v>
      </c>
      <c r="AB27" s="4" t="s">
        <v>848</v>
      </c>
      <c r="AC27" s="4" t="s">
        <v>850</v>
      </c>
      <c r="AD27" s="4" t="s">
        <v>852</v>
      </c>
      <c r="AE27" s="4" t="s">
        <v>995</v>
      </c>
      <c r="AF27" s="4" t="s">
        <v>995</v>
      </c>
      <c r="AJ27" s="147">
        <f t="shared" ca="1" si="3"/>
        <v>0.22001613218738802</v>
      </c>
      <c r="AK27" s="144" t="s">
        <v>799</v>
      </c>
    </row>
    <row r="28" spans="2:41" x14ac:dyDescent="0.25">
      <c r="B28" t="s">
        <v>1054</v>
      </c>
      <c r="C28" t="s">
        <v>1033</v>
      </c>
      <c r="E28" t="s">
        <v>1046</v>
      </c>
      <c r="F28" t="str">
        <f>'PL2'!$J$7&amp;" - "&amp;RIGHT(E28,2)</f>
        <v>Justin - 05</v>
      </c>
      <c r="M28" s="4" t="str">
        <f>IF(Setup!$AC$55="Move",IF(COUNTIF(P28:U28,$O$4)=0,IF(COUNTIF(P28:U28,"Dea")=0,X28,""),""),IF($O$4=W28,IF(N28=O28,X28,IF(COUNTIF(P28:U28,Setup!$AC$49)=0,X28,"")),""))</f>
        <v/>
      </c>
      <c r="N28">
        <f t="shared" si="0"/>
        <v>0</v>
      </c>
      <c r="O28">
        <f t="shared" si="1"/>
        <v>0</v>
      </c>
      <c r="P28" s="4" t="str">
        <f>IF(ISNA(LEFT(VLOOKUP(AA28,MapReference!$Q$9:$S$50,3,0),3)),"",LEFT(VLOOKUP(AA28,MapReference!$Q$9:$S$50,3,0),3))</f>
        <v/>
      </c>
      <c r="Q28" s="4" t="str">
        <f>IF(ISNA(LEFT(VLOOKUP(AB28,MapReference!$Q$9:$S$50,3,0),3)),"",LEFT(VLOOKUP(AB28,MapReference!$Q$9:$S$50,3,0),3))</f>
        <v/>
      </c>
      <c r="R28" s="4" t="str">
        <f>IF(ISNA(LEFT(VLOOKUP(AC28,MapReference!$Q$9:$S$50,3,0),3)),"",LEFT(VLOOKUP(AC28,MapReference!$Q$9:$S$50,3,0),3))</f>
        <v/>
      </c>
      <c r="S28" s="4" t="str">
        <f>IF(ISNA(LEFT(VLOOKUP(AD28,MapReference!$Q$9:$S$50,3,0),3)),"",LEFT(VLOOKUP(AD28,MapReference!$Q$9:$S$50,3,0),3))</f>
        <v/>
      </c>
      <c r="T28" s="4" t="str">
        <f>IF(ISNA(LEFT(VLOOKUP(AE28,MapReference!$Q$9:$S$50,3,0),3)),"",LEFT(VLOOKUP(AE28,MapReference!$Q$9:$S$50,3,0),3))</f>
        <v/>
      </c>
      <c r="U28" s="4" t="str">
        <f>IF(ISNA(LEFT(VLOOKUP(AF28,MapReference!$Q$9:$S$50,3,0),3)),"",LEFT(VLOOKUP(AF28,MapReference!$Q$9:$S$50,3,0),3))</f>
        <v/>
      </c>
      <c r="V28" t="str">
        <f t="shared" si="2"/>
        <v>Europe</v>
      </c>
      <c r="W28" t="str">
        <f>LEFT(VLOOKUP(X28,MapReference!$Q$9:$S$50,3,0),3)</f>
        <v/>
      </c>
      <c r="X28" s="4" t="s">
        <v>847</v>
      </c>
      <c r="Y28" s="4" t="s">
        <v>387</v>
      </c>
      <c r="Z28" s="4" t="s">
        <v>4</v>
      </c>
      <c r="AA28" s="4" t="s">
        <v>856</v>
      </c>
      <c r="AB28" s="4" t="s">
        <v>848</v>
      </c>
      <c r="AC28" s="4" t="s">
        <v>849</v>
      </c>
      <c r="AD28" s="4" t="s">
        <v>995</v>
      </c>
      <c r="AE28" s="4" t="s">
        <v>995</v>
      </c>
      <c r="AF28" s="4" t="s">
        <v>995</v>
      </c>
      <c r="AJ28" s="147">
        <f t="shared" ca="1" si="3"/>
        <v>0.77599759153322179</v>
      </c>
      <c r="AK28" s="144" t="s">
        <v>799</v>
      </c>
    </row>
    <row r="29" spans="2:41" x14ac:dyDescent="0.25">
      <c r="B29" t="s">
        <v>1034</v>
      </c>
      <c r="C29" t="s">
        <v>1055</v>
      </c>
      <c r="E29" t="s">
        <v>1047</v>
      </c>
      <c r="F29" t="str">
        <f>'PL2'!$J$7&amp;" - "&amp;RIGHT(E29,2)</f>
        <v>Justin - 06</v>
      </c>
      <c r="M29" s="4" t="str">
        <f>IF(Setup!$AC$55="Move",IF(COUNTIF(P29:U29,$O$4)=0,IF(COUNTIF(P29:U29,"Dea")=0,X29,""),""),IF($O$4=W29,IF(N29=O29,X29,IF(COUNTIF(P29:U29,Setup!$AC$49)=0,X29,"")),""))</f>
        <v/>
      </c>
      <c r="N29">
        <f t="shared" si="0"/>
        <v>0</v>
      </c>
      <c r="O29">
        <f t="shared" si="1"/>
        <v>0</v>
      </c>
      <c r="P29" s="4" t="str">
        <f>IF(ISNA(LEFT(VLOOKUP(AA29,MapReference!$Q$9:$S$50,3,0),3)),"",LEFT(VLOOKUP(AA29,MapReference!$Q$9:$S$50,3,0),3))</f>
        <v/>
      </c>
      <c r="Q29" s="4" t="str">
        <f>IF(ISNA(LEFT(VLOOKUP(AB29,MapReference!$Q$9:$S$50,3,0),3)),"",LEFT(VLOOKUP(AB29,MapReference!$Q$9:$S$50,3,0),3))</f>
        <v/>
      </c>
      <c r="R29" s="4" t="str">
        <f>IF(ISNA(LEFT(VLOOKUP(AC29,MapReference!$Q$9:$S$50,3,0),3)),"",LEFT(VLOOKUP(AC29,MapReference!$Q$9:$S$50,3,0),3))</f>
        <v/>
      </c>
      <c r="S29" s="4" t="str">
        <f>IF(ISNA(LEFT(VLOOKUP(AD29,MapReference!$Q$9:$S$50,3,0),3)),"",LEFT(VLOOKUP(AD29,MapReference!$Q$9:$S$50,3,0),3))</f>
        <v/>
      </c>
      <c r="T29" s="4" t="str">
        <f>IF(ISNA(LEFT(VLOOKUP(AE29,MapReference!$Q$9:$S$50,3,0),3)),"",LEFT(VLOOKUP(AE29,MapReference!$Q$9:$S$50,3,0),3))</f>
        <v/>
      </c>
      <c r="U29" s="4" t="str">
        <f>IF(ISNA(LEFT(VLOOKUP(AF29,MapReference!$Q$9:$S$50,3,0),3)),"",LEFT(VLOOKUP(AF29,MapReference!$Q$9:$S$50,3,0),3))</f>
        <v/>
      </c>
      <c r="V29" t="str">
        <f t="shared" si="2"/>
        <v>Europe</v>
      </c>
      <c r="W29" t="str">
        <f>LEFT(VLOOKUP(X29,MapReference!$Q$9:$S$50,3,0),3)</f>
        <v/>
      </c>
      <c r="X29" s="4" t="s">
        <v>850</v>
      </c>
      <c r="Y29" s="4" t="s">
        <v>387</v>
      </c>
      <c r="Z29" s="4" t="s">
        <v>4</v>
      </c>
      <c r="AA29" s="4" t="s">
        <v>849</v>
      </c>
      <c r="AB29" s="4" t="s">
        <v>848</v>
      </c>
      <c r="AC29" s="4" t="s">
        <v>851</v>
      </c>
      <c r="AD29" s="4" t="s">
        <v>853</v>
      </c>
      <c r="AE29" s="4" t="s">
        <v>852</v>
      </c>
      <c r="AF29" s="4" t="s">
        <v>995</v>
      </c>
      <c r="AJ29" s="147">
        <f t="shared" ca="1" si="3"/>
        <v>0.95804396204396514</v>
      </c>
      <c r="AK29" s="144" t="s">
        <v>799</v>
      </c>
      <c r="AL29" t="s">
        <v>1014</v>
      </c>
    </row>
    <row r="30" spans="2:41" x14ac:dyDescent="0.25">
      <c r="B30" t="s">
        <v>1055</v>
      </c>
      <c r="C30" t="s">
        <v>1034</v>
      </c>
      <c r="E30" t="s">
        <v>1048</v>
      </c>
      <c r="F30" t="str">
        <f>'PL2'!$J$7&amp;" - "&amp;RIGHT(E30,2)</f>
        <v>Justin - 07</v>
      </c>
      <c r="M30" s="4" t="str">
        <f>IF(Setup!$AC$55="Move",IF(COUNTIF(P30:U30,$O$4)=0,IF(COUNTIF(P30:U30,"Dea")=0,X30,""),""),IF($O$4=W30,IF(N30=O30,X30,IF(COUNTIF(P30:U30,Setup!$AC$49)=0,X30,"")),""))</f>
        <v/>
      </c>
      <c r="N30">
        <f t="shared" si="0"/>
        <v>0</v>
      </c>
      <c r="O30">
        <f t="shared" si="1"/>
        <v>0</v>
      </c>
      <c r="P30" s="4" t="str">
        <f>IF(ISNA(LEFT(VLOOKUP(AA30,MapReference!$Q$9:$S$50,3,0),3)),"",LEFT(VLOOKUP(AA30,MapReference!$Q$9:$S$50,3,0),3))</f>
        <v/>
      </c>
      <c r="Q30" s="4" t="str">
        <f>IF(ISNA(LEFT(VLOOKUP(AB30,MapReference!$Q$9:$S$50,3,0),3)),"",LEFT(VLOOKUP(AB30,MapReference!$Q$9:$S$50,3,0),3))</f>
        <v/>
      </c>
      <c r="R30" s="4" t="str">
        <f>IF(ISNA(LEFT(VLOOKUP(AC30,MapReference!$Q$9:$S$50,3,0),3)),"",LEFT(VLOOKUP(AC30,MapReference!$Q$9:$S$50,3,0),3))</f>
        <v/>
      </c>
      <c r="S30" s="4" t="str">
        <f>IF(ISNA(LEFT(VLOOKUP(AD30,MapReference!$Q$9:$S$50,3,0),3)),"",LEFT(VLOOKUP(AD30,MapReference!$Q$9:$S$50,3,0),3))</f>
        <v/>
      </c>
      <c r="T30" s="4" t="str">
        <f>IF(ISNA(LEFT(VLOOKUP(AE30,MapReference!$Q$9:$S$50,3,0),3)),"",LEFT(VLOOKUP(AE30,MapReference!$Q$9:$S$50,3,0),3))</f>
        <v/>
      </c>
      <c r="U30" s="4" t="str">
        <f>IF(ISNA(LEFT(VLOOKUP(AF30,MapReference!$Q$9:$S$50,3,0),3)),"",LEFT(VLOOKUP(AF30,MapReference!$Q$9:$S$50,3,0),3))</f>
        <v/>
      </c>
      <c r="V30" t="str">
        <f t="shared" si="2"/>
        <v>Europe</v>
      </c>
      <c r="W30" t="str">
        <f>LEFT(VLOOKUP(X30,MapReference!$Q$9:$S$50,3,0),3)</f>
        <v/>
      </c>
      <c r="X30" s="4" t="s">
        <v>848</v>
      </c>
      <c r="Y30" s="4" t="s">
        <v>387</v>
      </c>
      <c r="Z30" s="4" t="s">
        <v>4</v>
      </c>
      <c r="AA30" s="4" t="s">
        <v>847</v>
      </c>
      <c r="AB30" s="4" t="s">
        <v>849</v>
      </c>
      <c r="AC30" s="4" t="s">
        <v>850</v>
      </c>
      <c r="AD30" s="4" t="s">
        <v>851</v>
      </c>
      <c r="AE30" s="4" t="s">
        <v>995</v>
      </c>
      <c r="AF30" s="4" t="s">
        <v>995</v>
      </c>
      <c r="AJ30" s="147">
        <f t="shared" ca="1" si="3"/>
        <v>0.7669571225522861</v>
      </c>
      <c r="AK30" t="str">
        <f>"Cons-"&amp;AL30</f>
        <v>Cons-Immeciate Action</v>
      </c>
      <c r="AL30" s="4" t="s">
        <v>1156</v>
      </c>
      <c r="AM30" s="4"/>
      <c r="AN30" s="4"/>
      <c r="AO30" s="4" t="s">
        <v>1157</v>
      </c>
    </row>
    <row r="31" spans="2:41" x14ac:dyDescent="0.25">
      <c r="B31" t="s">
        <v>1035</v>
      </c>
      <c r="C31" t="s">
        <v>1056</v>
      </c>
      <c r="E31" t="s">
        <v>1049</v>
      </c>
      <c r="F31" t="str">
        <f>'PL2'!$J$7&amp;" - "&amp;RIGHT(E31,2)</f>
        <v>Justin - 08</v>
      </c>
      <c r="M31" s="4" t="str">
        <f>IF(Setup!$AC$55="Move",IF(COUNTIF(P31:U31,$O$4)=0,IF(COUNTIF(P31:U31,"Dea")=0,X31,""),""),IF($O$4=W31,IF(N31=O31,X31,IF(COUNTIF(P31:U31,Setup!$AC$49)=0,X31,"")),""))</f>
        <v/>
      </c>
      <c r="N31">
        <f t="shared" si="0"/>
        <v>0</v>
      </c>
      <c r="O31">
        <f t="shared" si="1"/>
        <v>0</v>
      </c>
      <c r="P31" s="4" t="str">
        <f>IF(ISNA(LEFT(VLOOKUP(AA31,MapReference!$Q$9:$S$50,3,0),3)),"",LEFT(VLOOKUP(AA31,MapReference!$Q$9:$S$50,3,0),3))</f>
        <v/>
      </c>
      <c r="Q31" s="4" t="str">
        <f>IF(ISNA(LEFT(VLOOKUP(AB31,MapReference!$Q$9:$S$50,3,0),3)),"",LEFT(VLOOKUP(AB31,MapReference!$Q$9:$S$50,3,0),3))</f>
        <v/>
      </c>
      <c r="R31" s="4" t="str">
        <f>IF(ISNA(LEFT(VLOOKUP(AC31,MapReference!$Q$9:$S$50,3,0),3)),"",LEFT(VLOOKUP(AC31,MapReference!$Q$9:$S$50,3,0),3))</f>
        <v/>
      </c>
      <c r="S31" s="4" t="str">
        <f>IF(ISNA(LEFT(VLOOKUP(AD31,MapReference!$Q$9:$S$50,3,0),3)),"",LEFT(VLOOKUP(AD31,MapReference!$Q$9:$S$50,3,0),3))</f>
        <v/>
      </c>
      <c r="T31" s="4" t="str">
        <f>IF(ISNA(LEFT(VLOOKUP(AE31,MapReference!$Q$9:$S$50,3,0),3)),"",LEFT(VLOOKUP(AE31,MapReference!$Q$9:$S$50,3,0),3))</f>
        <v/>
      </c>
      <c r="U31" s="4" t="str">
        <f>IF(ISNA(LEFT(VLOOKUP(AF31,MapReference!$Q$9:$S$50,3,0),3)),"",LEFT(VLOOKUP(AF31,MapReference!$Q$9:$S$50,3,0),3))</f>
        <v/>
      </c>
      <c r="V31" t="str">
        <f t="shared" si="2"/>
        <v>Europe</v>
      </c>
      <c r="W31" t="str">
        <f>LEFT(VLOOKUP(X31,MapReference!$Q$9:$S$50,3,0),3)</f>
        <v/>
      </c>
      <c r="X31" s="4" t="s">
        <v>853</v>
      </c>
      <c r="Y31" s="4" t="s">
        <v>387</v>
      </c>
      <c r="Z31" s="4" t="s">
        <v>4</v>
      </c>
      <c r="AA31" s="4" t="s">
        <v>852</v>
      </c>
      <c r="AB31" s="4" t="s">
        <v>850</v>
      </c>
      <c r="AC31" s="4" t="s">
        <v>851</v>
      </c>
      <c r="AD31" s="4" t="s">
        <v>836</v>
      </c>
      <c r="AE31" s="4" t="s">
        <v>822</v>
      </c>
      <c r="AF31" s="4" t="s">
        <v>821</v>
      </c>
      <c r="AJ31" s="147">
        <f t="shared" ca="1" si="3"/>
        <v>0.86126035278476976</v>
      </c>
      <c r="AK31" t="str">
        <f t="shared" ref="AK31:AK42" si="5">"Cons-"&amp;AL31</f>
        <v>Cons-Double Stroke</v>
      </c>
      <c r="AL31" s="4" t="s">
        <v>1158</v>
      </c>
      <c r="AM31" s="4"/>
      <c r="AN31" s="4"/>
      <c r="AO31" s="4" t="s">
        <v>1159</v>
      </c>
    </row>
    <row r="32" spans="2:41" x14ac:dyDescent="0.25">
      <c r="B32" t="s">
        <v>1056</v>
      </c>
      <c r="C32" t="s">
        <v>1035</v>
      </c>
      <c r="E32" t="s">
        <v>1050</v>
      </c>
      <c r="F32" t="str">
        <f>'PL2'!$J$7&amp;" - "&amp;RIGHT(E32,2)</f>
        <v>Justin - 09</v>
      </c>
      <c r="M32" s="4" t="str">
        <f>IF(Setup!$AC$55="Move",IF(COUNTIF(P32:U32,$O$4)=0,IF(COUNTIF(P32:U32,"Dea")=0,X32,""),""),IF($O$4=W32,IF(N32=O32,X32,IF(COUNTIF(P32:U32,Setup!$AC$49)=0,X32,"")),""))</f>
        <v/>
      </c>
      <c r="N32">
        <f t="shared" si="0"/>
        <v>0</v>
      </c>
      <c r="O32">
        <f t="shared" si="1"/>
        <v>0</v>
      </c>
      <c r="P32" s="4" t="str">
        <f>IF(ISNA(LEFT(VLOOKUP(AA32,MapReference!$Q$9:$S$50,3,0),3)),"",LEFT(VLOOKUP(AA32,MapReference!$Q$9:$S$50,3,0),3))</f>
        <v/>
      </c>
      <c r="Q32" s="4" t="str">
        <f>IF(ISNA(LEFT(VLOOKUP(AB32,MapReference!$Q$9:$S$50,3,0),3)),"",LEFT(VLOOKUP(AB32,MapReference!$Q$9:$S$50,3,0),3))</f>
        <v/>
      </c>
      <c r="R32" s="4" t="str">
        <f>IF(ISNA(LEFT(VLOOKUP(AC32,MapReference!$Q$9:$S$50,3,0),3)),"",LEFT(VLOOKUP(AC32,MapReference!$Q$9:$S$50,3,0),3))</f>
        <v/>
      </c>
      <c r="S32" s="4" t="str">
        <f>IF(ISNA(LEFT(VLOOKUP(AD32,MapReference!$Q$9:$S$50,3,0),3)),"",LEFT(VLOOKUP(AD32,MapReference!$Q$9:$S$50,3,0),3))</f>
        <v/>
      </c>
      <c r="T32" s="4" t="str">
        <f>IF(ISNA(LEFT(VLOOKUP(AE32,MapReference!$Q$9:$S$50,3,0),3)),"",LEFT(VLOOKUP(AE32,MapReference!$Q$9:$S$50,3,0),3))</f>
        <v/>
      </c>
      <c r="U32" s="4" t="str">
        <f>IF(ISNA(LEFT(VLOOKUP(AF32,MapReference!$Q$9:$S$50,3,0),3)),"",LEFT(VLOOKUP(AF32,MapReference!$Q$9:$S$50,3,0),3))</f>
        <v/>
      </c>
      <c r="V32" t="str">
        <f t="shared" si="2"/>
        <v>Europe</v>
      </c>
      <c r="W32" t="str">
        <f>LEFT(VLOOKUP(X32,MapReference!$Q$9:$S$50,3,0),3)</f>
        <v/>
      </c>
      <c r="X32" s="4" t="s">
        <v>851</v>
      </c>
      <c r="Y32" s="4" t="s">
        <v>387</v>
      </c>
      <c r="Z32" s="4" t="s">
        <v>4</v>
      </c>
      <c r="AA32" s="4" t="s">
        <v>848</v>
      </c>
      <c r="AB32" s="4" t="s">
        <v>850</v>
      </c>
      <c r="AC32" s="4" t="s">
        <v>853</v>
      </c>
      <c r="AD32" s="4" t="s">
        <v>836</v>
      </c>
      <c r="AE32" s="4" t="s">
        <v>832</v>
      </c>
      <c r="AF32" s="4" t="s">
        <v>829</v>
      </c>
      <c r="AJ32" s="147">
        <f t="shared" ca="1" si="3"/>
        <v>0.50093742482199066</v>
      </c>
      <c r="AK32" t="str">
        <f t="shared" si="5"/>
        <v>Cons-Backup Plan</v>
      </c>
      <c r="AL32" s="4" t="s">
        <v>1160</v>
      </c>
      <c r="AM32" s="4"/>
      <c r="AN32" s="4"/>
      <c r="AO32" s="4" t="s">
        <v>1161</v>
      </c>
    </row>
    <row r="33" spans="2:41" x14ac:dyDescent="0.25">
      <c r="B33" t="s">
        <v>1036</v>
      </c>
      <c r="C33" t="s">
        <v>1057</v>
      </c>
      <c r="E33" t="s">
        <v>1051</v>
      </c>
      <c r="F33" t="str">
        <f>'PL2'!$J$7&amp;" - "&amp;RIGHT(E33,2)</f>
        <v>Justin - 10</v>
      </c>
      <c r="M33" s="4" t="str">
        <f>IF(Setup!$AC$55="Move",IF(COUNTIF(P33:U33,$O$4)=0,IF(COUNTIF(P33:U33,"Dea")=0,X33,""),""),IF($O$4=W33,IF(N33=O33,X33,IF(COUNTIF(P33:U33,Setup!$AC$49)=0,X33,"")),""))</f>
        <v/>
      </c>
      <c r="N33">
        <f t="shared" si="0"/>
        <v>0</v>
      </c>
      <c r="O33">
        <f t="shared" si="1"/>
        <v>0</v>
      </c>
      <c r="P33" s="4" t="str">
        <f>IF(ISNA(LEFT(VLOOKUP(AA33,MapReference!$Q$9:$S$50,3,0),3)),"",LEFT(VLOOKUP(AA33,MapReference!$Q$9:$S$50,3,0),3))</f>
        <v/>
      </c>
      <c r="Q33" s="4" t="str">
        <f>IF(ISNA(LEFT(VLOOKUP(AB33,MapReference!$Q$9:$S$50,3,0),3)),"",LEFT(VLOOKUP(AB33,MapReference!$Q$9:$S$50,3,0),3))</f>
        <v/>
      </c>
      <c r="R33" s="4" t="str">
        <f>IF(ISNA(LEFT(VLOOKUP(AC33,MapReference!$Q$9:$S$50,3,0),3)),"",LEFT(VLOOKUP(AC33,MapReference!$Q$9:$S$50,3,0),3))</f>
        <v/>
      </c>
      <c r="S33" s="4" t="str">
        <f>IF(ISNA(LEFT(VLOOKUP(AD33,MapReference!$Q$9:$S$50,3,0),3)),"",LEFT(VLOOKUP(AD33,MapReference!$Q$9:$S$50,3,0),3))</f>
        <v/>
      </c>
      <c r="T33" s="4" t="str">
        <f>IF(ISNA(LEFT(VLOOKUP(AE33,MapReference!$Q$9:$S$50,3,0),3)),"",LEFT(VLOOKUP(AE33,MapReference!$Q$9:$S$50,3,0),3))</f>
        <v/>
      </c>
      <c r="U33" s="4" t="str">
        <f>IF(ISNA(LEFT(VLOOKUP(AF33,MapReference!$Q$9:$S$50,3,0),3)),"",LEFT(VLOOKUP(AF33,MapReference!$Q$9:$S$50,3,0),3))</f>
        <v/>
      </c>
      <c r="V33" t="str">
        <f t="shared" si="2"/>
        <v>Europe</v>
      </c>
      <c r="W33" t="str">
        <f>LEFT(VLOOKUP(X33,MapReference!$Q$9:$S$50,3,0),3)</f>
        <v/>
      </c>
      <c r="X33" s="4" t="s">
        <v>852</v>
      </c>
      <c r="Y33" s="4" t="s">
        <v>387</v>
      </c>
      <c r="Z33" s="4" t="s">
        <v>4</v>
      </c>
      <c r="AA33" s="4" t="s">
        <v>849</v>
      </c>
      <c r="AB33" s="4" t="s">
        <v>850</v>
      </c>
      <c r="AC33" s="4" t="s">
        <v>821</v>
      </c>
      <c r="AD33" s="4" t="s">
        <v>853</v>
      </c>
      <c r="AE33" s="4" t="s">
        <v>995</v>
      </c>
      <c r="AF33" s="4" t="s">
        <v>995</v>
      </c>
      <c r="AJ33" s="147">
        <f t="shared" ca="1" si="3"/>
        <v>0.60876522246585996</v>
      </c>
      <c r="AK33" t="str">
        <f t="shared" si="5"/>
        <v>Cons-Unexpected Results</v>
      </c>
      <c r="AL33" s="4" t="s">
        <v>1162</v>
      </c>
      <c r="AM33" s="4"/>
      <c r="AN33" s="4"/>
      <c r="AO33" s="4" t="s">
        <v>1163</v>
      </c>
    </row>
    <row r="34" spans="2:41" x14ac:dyDescent="0.25">
      <c r="B34" t="s">
        <v>1057</v>
      </c>
      <c r="C34" t="s">
        <v>1036</v>
      </c>
      <c r="E34" t="s">
        <v>1052</v>
      </c>
      <c r="F34" t="str">
        <f>'PL2'!$J$7&amp;" - "&amp;RIGHT(E34,2)</f>
        <v>Justin - 11</v>
      </c>
      <c r="M34" s="4" t="str">
        <f>IF(Setup!$AC$55="Move",IF(COUNTIF(P34:U34,$O$4)=0,IF(COUNTIF(P34:U34,"Dea")=0,X34,""),""),IF($O$4=W34,IF(N34=O34,X34,IF(COUNTIF(P34:U34,Setup!$AC$49)=0,X34,"")),""))</f>
        <v/>
      </c>
      <c r="N34">
        <f t="shared" si="0"/>
        <v>0</v>
      </c>
      <c r="O34">
        <f t="shared" si="1"/>
        <v>0</v>
      </c>
      <c r="P34" s="4" t="str">
        <f>IF(ISNA(LEFT(VLOOKUP(AA34,MapReference!$Q$9:$S$50,3,0),3)),"",LEFT(VLOOKUP(AA34,MapReference!$Q$9:$S$50,3,0),3))</f>
        <v/>
      </c>
      <c r="Q34" s="4" t="str">
        <f>IF(ISNA(LEFT(VLOOKUP(AB34,MapReference!$Q$9:$S$50,3,0),3)),"",LEFT(VLOOKUP(AB34,MapReference!$Q$9:$S$50,3,0),3))</f>
        <v/>
      </c>
      <c r="R34" s="4" t="str">
        <f>IF(ISNA(LEFT(VLOOKUP(AC34,MapReference!$Q$9:$S$50,3,0),3)),"",LEFT(VLOOKUP(AC34,MapReference!$Q$9:$S$50,3,0),3))</f>
        <v/>
      </c>
      <c r="S34" s="4" t="str">
        <f>IF(ISNA(LEFT(VLOOKUP(AD34,MapReference!$Q$9:$S$50,3,0),3)),"",LEFT(VLOOKUP(AD34,MapReference!$Q$9:$S$50,3,0),3))</f>
        <v/>
      </c>
      <c r="T34" s="4" t="str">
        <f>IF(ISNA(LEFT(VLOOKUP(AE34,MapReference!$Q$9:$S$50,3,0),3)),"",LEFT(VLOOKUP(AE34,MapReference!$Q$9:$S$50,3,0),3))</f>
        <v/>
      </c>
      <c r="U34" s="4" t="str">
        <f>IF(ISNA(LEFT(VLOOKUP(AF34,MapReference!$Q$9:$S$50,3,0),3)),"",LEFT(VLOOKUP(AF34,MapReference!$Q$9:$S$50,3,0),3))</f>
        <v/>
      </c>
      <c r="V34" t="str">
        <f t="shared" si="2"/>
        <v>North America</v>
      </c>
      <c r="W34" t="str">
        <f>LEFT(VLOOKUP(X34,MapReference!$Q$9:$S$50,3,0),3)</f>
        <v/>
      </c>
      <c r="X34" s="4" t="s">
        <v>854</v>
      </c>
      <c r="Y34" s="4" t="s">
        <v>381</v>
      </c>
      <c r="Z34" s="4" t="s">
        <v>3</v>
      </c>
      <c r="AA34" s="4" t="s">
        <v>831</v>
      </c>
      <c r="AB34" s="4" t="s">
        <v>855</v>
      </c>
      <c r="AC34" s="4" t="s">
        <v>857</v>
      </c>
      <c r="AD34" s="4" t="s">
        <v>995</v>
      </c>
      <c r="AE34" s="4" t="s">
        <v>995</v>
      </c>
      <c r="AF34" s="4" t="s">
        <v>995</v>
      </c>
      <c r="AJ34" s="147">
        <f t="shared" ca="1" si="3"/>
        <v>0.96075206320371787</v>
      </c>
      <c r="AK34" t="str">
        <f t="shared" si="5"/>
        <v>Cons-Secret Summoning</v>
      </c>
      <c r="AL34" s="4" t="s">
        <v>1164</v>
      </c>
      <c r="AM34" s="4"/>
      <c r="AN34" s="4"/>
      <c r="AO34" s="4" t="s">
        <v>1165</v>
      </c>
    </row>
    <row r="35" spans="2:41" x14ac:dyDescent="0.25">
      <c r="B35" t="s">
        <v>1037</v>
      </c>
      <c r="C35" t="s">
        <v>1058</v>
      </c>
      <c r="E35" t="s">
        <v>1053</v>
      </c>
      <c r="F35" t="str">
        <f>'PL2'!$J$7&amp;" - "&amp;RIGHT(E35,2)</f>
        <v>Justin - 12</v>
      </c>
      <c r="M35" s="4" t="str">
        <f>IF(Setup!$AC$55="Move",IF(COUNTIF(P35:U35,$O$4)=0,IF(COUNTIF(P35:U35,"Dea")=0,X35,""),""),IF($O$4=W35,IF(N35=O35,X35,IF(COUNTIF(P35:U35,Setup!$AC$49)=0,X35,"")),""))</f>
        <v/>
      </c>
      <c r="N35">
        <f t="shared" si="0"/>
        <v>0</v>
      </c>
      <c r="O35">
        <f t="shared" si="1"/>
        <v>0</v>
      </c>
      <c r="P35" s="4" t="str">
        <f>IF(ISNA(LEFT(VLOOKUP(AA35,MapReference!$Q$9:$S$50,3,0),3)),"",LEFT(VLOOKUP(AA35,MapReference!$Q$9:$S$50,3,0),3))</f>
        <v/>
      </c>
      <c r="Q35" s="4" t="str">
        <f>IF(ISNA(LEFT(VLOOKUP(AB35,MapReference!$Q$9:$S$50,3,0),3)),"",LEFT(VLOOKUP(AB35,MapReference!$Q$9:$S$50,3,0),3))</f>
        <v/>
      </c>
      <c r="R35" s="4" t="str">
        <f>IF(ISNA(LEFT(VLOOKUP(AC35,MapReference!$Q$9:$S$50,3,0),3)),"",LEFT(VLOOKUP(AC35,MapReference!$Q$9:$S$50,3,0),3))</f>
        <v/>
      </c>
      <c r="S35" s="4" t="str">
        <f>IF(ISNA(LEFT(VLOOKUP(AD35,MapReference!$Q$9:$S$50,3,0),3)),"",LEFT(VLOOKUP(AD35,MapReference!$Q$9:$S$50,3,0),3))</f>
        <v/>
      </c>
      <c r="T35" s="4" t="str">
        <f>IF(ISNA(LEFT(VLOOKUP(AE35,MapReference!$Q$9:$S$50,3,0),3)),"",LEFT(VLOOKUP(AE35,MapReference!$Q$9:$S$50,3,0),3))</f>
        <v/>
      </c>
      <c r="U35" s="4" t="str">
        <f>IF(ISNA(LEFT(VLOOKUP(AF35,MapReference!$Q$9:$S$50,3,0),3)),"",LEFT(VLOOKUP(AF35,MapReference!$Q$9:$S$50,3,0),3))</f>
        <v/>
      </c>
      <c r="V35" t="str">
        <f t="shared" si="2"/>
        <v>North America</v>
      </c>
      <c r="W35" t="str">
        <f>LEFT(VLOOKUP(X35,MapReference!$Q$9:$S$50,3,0),3)</f>
        <v/>
      </c>
      <c r="X35" s="4" t="s">
        <v>857</v>
      </c>
      <c r="Y35" s="4" t="s">
        <v>381</v>
      </c>
      <c r="Z35" s="4" t="s">
        <v>3</v>
      </c>
      <c r="AA35" s="4" t="s">
        <v>854</v>
      </c>
      <c r="AB35" s="4" t="s">
        <v>855</v>
      </c>
      <c r="AC35" s="4" t="s">
        <v>858</v>
      </c>
      <c r="AD35" s="4" t="s">
        <v>860</v>
      </c>
      <c r="AE35" s="4" t="s">
        <v>995</v>
      </c>
      <c r="AF35" s="4" t="s">
        <v>995</v>
      </c>
      <c r="AJ35" s="147">
        <f t="shared" ca="1" si="3"/>
        <v>0.47682009247148571</v>
      </c>
      <c r="AK35" t="str">
        <f t="shared" si="5"/>
        <v>Cons-Power Play</v>
      </c>
      <c r="AL35" s="4" t="s">
        <v>1166</v>
      </c>
      <c r="AM35" s="4"/>
      <c r="AN35" s="4"/>
      <c r="AO35" s="4" t="s">
        <v>1167</v>
      </c>
    </row>
    <row r="36" spans="2:41" x14ac:dyDescent="0.25">
      <c r="B36" t="s">
        <v>1058</v>
      </c>
      <c r="C36" t="s">
        <v>1037</v>
      </c>
      <c r="E36" t="s">
        <v>1054</v>
      </c>
      <c r="F36" t="str">
        <f>'PL2'!$J$7&amp;" - "&amp;RIGHT(E36,2)</f>
        <v>Justin - 13</v>
      </c>
      <c r="M36" s="4" t="str">
        <f>IF(Setup!$AC$55="Move",IF(COUNTIF(P36:U36,$O$4)=0,IF(COUNTIF(P36:U36,"Dea")=0,X36,""),""),IF($O$4=W36,IF(N36=O36,X36,IF(COUNTIF(P36:U36,Setup!$AC$49)=0,X36,"")),""))</f>
        <v/>
      </c>
      <c r="N36">
        <f t="shared" si="0"/>
        <v>0</v>
      </c>
      <c r="O36">
        <f t="shared" si="1"/>
        <v>0</v>
      </c>
      <c r="P36" s="4" t="str">
        <f>IF(ISNA(LEFT(VLOOKUP(AA36,MapReference!$Q$9:$S$50,3,0),3)),"",LEFT(VLOOKUP(AA36,MapReference!$Q$9:$S$50,3,0),3))</f>
        <v/>
      </c>
      <c r="Q36" s="4" t="str">
        <f>IF(ISNA(LEFT(VLOOKUP(AB36,MapReference!$Q$9:$S$50,3,0),3)),"",LEFT(VLOOKUP(AB36,MapReference!$Q$9:$S$50,3,0),3))</f>
        <v/>
      </c>
      <c r="R36" s="4" t="str">
        <f>IF(ISNA(LEFT(VLOOKUP(AC36,MapReference!$Q$9:$S$50,3,0),3)),"",LEFT(VLOOKUP(AC36,MapReference!$Q$9:$S$50,3,0),3))</f>
        <v/>
      </c>
      <c r="S36" s="4" t="str">
        <f>IF(ISNA(LEFT(VLOOKUP(AD36,MapReference!$Q$9:$S$50,3,0),3)),"",LEFT(VLOOKUP(AD36,MapReference!$Q$9:$S$50,3,0),3))</f>
        <v/>
      </c>
      <c r="T36" s="4" t="str">
        <f>IF(ISNA(LEFT(VLOOKUP(AE36,MapReference!$Q$9:$S$50,3,0),3)),"",LEFT(VLOOKUP(AE36,MapReference!$Q$9:$S$50,3,0),3))</f>
        <v/>
      </c>
      <c r="U36" s="4" t="str">
        <f>IF(ISNA(LEFT(VLOOKUP(AF36,MapReference!$Q$9:$S$50,3,0),3)),"",LEFT(VLOOKUP(AF36,MapReference!$Q$9:$S$50,3,0),3))</f>
        <v/>
      </c>
      <c r="V36" t="str">
        <f t="shared" si="2"/>
        <v>North America</v>
      </c>
      <c r="W36" t="str">
        <f>LEFT(VLOOKUP(X36,MapReference!$Q$9:$S$50,3,0),3)</f>
        <v/>
      </c>
      <c r="X36" s="4" t="s">
        <v>862</v>
      </c>
      <c r="Y36" s="4" t="s">
        <v>381</v>
      </c>
      <c r="Z36" s="4" t="s">
        <v>3</v>
      </c>
      <c r="AA36" s="4" t="s">
        <v>843</v>
      </c>
      <c r="AB36" s="4" t="s">
        <v>861</v>
      </c>
      <c r="AC36" s="4" t="s">
        <v>860</v>
      </c>
      <c r="AD36" s="4" t="s">
        <v>995</v>
      </c>
      <c r="AE36" s="4" t="s">
        <v>995</v>
      </c>
      <c r="AF36" s="4" t="s">
        <v>995</v>
      </c>
      <c r="AJ36" s="147">
        <f t="shared" ca="1" si="3"/>
        <v>0.40666223520998179</v>
      </c>
      <c r="AK36" t="str">
        <f t="shared" si="5"/>
        <v>Cons-Worldknit</v>
      </c>
      <c r="AL36" s="4" t="s">
        <v>1168</v>
      </c>
      <c r="AM36" s="4"/>
      <c r="AN36" s="4"/>
      <c r="AO36" s="4" t="s">
        <v>1181</v>
      </c>
    </row>
    <row r="37" spans="2:41" x14ac:dyDescent="0.25">
      <c r="B37" t="s">
        <v>1038</v>
      </c>
      <c r="C37" t="s">
        <v>1059</v>
      </c>
      <c r="E37" t="s">
        <v>1055</v>
      </c>
      <c r="F37" t="str">
        <f>'PL2'!$J$7&amp;" - "&amp;RIGHT(E37,2)</f>
        <v>Justin - 14</v>
      </c>
      <c r="M37" s="4" t="str">
        <f>IF(Setup!$AC$55="Move",IF(COUNTIF(P37:U37,$O$4)=0,IF(COUNTIF(P37:U37,"Dea")=0,X37,""),""),IF($O$4=W37,IF(N37=O37,X37,IF(COUNTIF(P37:U37,Setup!$AC$49)=0,X37,"")),""))</f>
        <v/>
      </c>
      <c r="N37">
        <f t="shared" si="0"/>
        <v>0</v>
      </c>
      <c r="O37">
        <f t="shared" si="1"/>
        <v>0</v>
      </c>
      <c r="P37" s="4" t="str">
        <f>IF(ISNA(LEFT(VLOOKUP(AA37,MapReference!$Q$9:$S$50,3,0),3)),"",LEFT(VLOOKUP(AA37,MapReference!$Q$9:$S$50,3,0),3))</f>
        <v/>
      </c>
      <c r="Q37" s="4" t="str">
        <f>IF(ISNA(LEFT(VLOOKUP(AB37,MapReference!$Q$9:$S$50,3,0),3)),"",LEFT(VLOOKUP(AB37,MapReference!$Q$9:$S$50,3,0),3))</f>
        <v/>
      </c>
      <c r="R37" s="4" t="str">
        <f>IF(ISNA(LEFT(VLOOKUP(AC37,MapReference!$Q$9:$S$50,3,0),3)),"",LEFT(VLOOKUP(AC37,MapReference!$Q$9:$S$50,3,0),3))</f>
        <v/>
      </c>
      <c r="S37" s="4" t="str">
        <f>IF(ISNA(LEFT(VLOOKUP(AD37,MapReference!$Q$9:$S$50,3,0),3)),"",LEFT(VLOOKUP(AD37,MapReference!$Q$9:$S$50,3,0),3))</f>
        <v/>
      </c>
      <c r="T37" s="4" t="str">
        <f>IF(ISNA(LEFT(VLOOKUP(AE37,MapReference!$Q$9:$S$50,3,0),3)),"",LEFT(VLOOKUP(AE37,MapReference!$Q$9:$S$50,3,0),3))</f>
        <v/>
      </c>
      <c r="U37" s="4" t="str">
        <f>IF(ISNA(LEFT(VLOOKUP(AF37,MapReference!$Q$9:$S$50,3,0),3)),"",LEFT(VLOOKUP(AF37,MapReference!$Q$9:$S$50,3,0),3))</f>
        <v/>
      </c>
      <c r="V37" t="str">
        <f t="shared" si="2"/>
        <v>North America</v>
      </c>
      <c r="W37" t="str">
        <f>LEFT(VLOOKUP(X37,MapReference!$Q$9:$S$50,3,0),3)</f>
        <v/>
      </c>
      <c r="X37" s="4" t="s">
        <v>861</v>
      </c>
      <c r="Y37" s="4" t="s">
        <v>381</v>
      </c>
      <c r="Z37" s="4" t="s">
        <v>3</v>
      </c>
      <c r="AA37" s="4" t="s">
        <v>859</v>
      </c>
      <c r="AB37" s="4" t="s">
        <v>858</v>
      </c>
      <c r="AC37" s="4" t="s">
        <v>860</v>
      </c>
      <c r="AD37" s="4" t="s">
        <v>862</v>
      </c>
      <c r="AE37" s="4" t="s">
        <v>995</v>
      </c>
      <c r="AF37" s="4" t="s">
        <v>995</v>
      </c>
      <c r="AJ37" s="147">
        <f t="shared" ca="1" si="3"/>
        <v>0.38184215083275908</v>
      </c>
      <c r="AK37" t="str">
        <f t="shared" si="5"/>
        <v>Cons-Sentinel Dispatch</v>
      </c>
      <c r="AL37" s="4" t="s">
        <v>1169</v>
      </c>
      <c r="AM37" s="4"/>
      <c r="AN37" s="4"/>
      <c r="AO37" s="4" t="s">
        <v>1170</v>
      </c>
    </row>
    <row r="38" spans="2:41" x14ac:dyDescent="0.25">
      <c r="B38" t="s">
        <v>1059</v>
      </c>
      <c r="C38" t="s">
        <v>1038</v>
      </c>
      <c r="E38" t="s">
        <v>1056</v>
      </c>
      <c r="F38" t="str">
        <f>'PL2'!$J$7&amp;" - "&amp;RIGHT(E38,2)</f>
        <v>Justin - 15</v>
      </c>
      <c r="M38" s="4" t="str">
        <f>IF(Setup!$AC$55="Move",IF(COUNTIF(P38:U38,$O$4)=0,IF(COUNTIF(P38:U38,"Dea")=0,X38,""),""),IF($O$4=W38,IF(N38=O38,X38,IF(COUNTIF(P38:U38,Setup!$AC$49)=0,X38,"")),""))</f>
        <v/>
      </c>
      <c r="N38">
        <f t="shared" si="0"/>
        <v>0</v>
      </c>
      <c r="O38">
        <f t="shared" si="1"/>
        <v>0</v>
      </c>
      <c r="P38" s="4" t="str">
        <f>IF(ISNA(LEFT(VLOOKUP(AA38,MapReference!$Q$9:$S$50,3,0),3)),"",LEFT(VLOOKUP(AA38,MapReference!$Q$9:$S$50,3,0),3))</f>
        <v/>
      </c>
      <c r="Q38" s="4" t="str">
        <f>IF(ISNA(LEFT(VLOOKUP(AB38,MapReference!$Q$9:$S$50,3,0),3)),"",LEFT(VLOOKUP(AB38,MapReference!$Q$9:$S$50,3,0),3))</f>
        <v/>
      </c>
      <c r="R38" s="4" t="str">
        <f>IF(ISNA(LEFT(VLOOKUP(AC38,MapReference!$Q$9:$S$50,3,0),3)),"",LEFT(VLOOKUP(AC38,MapReference!$Q$9:$S$50,3,0),3))</f>
        <v/>
      </c>
      <c r="S38" s="4" t="str">
        <f>IF(ISNA(LEFT(VLOOKUP(AD38,MapReference!$Q$9:$S$50,3,0),3)),"",LEFT(VLOOKUP(AD38,MapReference!$Q$9:$S$50,3,0),3))</f>
        <v/>
      </c>
      <c r="T38" s="4" t="str">
        <f>IF(ISNA(LEFT(VLOOKUP(AE38,MapReference!$Q$9:$S$50,3,0),3)),"",LEFT(VLOOKUP(AE38,MapReference!$Q$9:$S$50,3,0),3))</f>
        <v/>
      </c>
      <c r="U38" s="4" t="str">
        <f>IF(ISNA(LEFT(VLOOKUP(AF38,MapReference!$Q$9:$S$50,3,0),3)),"",LEFT(VLOOKUP(AF38,MapReference!$Q$9:$S$50,3,0),3))</f>
        <v/>
      </c>
      <c r="V38" t="str">
        <f t="shared" si="2"/>
        <v>North America</v>
      </c>
      <c r="W38" t="str">
        <f>LEFT(VLOOKUP(X38,MapReference!$Q$9:$S$50,3,0),3)</f>
        <v/>
      </c>
      <c r="X38" s="4" t="s">
        <v>856</v>
      </c>
      <c r="Y38" s="4" t="s">
        <v>381</v>
      </c>
      <c r="Z38" s="4" t="s">
        <v>3</v>
      </c>
      <c r="AA38" s="4" t="s">
        <v>855</v>
      </c>
      <c r="AB38" s="4" t="s">
        <v>858</v>
      </c>
      <c r="AC38" s="4" t="s">
        <v>859</v>
      </c>
      <c r="AD38" s="4" t="s">
        <v>847</v>
      </c>
      <c r="AE38" s="4" t="s">
        <v>995</v>
      </c>
      <c r="AF38" s="4" t="s">
        <v>995</v>
      </c>
      <c r="AJ38" s="147">
        <f t="shared" ca="1" si="3"/>
        <v>0.66122779658457487</v>
      </c>
      <c r="AK38" t="str">
        <f t="shared" si="5"/>
        <v>Cons-Secrets of Paradise</v>
      </c>
      <c r="AL38" s="4" t="s">
        <v>1171</v>
      </c>
      <c r="AM38" s="4"/>
      <c r="AN38" s="4"/>
      <c r="AO38" s="4" t="s">
        <v>1172</v>
      </c>
    </row>
    <row r="39" spans="2:41" x14ac:dyDescent="0.25">
      <c r="B39" t="s">
        <v>1039</v>
      </c>
      <c r="C39" t="s">
        <v>1060</v>
      </c>
      <c r="E39" t="s">
        <v>1057</v>
      </c>
      <c r="F39" t="str">
        <f>'PL2'!$J$7&amp;" - "&amp;RIGHT(E39,2)</f>
        <v>Justin - 16</v>
      </c>
      <c r="M39" s="4" t="str">
        <f>IF(Setup!$AC$55="Move",IF(COUNTIF(P39:U39,$O$4)=0,IF(COUNTIF(P39:U39,"Dea")=0,X39,""),""),IF($O$4=W39,IF(N39=O39,X39,IF(COUNTIF(P39:U39,Setup!$AC$49)=0,X39,"")),""))</f>
        <v/>
      </c>
      <c r="N39">
        <f t="shared" si="0"/>
        <v>0</v>
      </c>
      <c r="O39">
        <f t="shared" si="1"/>
        <v>0</v>
      </c>
      <c r="P39" s="4" t="str">
        <f>IF(ISNA(LEFT(VLOOKUP(AA39,MapReference!$Q$9:$S$50,3,0),3)),"",LEFT(VLOOKUP(AA39,MapReference!$Q$9:$S$50,3,0),3))</f>
        <v/>
      </c>
      <c r="Q39" s="4" t="str">
        <f>IF(ISNA(LEFT(VLOOKUP(AB39,MapReference!$Q$9:$S$50,3,0),3)),"",LEFT(VLOOKUP(AB39,MapReference!$Q$9:$S$50,3,0),3))</f>
        <v/>
      </c>
      <c r="R39" s="4" t="str">
        <f>IF(ISNA(LEFT(VLOOKUP(AC39,MapReference!$Q$9:$S$50,3,0),3)),"",LEFT(VLOOKUP(AC39,MapReference!$Q$9:$S$50,3,0),3))</f>
        <v/>
      </c>
      <c r="S39" s="4" t="str">
        <f>IF(ISNA(LEFT(VLOOKUP(AD39,MapReference!$Q$9:$S$50,3,0),3)),"",LEFT(VLOOKUP(AD39,MapReference!$Q$9:$S$50,3,0),3))</f>
        <v/>
      </c>
      <c r="T39" s="4" t="str">
        <f>IF(ISNA(LEFT(VLOOKUP(AE39,MapReference!$Q$9:$S$50,3,0),3)),"",LEFT(VLOOKUP(AE39,MapReference!$Q$9:$S$50,3,0),3))</f>
        <v/>
      </c>
      <c r="U39" s="4" t="str">
        <f>IF(ISNA(LEFT(VLOOKUP(AF39,MapReference!$Q$9:$S$50,3,0),3)),"",LEFT(VLOOKUP(AF39,MapReference!$Q$9:$S$50,3,0),3))</f>
        <v/>
      </c>
      <c r="V39" t="str">
        <f t="shared" si="2"/>
        <v>North America</v>
      </c>
      <c r="W39" t="str">
        <f>LEFT(VLOOKUP(X39,MapReference!$Q$9:$S$50,3,0),3)</f>
        <v/>
      </c>
      <c r="X39" s="4" t="s">
        <v>855</v>
      </c>
      <c r="Y39" s="4" t="s">
        <v>381</v>
      </c>
      <c r="Z39" s="4" t="s">
        <v>3</v>
      </c>
      <c r="AA39" s="4" t="s">
        <v>854</v>
      </c>
      <c r="AB39" s="4" t="s">
        <v>857</v>
      </c>
      <c r="AC39" s="4" t="s">
        <v>856</v>
      </c>
      <c r="AD39" s="4" t="s">
        <v>858</v>
      </c>
      <c r="AE39" s="4" t="s">
        <v>995</v>
      </c>
      <c r="AF39" s="4" t="s">
        <v>995</v>
      </c>
      <c r="AJ39" s="147">
        <f t="shared" ca="1" si="3"/>
        <v>0.74389087243859131</v>
      </c>
      <c r="AK39" t="str">
        <f t="shared" si="5"/>
        <v>Cons-Muzzio's Preparations</v>
      </c>
      <c r="AL39" s="4" t="s">
        <v>1173</v>
      </c>
      <c r="AM39" s="4"/>
      <c r="AN39" s="4"/>
      <c r="AO39" s="4" t="s">
        <v>1174</v>
      </c>
    </row>
    <row r="40" spans="2:41" x14ac:dyDescent="0.25">
      <c r="B40" t="s">
        <v>1060</v>
      </c>
      <c r="C40" t="s">
        <v>1039</v>
      </c>
      <c r="E40" t="s">
        <v>1058</v>
      </c>
      <c r="F40" t="str">
        <f>'PL2'!$J$7&amp;" - "&amp;RIGHT(E40,2)</f>
        <v>Justin - 17</v>
      </c>
      <c r="M40" s="4" t="str">
        <f>IF(Setup!$AC$55="Move",IF(COUNTIF(P40:U40,$O$4)=0,IF(COUNTIF(P40:U40,"Dea")=0,X40,""),""),IF($O$4=W40,IF(N40=O40,X40,IF(COUNTIF(P40:U40,Setup!$AC$49)=0,X40,"")),""))</f>
        <v/>
      </c>
      <c r="N40">
        <f t="shared" si="0"/>
        <v>0</v>
      </c>
      <c r="O40">
        <f t="shared" si="1"/>
        <v>0</v>
      </c>
      <c r="P40" s="4" t="str">
        <f>IF(ISNA(LEFT(VLOOKUP(AA40,MapReference!$Q$9:$S$50,3,0),3)),"",LEFT(VLOOKUP(AA40,MapReference!$Q$9:$S$50,3,0),3))</f>
        <v/>
      </c>
      <c r="Q40" s="4" t="str">
        <f>IF(ISNA(LEFT(VLOOKUP(AB40,MapReference!$Q$9:$S$50,3,0),3)),"",LEFT(VLOOKUP(AB40,MapReference!$Q$9:$S$50,3,0),3))</f>
        <v/>
      </c>
      <c r="R40" s="4" t="str">
        <f>IF(ISNA(LEFT(VLOOKUP(AC40,MapReference!$Q$9:$S$50,3,0),3)),"",LEFT(VLOOKUP(AC40,MapReference!$Q$9:$S$50,3,0),3))</f>
        <v/>
      </c>
      <c r="S40" s="4" t="str">
        <f>IF(ISNA(LEFT(VLOOKUP(AD40,MapReference!$Q$9:$S$50,3,0),3)),"",LEFT(VLOOKUP(AD40,MapReference!$Q$9:$S$50,3,0),3))</f>
        <v/>
      </c>
      <c r="T40" s="4" t="str">
        <f>IF(ISNA(LEFT(VLOOKUP(AE40,MapReference!$Q$9:$S$50,3,0),3)),"",LEFT(VLOOKUP(AE40,MapReference!$Q$9:$S$50,3,0),3))</f>
        <v/>
      </c>
      <c r="U40" s="4" t="str">
        <f>IF(ISNA(LEFT(VLOOKUP(AF40,MapReference!$Q$9:$S$50,3,0),3)),"",LEFT(VLOOKUP(AF40,MapReference!$Q$9:$S$50,3,0),3))</f>
        <v/>
      </c>
      <c r="V40" t="str">
        <f t="shared" si="2"/>
        <v>North America</v>
      </c>
      <c r="W40" t="str">
        <f>LEFT(VLOOKUP(X40,MapReference!$Q$9:$S$50,3,0),3)</f>
        <v/>
      </c>
      <c r="X40" s="4" t="s">
        <v>858</v>
      </c>
      <c r="Y40" s="4" t="s">
        <v>381</v>
      </c>
      <c r="Z40" s="4" t="s">
        <v>3</v>
      </c>
      <c r="AA40" s="4" t="s">
        <v>859</v>
      </c>
      <c r="AB40" s="4" t="s">
        <v>861</v>
      </c>
      <c r="AC40" s="4" t="s">
        <v>857</v>
      </c>
      <c r="AD40" s="4" t="s">
        <v>860</v>
      </c>
      <c r="AE40" s="4" t="s">
        <v>855</v>
      </c>
      <c r="AF40" s="4" t="s">
        <v>856</v>
      </c>
      <c r="AJ40" s="147">
        <f t="shared" ca="1" si="3"/>
        <v>0.33121099163819545</v>
      </c>
      <c r="AK40" t="str">
        <f t="shared" si="5"/>
        <v>Cons-Iterative Analysis</v>
      </c>
      <c r="AL40" s="4" t="s">
        <v>1175</v>
      </c>
      <c r="AM40" s="4"/>
      <c r="AN40" s="4"/>
      <c r="AO40" s="4" t="s">
        <v>1176</v>
      </c>
    </row>
    <row r="41" spans="2:41" x14ac:dyDescent="0.25">
      <c r="B41" t="s">
        <v>1040</v>
      </c>
      <c r="C41" t="s">
        <v>1061</v>
      </c>
      <c r="E41" t="s">
        <v>1059</v>
      </c>
      <c r="F41" t="str">
        <f>'PL2'!$J$7&amp;" - "&amp;RIGHT(E41,2)</f>
        <v>Justin - 18</v>
      </c>
      <c r="M41" s="4" t="str">
        <f>IF(Setup!$AC$55="Move",IF(COUNTIF(P41:U41,$O$4)=0,IF(COUNTIF(P41:U41,"Dea")=0,X41,""),""),IF($O$4=W41,IF(N41=O41,X41,IF(COUNTIF(P41:U41,Setup!$AC$49)=0,X41,"")),""))</f>
        <v/>
      </c>
      <c r="N41">
        <f t="shared" si="0"/>
        <v>0</v>
      </c>
      <c r="O41">
        <f t="shared" si="1"/>
        <v>0</v>
      </c>
      <c r="P41" s="4" t="str">
        <f>IF(ISNA(LEFT(VLOOKUP(AA41,MapReference!$Q$9:$S$50,3,0),3)),"",LEFT(VLOOKUP(AA41,MapReference!$Q$9:$S$50,3,0),3))</f>
        <v/>
      </c>
      <c r="Q41" s="4" t="str">
        <f>IF(ISNA(LEFT(VLOOKUP(AB41,MapReference!$Q$9:$S$50,3,0),3)),"",LEFT(VLOOKUP(AB41,MapReference!$Q$9:$S$50,3,0),3))</f>
        <v/>
      </c>
      <c r="R41" s="4" t="str">
        <f>IF(ISNA(LEFT(VLOOKUP(AC41,MapReference!$Q$9:$S$50,3,0),3)),"",LEFT(VLOOKUP(AC41,MapReference!$Q$9:$S$50,3,0),3))</f>
        <v/>
      </c>
      <c r="S41" s="4" t="str">
        <f>IF(ISNA(LEFT(VLOOKUP(AD41,MapReference!$Q$9:$S$50,3,0),3)),"",LEFT(VLOOKUP(AD41,MapReference!$Q$9:$S$50,3,0),3))</f>
        <v/>
      </c>
      <c r="T41" s="4" t="str">
        <f>IF(ISNA(LEFT(VLOOKUP(AE41,MapReference!$Q$9:$S$50,3,0),3)),"",LEFT(VLOOKUP(AE41,MapReference!$Q$9:$S$50,3,0),3))</f>
        <v/>
      </c>
      <c r="U41" s="4" t="str">
        <f>IF(ISNA(LEFT(VLOOKUP(AF41,MapReference!$Q$9:$S$50,3,0),3)),"",LEFT(VLOOKUP(AF41,MapReference!$Q$9:$S$50,3,0),3))</f>
        <v/>
      </c>
      <c r="V41" t="str">
        <f t="shared" si="2"/>
        <v>North America</v>
      </c>
      <c r="W41" t="str">
        <f>LEFT(VLOOKUP(X41,MapReference!$Q$9:$S$50,3,0),3)</f>
        <v/>
      </c>
      <c r="X41" s="4" t="s">
        <v>859</v>
      </c>
      <c r="Y41" s="4" t="s">
        <v>381</v>
      </c>
      <c r="Z41" s="4" t="s">
        <v>3</v>
      </c>
      <c r="AA41" s="4" t="s">
        <v>861</v>
      </c>
      <c r="AB41" s="4" t="s">
        <v>858</v>
      </c>
      <c r="AC41" s="4" t="s">
        <v>856</v>
      </c>
      <c r="AD41" s="4" t="s">
        <v>995</v>
      </c>
      <c r="AE41" s="4" t="s">
        <v>995</v>
      </c>
      <c r="AF41" s="4" t="s">
        <v>995</v>
      </c>
      <c r="AJ41" s="147">
        <f t="shared" ca="1" si="3"/>
        <v>0.10510270392232957</v>
      </c>
      <c r="AK41" t="str">
        <f t="shared" si="5"/>
        <v>Cons-Brago's Favor</v>
      </c>
      <c r="AL41" s="4" t="s">
        <v>1177</v>
      </c>
      <c r="AM41" s="4"/>
      <c r="AN41" s="4"/>
      <c r="AO41" s="4" t="s">
        <v>1178</v>
      </c>
    </row>
    <row r="42" spans="2:41" x14ac:dyDescent="0.25">
      <c r="B42" t="s">
        <v>1061</v>
      </c>
      <c r="C42" t="s">
        <v>1040</v>
      </c>
      <c r="E42" t="s">
        <v>1060</v>
      </c>
      <c r="F42" t="str">
        <f>'PL2'!$J$7&amp;" - "&amp;RIGHT(E42,2)</f>
        <v>Justin - 19</v>
      </c>
      <c r="M42" s="4" t="str">
        <f>IF(Setup!$AC$55="Move",IF(COUNTIF(P42:U42,$O$4)=0,IF(COUNTIF(P42:U42,"Dea")=0,X42,""),""),IF($O$4=W42,IF(N42=O42,X42,IF(COUNTIF(P42:U42,Setup!$AC$49)=0,X42,"")),""))</f>
        <v/>
      </c>
      <c r="N42">
        <f t="shared" si="0"/>
        <v>0</v>
      </c>
      <c r="O42">
        <f t="shared" si="1"/>
        <v>0</v>
      </c>
      <c r="P42" s="4" t="str">
        <f>IF(ISNA(LEFT(VLOOKUP(AA42,MapReference!$Q$9:$S$50,3,0),3)),"",LEFT(VLOOKUP(AA42,MapReference!$Q$9:$S$50,3,0),3))</f>
        <v/>
      </c>
      <c r="Q42" s="4" t="str">
        <f>IF(ISNA(LEFT(VLOOKUP(AB42,MapReference!$Q$9:$S$50,3,0),3)),"",LEFT(VLOOKUP(AB42,MapReference!$Q$9:$S$50,3,0),3))</f>
        <v/>
      </c>
      <c r="R42" s="4" t="str">
        <f>IF(ISNA(LEFT(VLOOKUP(AC42,MapReference!$Q$9:$S$50,3,0),3)),"",LEFT(VLOOKUP(AC42,MapReference!$Q$9:$S$50,3,0),3))</f>
        <v/>
      </c>
      <c r="S42" s="4" t="str">
        <f>IF(ISNA(LEFT(VLOOKUP(AD42,MapReference!$Q$9:$S$50,3,0),3)),"",LEFT(VLOOKUP(AD42,MapReference!$Q$9:$S$50,3,0),3))</f>
        <v/>
      </c>
      <c r="T42" s="4" t="str">
        <f>IF(ISNA(LEFT(VLOOKUP(AE42,MapReference!$Q$9:$S$50,3,0),3)),"",LEFT(VLOOKUP(AE42,MapReference!$Q$9:$S$50,3,0),3))</f>
        <v/>
      </c>
      <c r="U42" s="4" t="str">
        <f>IF(ISNA(LEFT(VLOOKUP(AF42,MapReference!$Q$9:$S$50,3,0),3)),"",LEFT(VLOOKUP(AF42,MapReference!$Q$9:$S$50,3,0),3))</f>
        <v/>
      </c>
      <c r="V42" t="str">
        <f t="shared" si="2"/>
        <v>North America</v>
      </c>
      <c r="W42" t="str">
        <f>LEFT(VLOOKUP(X42,MapReference!$Q$9:$S$50,3,0),3)</f>
        <v/>
      </c>
      <c r="X42" s="4" t="s">
        <v>860</v>
      </c>
      <c r="Y42" s="4" t="s">
        <v>381</v>
      </c>
      <c r="Z42" s="4" t="s">
        <v>3</v>
      </c>
      <c r="AA42" s="4" t="s">
        <v>857</v>
      </c>
      <c r="AB42" s="4" t="s">
        <v>858</v>
      </c>
      <c r="AC42" s="4" t="s">
        <v>862</v>
      </c>
      <c r="AD42" s="4" t="s">
        <v>861</v>
      </c>
      <c r="AE42" s="4" t="s">
        <v>995</v>
      </c>
      <c r="AF42" s="4" t="s">
        <v>995</v>
      </c>
      <c r="AJ42" s="147">
        <f t="shared" ca="1" si="3"/>
        <v>0.41452629488485615</v>
      </c>
      <c r="AK42" t="str">
        <f t="shared" si="5"/>
        <v>Cons-Advantageous Proclamation</v>
      </c>
      <c r="AL42" s="4" t="s">
        <v>1179</v>
      </c>
      <c r="AM42" s="4"/>
      <c r="AN42" s="4"/>
      <c r="AO42" s="4" t="s">
        <v>1180</v>
      </c>
    </row>
    <row r="43" spans="2:41" x14ac:dyDescent="0.25">
      <c r="B43" t="s">
        <v>1041</v>
      </c>
      <c r="C43" t="s">
        <v>1062</v>
      </c>
      <c r="E43" t="s">
        <v>1061</v>
      </c>
      <c r="F43" t="str">
        <f>'PL2'!$J$7&amp;" - "&amp;RIGHT(E43,2)</f>
        <v>Justin - 20</v>
      </c>
      <c r="M43" s="4" t="str">
        <f>IF(Setup!$AC$55="Move",IF(COUNTIF(P43:U43,$O$4)=0,IF(COUNTIF(P43:U43,"Dea")=0,X43,""),""),IF($O$4=W43,IF(N43=O43,X43,IF(COUNTIF(P43:U43,Setup!$AC$49)=0,X43,"")),""))</f>
        <v/>
      </c>
      <c r="N43">
        <f t="shared" si="0"/>
        <v>0</v>
      </c>
      <c r="O43">
        <f t="shared" si="1"/>
        <v>0</v>
      </c>
      <c r="P43" s="4" t="str">
        <f>IF(ISNA(LEFT(VLOOKUP(AA43,MapReference!$Q$9:$S$50,3,0),3)),"",LEFT(VLOOKUP(AA43,MapReference!$Q$9:$S$50,3,0),3))</f>
        <v/>
      </c>
      <c r="Q43" s="4" t="str">
        <f>IF(ISNA(LEFT(VLOOKUP(AB43,MapReference!$Q$9:$S$50,3,0),3)),"",LEFT(VLOOKUP(AB43,MapReference!$Q$9:$S$50,3,0),3))</f>
        <v/>
      </c>
      <c r="R43" s="4" t="str">
        <f>IF(ISNA(LEFT(VLOOKUP(AC43,MapReference!$Q$9:$S$50,3,0),3)),"",LEFT(VLOOKUP(AC43,MapReference!$Q$9:$S$50,3,0),3))</f>
        <v/>
      </c>
      <c r="S43" s="4" t="str">
        <f>IF(ISNA(LEFT(VLOOKUP(AD43,MapReference!$Q$9:$S$50,3,0),3)),"",LEFT(VLOOKUP(AD43,MapReference!$Q$9:$S$50,3,0),3))</f>
        <v/>
      </c>
      <c r="T43" s="4" t="str">
        <f>IF(ISNA(LEFT(VLOOKUP(AE43,MapReference!$Q$9:$S$50,3,0),3)),"",LEFT(VLOOKUP(AE43,MapReference!$Q$9:$S$50,3,0),3))</f>
        <v/>
      </c>
      <c r="U43" s="4" t="str">
        <f>IF(ISNA(LEFT(VLOOKUP(AF43,MapReference!$Q$9:$S$50,3,0),3)),"",LEFT(VLOOKUP(AF43,MapReference!$Q$9:$S$50,3,0),3))</f>
        <v/>
      </c>
      <c r="V43" t="str">
        <f t="shared" si="2"/>
        <v>South America</v>
      </c>
      <c r="W43" t="str">
        <f>LEFT(VLOOKUP(X43,MapReference!$Q$9:$S$50,3,0),3)</f>
        <v/>
      </c>
      <c r="X43" s="4" t="s">
        <v>846</v>
      </c>
      <c r="Y43" s="4" t="s">
        <v>407</v>
      </c>
      <c r="Z43" s="4" t="s">
        <v>380</v>
      </c>
      <c r="AA43" s="4" t="s">
        <v>844</v>
      </c>
      <c r="AB43" s="4" t="s">
        <v>845</v>
      </c>
      <c r="AC43" s="4" t="s">
        <v>995</v>
      </c>
      <c r="AD43" s="4" t="s">
        <v>995</v>
      </c>
      <c r="AE43" s="4" t="s">
        <v>995</v>
      </c>
      <c r="AF43" s="4" t="s">
        <v>995</v>
      </c>
      <c r="AJ43" s="147">
        <f t="shared" ca="1" si="3"/>
        <v>0.35779389902826764</v>
      </c>
      <c r="AK43" s="144" t="s">
        <v>799</v>
      </c>
    </row>
    <row r="44" spans="2:41" x14ac:dyDescent="0.25">
      <c r="B44" t="s">
        <v>1062</v>
      </c>
      <c r="C44" t="s">
        <v>1041</v>
      </c>
      <c r="E44" t="s">
        <v>1062</v>
      </c>
      <c r="F44" t="str">
        <f>'PL2'!$J$7&amp;" - "&amp;RIGHT(E44,2)</f>
        <v>Justin - 21</v>
      </c>
      <c r="M44" s="4" t="str">
        <f>IF(Setup!$AC$55="Move",IF(COUNTIF(P44:U44,$O$4)=0,IF(COUNTIF(P44:U44,"Dea")=0,X44,""),""),IF($O$4=W44,IF(N44=O44,X44,IF(COUNTIF(P44:U44,Setup!$AC$49)=0,X44,"")),""))</f>
        <v/>
      </c>
      <c r="N44">
        <f t="shared" si="0"/>
        <v>0</v>
      </c>
      <c r="O44">
        <f t="shared" si="1"/>
        <v>0</v>
      </c>
      <c r="P44" s="4" t="str">
        <f>IF(ISNA(LEFT(VLOOKUP(AA44,MapReference!$Q$9:$S$50,3,0),3)),"",LEFT(VLOOKUP(AA44,MapReference!$Q$9:$S$50,3,0),3))</f>
        <v/>
      </c>
      <c r="Q44" s="4" t="str">
        <f>IF(ISNA(LEFT(VLOOKUP(AB44,MapReference!$Q$9:$S$50,3,0),3)),"",LEFT(VLOOKUP(AB44,MapReference!$Q$9:$S$50,3,0),3))</f>
        <v/>
      </c>
      <c r="R44" s="4" t="str">
        <f>IF(ISNA(LEFT(VLOOKUP(AC44,MapReference!$Q$9:$S$50,3,0),3)),"",LEFT(VLOOKUP(AC44,MapReference!$Q$9:$S$50,3,0),3))</f>
        <v/>
      </c>
      <c r="S44" s="4" t="str">
        <f>IF(ISNA(LEFT(VLOOKUP(AD44,MapReference!$Q$9:$S$50,3,0),3)),"",LEFT(VLOOKUP(AD44,MapReference!$Q$9:$S$50,3,0),3))</f>
        <v/>
      </c>
      <c r="T44" s="4" t="str">
        <f>IF(ISNA(LEFT(VLOOKUP(AE44,MapReference!$Q$9:$S$50,3,0),3)),"",LEFT(VLOOKUP(AE44,MapReference!$Q$9:$S$50,3,0),3))</f>
        <v/>
      </c>
      <c r="U44" s="4" t="str">
        <f>IF(ISNA(LEFT(VLOOKUP(AF44,MapReference!$Q$9:$S$50,3,0),3)),"",LEFT(VLOOKUP(AF44,MapReference!$Q$9:$S$50,3,0),3))</f>
        <v/>
      </c>
      <c r="V44" t="str">
        <f t="shared" si="2"/>
        <v>South America</v>
      </c>
      <c r="W44" t="str">
        <f>LEFT(VLOOKUP(X44,MapReference!$Q$9:$S$50,3,0),3)</f>
        <v/>
      </c>
      <c r="X44" s="4" t="s">
        <v>844</v>
      </c>
      <c r="Y44" s="4" t="s">
        <v>407</v>
      </c>
      <c r="Z44" s="4" t="s">
        <v>380</v>
      </c>
      <c r="AA44" s="4" t="s">
        <v>843</v>
      </c>
      <c r="AB44" s="4" t="s">
        <v>846</v>
      </c>
      <c r="AC44" s="4" t="s">
        <v>845</v>
      </c>
      <c r="AD44" s="4" t="s">
        <v>821</v>
      </c>
      <c r="AE44" s="4" t="s">
        <v>995</v>
      </c>
      <c r="AF44" s="4" t="s">
        <v>995</v>
      </c>
      <c r="AJ44" s="147">
        <f t="shared" ca="1" si="3"/>
        <v>0.71268813515751339</v>
      </c>
      <c r="AK44" s="144" t="s">
        <v>799</v>
      </c>
    </row>
    <row r="45" spans="2:41" x14ac:dyDescent="0.25">
      <c r="M45" s="4" t="str">
        <f>IF(Setup!$AC$55="Move",IF(COUNTIF(P45:U45,$O$4)=0,IF(COUNTIF(P45:U45,"Dea")=0,X45,""),""),IF($O$4=W45,IF(N45=O45,X45,IF(COUNTIF(P45:U45,Setup!$AC$49)=0,X45,"")),""))</f>
        <v/>
      </c>
      <c r="N45">
        <f t="shared" si="0"/>
        <v>0</v>
      </c>
      <c r="O45">
        <f t="shared" si="1"/>
        <v>0</v>
      </c>
      <c r="P45" s="4" t="str">
        <f>IF(ISNA(LEFT(VLOOKUP(AA45,MapReference!$Q$9:$S$50,3,0),3)),"",LEFT(VLOOKUP(AA45,MapReference!$Q$9:$S$50,3,0),3))</f>
        <v/>
      </c>
      <c r="Q45" s="4" t="str">
        <f>IF(ISNA(LEFT(VLOOKUP(AB45,MapReference!$Q$9:$S$50,3,0),3)),"",LEFT(VLOOKUP(AB45,MapReference!$Q$9:$S$50,3,0),3))</f>
        <v/>
      </c>
      <c r="R45" s="4" t="str">
        <f>IF(ISNA(LEFT(VLOOKUP(AC45,MapReference!$Q$9:$S$50,3,0),3)),"",LEFT(VLOOKUP(AC45,MapReference!$Q$9:$S$50,3,0),3))</f>
        <v/>
      </c>
      <c r="S45" s="4" t="str">
        <f>IF(ISNA(LEFT(VLOOKUP(AD45,MapReference!$Q$9:$S$50,3,0),3)),"",LEFT(VLOOKUP(AD45,MapReference!$Q$9:$S$50,3,0),3))</f>
        <v/>
      </c>
      <c r="T45" s="4" t="str">
        <f>IF(ISNA(LEFT(VLOOKUP(AE45,MapReference!$Q$9:$S$50,3,0),3)),"",LEFT(VLOOKUP(AE45,MapReference!$Q$9:$S$50,3,0),3))</f>
        <v/>
      </c>
      <c r="U45" s="4" t="str">
        <f>IF(ISNA(LEFT(VLOOKUP(AF45,MapReference!$Q$9:$S$50,3,0),3)),"",LEFT(VLOOKUP(AF45,MapReference!$Q$9:$S$50,3,0),3))</f>
        <v/>
      </c>
      <c r="V45" t="str">
        <f t="shared" si="2"/>
        <v>South America</v>
      </c>
      <c r="W45" t="str">
        <f>LEFT(VLOOKUP(X45,MapReference!$Q$9:$S$50,3,0),3)</f>
        <v/>
      </c>
      <c r="X45" s="4" t="s">
        <v>845</v>
      </c>
      <c r="Y45" s="4" t="s">
        <v>407</v>
      </c>
      <c r="Z45" s="4" t="s">
        <v>380</v>
      </c>
      <c r="AA45" s="4" t="s">
        <v>844</v>
      </c>
      <c r="AB45" s="4" t="s">
        <v>846</v>
      </c>
      <c r="AC45" s="4" t="s">
        <v>843</v>
      </c>
      <c r="AD45" s="4" t="s">
        <v>995</v>
      </c>
      <c r="AE45" s="4" t="s">
        <v>995</v>
      </c>
      <c r="AF45" s="4" t="s">
        <v>995</v>
      </c>
      <c r="AJ45" s="147">
        <f t="shared" ca="1" si="3"/>
        <v>0.87625007182107639</v>
      </c>
      <c r="AK45" s="144" t="s">
        <v>799</v>
      </c>
    </row>
    <row r="46" spans="2:41" x14ac:dyDescent="0.25">
      <c r="M46" s="4" t="str">
        <f>IF(Setup!$AC$55="Move",IF(COUNTIF(P46:U46,$O$4)=0,IF(COUNTIF(P46:U46,"Dea")=0,X46,""),""),IF($O$4=W46,IF(N46=O46,X46,IF(COUNTIF(P46:U46,Setup!$AC$49)=0,X46,"")),""))</f>
        <v/>
      </c>
      <c r="N46">
        <f t="shared" si="0"/>
        <v>0</v>
      </c>
      <c r="O46">
        <f t="shared" si="1"/>
        <v>0</v>
      </c>
      <c r="P46" s="4" t="str">
        <f>IF(ISNA(LEFT(VLOOKUP(AA46,MapReference!$Q$9:$S$50,3,0),3)),"",LEFT(VLOOKUP(AA46,MapReference!$Q$9:$S$50,3,0),3))</f>
        <v/>
      </c>
      <c r="Q46" s="4" t="str">
        <f>IF(ISNA(LEFT(VLOOKUP(AB46,MapReference!$Q$9:$S$50,3,0),3)),"",LEFT(VLOOKUP(AB46,MapReference!$Q$9:$S$50,3,0),3))</f>
        <v/>
      </c>
      <c r="R46" s="4" t="str">
        <f>IF(ISNA(LEFT(VLOOKUP(AC46,MapReference!$Q$9:$S$50,3,0),3)),"",LEFT(VLOOKUP(AC46,MapReference!$Q$9:$S$50,3,0),3))</f>
        <v/>
      </c>
      <c r="S46" s="4" t="str">
        <f>IF(ISNA(LEFT(VLOOKUP(AD46,MapReference!$Q$9:$S$50,3,0),3)),"",LEFT(VLOOKUP(AD46,MapReference!$Q$9:$S$50,3,0),3))</f>
        <v/>
      </c>
      <c r="T46" s="4" t="str">
        <f>IF(ISNA(LEFT(VLOOKUP(AE46,MapReference!$Q$9:$S$50,3,0),3)),"",LEFT(VLOOKUP(AE46,MapReference!$Q$9:$S$50,3,0),3))</f>
        <v/>
      </c>
      <c r="U46" s="4" t="str">
        <f>IF(ISNA(LEFT(VLOOKUP(AF46,MapReference!$Q$9:$S$50,3,0),3)),"",LEFT(VLOOKUP(AF46,MapReference!$Q$9:$S$50,3,0),3))</f>
        <v/>
      </c>
      <c r="V46" t="str">
        <f t="shared" si="2"/>
        <v>South America</v>
      </c>
      <c r="W46" t="str">
        <f>LEFT(VLOOKUP(X46,MapReference!$Q$9:$S$50,3,0),3)</f>
        <v/>
      </c>
      <c r="X46" s="4" t="s">
        <v>843</v>
      </c>
      <c r="Y46" s="4" t="s">
        <v>407</v>
      </c>
      <c r="Z46" s="4" t="s">
        <v>380</v>
      </c>
      <c r="AA46" s="4" t="s">
        <v>844</v>
      </c>
      <c r="AB46" s="4" t="s">
        <v>845</v>
      </c>
      <c r="AC46" s="4" t="s">
        <v>862</v>
      </c>
      <c r="AD46" s="4" t="s">
        <v>995</v>
      </c>
      <c r="AE46" s="4" t="s">
        <v>995</v>
      </c>
      <c r="AF46" s="4" t="s">
        <v>995</v>
      </c>
      <c r="AJ46" s="147">
        <f t="shared" ca="1" si="3"/>
        <v>0.67574586393520397</v>
      </c>
      <c r="AK46" s="144" t="s">
        <v>799</v>
      </c>
    </row>
    <row r="49" spans="2:34" x14ac:dyDescent="0.25">
      <c r="B49" t="s">
        <v>1018</v>
      </c>
      <c r="C49" t="s">
        <v>1079</v>
      </c>
      <c r="E49" t="s">
        <v>1018</v>
      </c>
      <c r="F49" t="s">
        <v>1082</v>
      </c>
    </row>
    <row r="50" spans="2:34" x14ac:dyDescent="0.25">
      <c r="B50" t="s">
        <v>800</v>
      </c>
      <c r="C50" s="125" t="s">
        <v>400</v>
      </c>
      <c r="E50" t="s">
        <v>800</v>
      </c>
      <c r="F50" s="125" t="s">
        <v>400</v>
      </c>
      <c r="V50" s="144" t="s">
        <v>1441</v>
      </c>
      <c r="W50" s="144" t="s">
        <v>1446</v>
      </c>
    </row>
    <row r="51" spans="2:34" x14ac:dyDescent="0.25">
      <c r="B51" t="s">
        <v>801</v>
      </c>
      <c r="C51" s="126" t="s">
        <v>388</v>
      </c>
      <c r="E51" t="s">
        <v>801</v>
      </c>
      <c r="F51" s="126" t="s">
        <v>388</v>
      </c>
      <c r="M51" t="s">
        <v>796</v>
      </c>
      <c r="N51" t="s">
        <v>797</v>
      </c>
      <c r="P51" t="s">
        <v>798</v>
      </c>
      <c r="V51" s="124" t="str">
        <f>IF(Setup!AC48="PL1",Reference!X51,IF(Setup!AC48="PL2",Reference!Y51,"Undecided"))</f>
        <v>Undecided</v>
      </c>
      <c r="W51" s="124" t="e">
        <f>HLOOKUP(Setup!AC48,Reference!V53:W66,14,0)</f>
        <v>#N/A</v>
      </c>
      <c r="X51" s="124" t="str">
        <f>IF(COUNTBLANK(X60:X65)=6,"NoOwned","Owned")</f>
        <v>NoOwned</v>
      </c>
      <c r="Y51" s="124" t="str">
        <f>IF(COUNTBLANK(Y60:Y65)=6,"NoOwned","Owned")</f>
        <v>NoOwned</v>
      </c>
      <c r="Z51" s="7"/>
      <c r="AA51" s="7"/>
      <c r="AB51" s="7"/>
      <c r="AC51" s="7"/>
      <c r="AD51" s="7"/>
    </row>
    <row r="52" spans="2:34" x14ac:dyDescent="0.25">
      <c r="C52" s="127" t="s">
        <v>820</v>
      </c>
      <c r="E52" t="s">
        <v>817</v>
      </c>
      <c r="F52" s="127" t="s">
        <v>820</v>
      </c>
      <c r="M52" s="4" t="s">
        <v>3</v>
      </c>
      <c r="N52" s="4" t="s">
        <v>382</v>
      </c>
      <c r="P52" s="4" t="s">
        <v>3</v>
      </c>
      <c r="Q52" s="4" t="s">
        <v>4</v>
      </c>
      <c r="R52" s="4" t="s">
        <v>5</v>
      </c>
      <c r="S52" s="4" t="s">
        <v>6</v>
      </c>
      <c r="T52" s="4" t="s">
        <v>7</v>
      </c>
      <c r="V52" s="144" t="s">
        <v>1442</v>
      </c>
      <c r="W52" s="144" t="s">
        <v>1442</v>
      </c>
      <c r="X52" s="144" t="s">
        <v>1237</v>
      </c>
      <c r="Y52" s="144" t="s">
        <v>1237</v>
      </c>
      <c r="Z52" s="144" t="s">
        <v>1238</v>
      </c>
      <c r="AA52" s="144" t="s">
        <v>1238</v>
      </c>
      <c r="AD52" s="2"/>
      <c r="AE52" s="2"/>
    </row>
    <row r="53" spans="2:34" x14ac:dyDescent="0.25">
      <c r="C53" s="128" t="s">
        <v>404</v>
      </c>
      <c r="E53" t="s">
        <v>1083</v>
      </c>
      <c r="F53" s="128" t="s">
        <v>404</v>
      </c>
      <c r="M53" s="4" t="s">
        <v>4</v>
      </c>
      <c r="N53" s="4" t="s">
        <v>388</v>
      </c>
      <c r="P53" s="4" t="s">
        <v>417</v>
      </c>
      <c r="Q53" s="4" t="s">
        <v>418</v>
      </c>
      <c r="R53" s="4" t="s">
        <v>419</v>
      </c>
      <c r="S53" s="4" t="s">
        <v>420</v>
      </c>
      <c r="T53" s="4" t="s">
        <v>419</v>
      </c>
      <c r="V53" s="144" t="str">
        <f>X53</f>
        <v>PL1</v>
      </c>
      <c r="W53" s="144" t="str">
        <f>Y53</f>
        <v>PL2</v>
      </c>
      <c r="X53" s="144" t="s">
        <v>800</v>
      </c>
      <c r="Y53" s="144" t="s">
        <v>801</v>
      </c>
      <c r="Z53" s="144" t="s">
        <v>800</v>
      </c>
      <c r="AA53" s="144" t="s">
        <v>801</v>
      </c>
      <c r="AD53" s="144" t="s">
        <v>1447</v>
      </c>
      <c r="AE53" s="2"/>
    </row>
    <row r="54" spans="2:34" x14ac:dyDescent="0.25">
      <c r="C54" s="124" t="s">
        <v>1078</v>
      </c>
      <c r="E54" t="s">
        <v>865</v>
      </c>
      <c r="F54" s="124" t="s">
        <v>1078</v>
      </c>
      <c r="M54" s="4" t="s">
        <v>5</v>
      </c>
      <c r="N54" s="4" t="s">
        <v>395</v>
      </c>
      <c r="P54" s="4" t="s">
        <v>422</v>
      </c>
      <c r="Q54" s="4" t="s">
        <v>423</v>
      </c>
      <c r="R54" s="4" t="s">
        <v>420</v>
      </c>
      <c r="S54" s="4" t="s">
        <v>424</v>
      </c>
      <c r="T54" s="4" t="s">
        <v>424</v>
      </c>
      <c r="V54" s="4" t="str">
        <f>IF(Z54="Owned",IF(Setup!AN19="","",Setup!AN19),"")</f>
        <v/>
      </c>
      <c r="W54" s="4" t="str">
        <f>IF(AA54="Owned",IF(Setup!AO19="","",Setup!AO19),"")</f>
        <v/>
      </c>
      <c r="X54" s="124">
        <f t="shared" ref="X54:Y59" si="6">COUNTIF($V$5:$V$46,X$53&amp;$AB54)</f>
        <v>0</v>
      </c>
      <c r="Y54" s="124">
        <f t="shared" si="6"/>
        <v>0</v>
      </c>
      <c r="Z54" s="175" t="str">
        <f>IF(X60="",IF(Z60="",IF(X54=0,"Lost","Fighting for"),"Controlled"),"Owned")</f>
        <v>Lost</v>
      </c>
      <c r="AA54" s="175" t="str">
        <f>IF(Y60="",IF(AA60="",IF(Y54=0,"Lost","Fighting for"),"Controlled"),"Owned")</f>
        <v>Lost</v>
      </c>
      <c r="AB54" s="144" t="s">
        <v>394</v>
      </c>
      <c r="AC54" s="144">
        <v>6</v>
      </c>
      <c r="AD54" s="124" t="str">
        <f>IF(Setup!$AC$48="PL1",Reference!Z54,IF(Setup!$AC$48="PL2",Reference!AA54,"Undecided"))</f>
        <v>Undecided</v>
      </c>
      <c r="AE54" s="2"/>
    </row>
    <row r="55" spans="2:34" x14ac:dyDescent="0.25">
      <c r="C55" s="80" t="s">
        <v>871</v>
      </c>
      <c r="E55" t="s">
        <v>872</v>
      </c>
      <c r="F55" s="80" t="s">
        <v>871</v>
      </c>
      <c r="M55" s="4" t="s">
        <v>6</v>
      </c>
      <c r="N55" s="4" t="s">
        <v>400</v>
      </c>
      <c r="P55" s="4" t="s">
        <v>426</v>
      </c>
      <c r="Q55" s="4" t="s">
        <v>427</v>
      </c>
      <c r="R55" s="4" t="s">
        <v>424</v>
      </c>
      <c r="S55" s="4" t="s">
        <v>428</v>
      </c>
      <c r="T55" s="4" t="s">
        <v>428</v>
      </c>
      <c r="V55" s="4" t="str">
        <f>IF(Z55="Owned",IF(Setup!AN20="","",Setup!AN20),"")</f>
        <v/>
      </c>
      <c r="W55" s="4" t="str">
        <f>IF(AA55="Owned",IF(Setup!AO20="","",Setup!AO20),"")</f>
        <v/>
      </c>
      <c r="X55" s="124">
        <f t="shared" si="6"/>
        <v>0</v>
      </c>
      <c r="Y55" s="124">
        <f t="shared" si="6"/>
        <v>0</v>
      </c>
      <c r="Z55" s="175" t="str">
        <f t="shared" ref="Z55:AA55" si="7">IF(X61="",IF(Z61="",IF(X55=0,"Lost","Fighting for"),"Controlled"),"Owned")</f>
        <v>Lost</v>
      </c>
      <c r="AA55" s="175" t="str">
        <f t="shared" si="7"/>
        <v>Lost</v>
      </c>
      <c r="AB55" s="144" t="s">
        <v>392</v>
      </c>
      <c r="AC55" s="144">
        <v>12</v>
      </c>
      <c r="AD55" s="124" t="str">
        <f>IF(Setup!$AC$48="PL1",Reference!Z55,IF(Setup!$AC$48="PL2",Reference!AA55,"Undecided"))</f>
        <v>Undecided</v>
      </c>
      <c r="AE55" s="2"/>
    </row>
    <row r="56" spans="2:34" x14ac:dyDescent="0.25">
      <c r="B56" t="s">
        <v>1080</v>
      </c>
      <c r="C56" s="6" t="s">
        <v>395</v>
      </c>
      <c r="F56" t="s">
        <v>382</v>
      </c>
      <c r="M56" s="4" t="s">
        <v>7</v>
      </c>
      <c r="N56" s="4" t="s">
        <v>404</v>
      </c>
      <c r="P56" s="4" t="s">
        <v>431</v>
      </c>
      <c r="Q56" s="4" t="s">
        <v>432</v>
      </c>
      <c r="R56" s="4" t="s">
        <v>418</v>
      </c>
      <c r="S56" s="4" t="s">
        <v>427</v>
      </c>
      <c r="T56" s="4" t="s">
        <v>423</v>
      </c>
      <c r="V56" s="4" t="str">
        <f>IF(Z56="Owned",IF(Setup!AN21="","",Setup!AN21),"")</f>
        <v/>
      </c>
      <c r="W56" s="4" t="str">
        <f>IF(AA56="Owned",IF(Setup!AO21="","",Setup!AO21),"")</f>
        <v/>
      </c>
      <c r="X56" s="124">
        <f t="shared" si="6"/>
        <v>0</v>
      </c>
      <c r="Y56" s="124">
        <f t="shared" si="6"/>
        <v>0</v>
      </c>
      <c r="Z56" s="175" t="str">
        <f t="shared" ref="Z56:AA56" si="8">IF(X62="",IF(Z62="",IF(X56=0,"Lost","Fighting for"),"Controlled"),"Owned")</f>
        <v>Lost</v>
      </c>
      <c r="AA56" s="175" t="str">
        <f t="shared" si="8"/>
        <v>Lost</v>
      </c>
      <c r="AB56" s="144" t="s">
        <v>399</v>
      </c>
      <c r="AC56" s="144">
        <v>4</v>
      </c>
      <c r="AD56" s="124" t="str">
        <f>IF(Setup!$AC$48="PL1",Reference!Z56,IF(Setup!$AC$48="PL2",Reference!AA56,"Undecided"))</f>
        <v>Undecided</v>
      </c>
      <c r="AE56" s="2"/>
    </row>
    <row r="57" spans="2:34" x14ac:dyDescent="0.25">
      <c r="F57" s="6" t="s">
        <v>395</v>
      </c>
      <c r="M57" s="4" t="s">
        <v>8</v>
      </c>
      <c r="N57" s="4" t="s">
        <v>430</v>
      </c>
      <c r="P57" s="4" t="s">
        <v>436</v>
      </c>
      <c r="Q57" s="4" t="s">
        <v>437</v>
      </c>
      <c r="R57" s="4" t="s">
        <v>423</v>
      </c>
      <c r="S57" s="4" t="s">
        <v>432</v>
      </c>
      <c r="T57" s="4" t="s">
        <v>432</v>
      </c>
      <c r="V57" s="4" t="str">
        <f>IF(Z57="Owned",IF(Setup!AN22="","",Setup!AN22),"")</f>
        <v/>
      </c>
      <c r="W57" s="4" t="str">
        <f>IF(AA57="Owned",IF(Setup!AO22="","",Setup!AO22),"")</f>
        <v/>
      </c>
      <c r="X57" s="124">
        <f t="shared" si="6"/>
        <v>0</v>
      </c>
      <c r="Y57" s="124">
        <f>COUNTIF($V$5:$V$46,Y$53&amp;$AB57)</f>
        <v>0</v>
      </c>
      <c r="Z57" s="175" t="str">
        <f t="shared" ref="Z57:AA57" si="9">IF(X63="",IF(Z63="",IF(X57=0,"Lost","Fighting for"),"Controlled"),"Owned")</f>
        <v>Lost</v>
      </c>
      <c r="AA57" s="175" t="str">
        <f t="shared" si="9"/>
        <v>Lost</v>
      </c>
      <c r="AB57" s="144" t="s">
        <v>407</v>
      </c>
      <c r="AC57" s="144">
        <v>4</v>
      </c>
      <c r="AD57" s="124" t="str">
        <f>IF(Setup!$AC$48="PL1",Reference!Z57,IF(Setup!$AC$48="PL2",Reference!AA57,"Undecided"))</f>
        <v>Undecided</v>
      </c>
      <c r="AE57" s="2"/>
    </row>
    <row r="58" spans="2:34" x14ac:dyDescent="0.25">
      <c r="E58" t="s">
        <v>1080</v>
      </c>
      <c r="F58" t="s">
        <v>873</v>
      </c>
      <c r="M58" s="4" t="s">
        <v>434</v>
      </c>
      <c r="N58" s="4" t="s">
        <v>435</v>
      </c>
      <c r="P58" s="4" t="s">
        <v>440</v>
      </c>
      <c r="Q58" s="4" t="s">
        <v>441</v>
      </c>
      <c r="R58" s="4" t="s">
        <v>427</v>
      </c>
      <c r="S58" s="4" t="s">
        <v>441</v>
      </c>
      <c r="T58" s="4" t="s">
        <v>437</v>
      </c>
      <c r="V58" s="4" t="str">
        <f>IF(Z58="Owned",IF(Setup!AN23="","",Setup!AN23),"")</f>
        <v/>
      </c>
      <c r="W58" s="4" t="str">
        <f>IF(AA58="Owned",IF(Setup!AO23="","",Setup!AO23),"")</f>
        <v/>
      </c>
      <c r="X58" s="124">
        <f t="shared" si="6"/>
        <v>0</v>
      </c>
      <c r="Y58" s="124">
        <f t="shared" si="6"/>
        <v>0</v>
      </c>
      <c r="Z58" s="175" t="str">
        <f t="shared" ref="Z58:AA58" si="10">IF(X64="",IF(Z64="",IF(X58=0,"Lost","Fighting for"),"Controlled"),"Owned")</f>
        <v>Lost</v>
      </c>
      <c r="AA58" s="175" t="str">
        <f t="shared" si="10"/>
        <v>Lost</v>
      </c>
      <c r="AB58" s="144" t="s">
        <v>387</v>
      </c>
      <c r="AC58" s="144">
        <v>7</v>
      </c>
      <c r="AD58" s="124" t="str">
        <f>IF(Setup!$AC$48="PL1",Reference!Z58,IF(Setup!$AC$48="PL2",Reference!AA58,"Undecided"))</f>
        <v>Undecided</v>
      </c>
      <c r="AE58" s="2"/>
      <c r="AF58" s="2"/>
      <c r="AG58" s="2"/>
      <c r="AH58" s="2"/>
    </row>
    <row r="59" spans="2:34" x14ac:dyDescent="0.25">
      <c r="E59" s="80" t="s">
        <v>1323</v>
      </c>
      <c r="F59" s="80" t="s">
        <v>1324</v>
      </c>
      <c r="M59" s="4" t="s">
        <v>417</v>
      </c>
      <c r="N59" s="4" t="s">
        <v>439</v>
      </c>
      <c r="P59" s="4" t="s">
        <v>444</v>
      </c>
      <c r="Q59" s="4" t="s">
        <v>445</v>
      </c>
      <c r="R59" s="4" t="s">
        <v>432</v>
      </c>
      <c r="S59" s="4" t="s">
        <v>445</v>
      </c>
      <c r="T59" s="4" t="s">
        <v>445</v>
      </c>
      <c r="V59" s="4" t="str">
        <f>IF(Z59="Owned",IF(Setup!AN24="","",Setup!AN24),"")</f>
        <v/>
      </c>
      <c r="W59" s="4" t="str">
        <f>IF(AA59="Owned",IF(Setup!AO24="","",Setup!AO24),"")</f>
        <v/>
      </c>
      <c r="X59" s="124">
        <f t="shared" si="6"/>
        <v>0</v>
      </c>
      <c r="Y59" s="124">
        <f t="shared" si="6"/>
        <v>0</v>
      </c>
      <c r="Z59" s="175" t="str">
        <f t="shared" ref="Z59:AA59" si="11">IF(X65="",IF(Z65="",IF(X59=0,"Lost","Fighting for"),"Controlled"),"Owned")</f>
        <v>Lost</v>
      </c>
      <c r="AA59" s="175" t="str">
        <f t="shared" si="11"/>
        <v>Lost</v>
      </c>
      <c r="AB59" s="144" t="s">
        <v>381</v>
      </c>
      <c r="AC59" s="144">
        <v>9</v>
      </c>
      <c r="AD59" s="124" t="str">
        <f>IF(Setup!$AC$48="PL1",Reference!Z59,IF(Setup!$AC$48="PL2",Reference!AA59,"Undecided"))</f>
        <v>Undecided</v>
      </c>
      <c r="AE59" s="2"/>
      <c r="AF59" s="2"/>
      <c r="AG59" s="2"/>
      <c r="AH59" s="2"/>
    </row>
    <row r="60" spans="2:34" x14ac:dyDescent="0.25">
      <c r="B60" t="s">
        <v>1068</v>
      </c>
      <c r="C60" t="str">
        <f>Setup!AA55</f>
        <v>InitialSetup</v>
      </c>
      <c r="E60" s="80" t="s">
        <v>1323</v>
      </c>
      <c r="F60" s="80" t="s">
        <v>1325</v>
      </c>
      <c r="M60" s="4" t="s">
        <v>440</v>
      </c>
      <c r="N60" s="4" t="s">
        <v>443</v>
      </c>
      <c r="P60" s="4" t="s">
        <v>434</v>
      </c>
      <c r="Q60" s="4" t="s">
        <v>434</v>
      </c>
      <c r="R60" s="4" t="s">
        <v>417</v>
      </c>
      <c r="S60" s="4" t="s">
        <v>426</v>
      </c>
      <c r="T60" s="4" t="s">
        <v>422</v>
      </c>
      <c r="V60" s="174" t="str">
        <f>IF(X60="","",IF(V54="","ChooseColor",V54))</f>
        <v/>
      </c>
      <c r="W60" s="174" t="str">
        <f>IF(Y60="","",IF(W54="","ChooseColor",W54))</f>
        <v/>
      </c>
      <c r="X60" s="4" t="str">
        <f>IF(X54=$AC54,$AB54,"")</f>
        <v/>
      </c>
      <c r="Y60" s="4" t="str">
        <f>IF(Y54=$AC54,$AB54,"")</f>
        <v/>
      </c>
      <c r="Z60" s="4" t="str">
        <f>IF(Y54=0,IF(X54=0,"",AB60),"")</f>
        <v/>
      </c>
      <c r="AA60" s="4" t="str">
        <f>IF(X54=0,IF(Y54=0,"",AB60),"")</f>
        <v/>
      </c>
      <c r="AB60" s="144" t="str">
        <f>AB54</f>
        <v>Africa</v>
      </c>
      <c r="AC60" s="124" t="str">
        <f>IF(Z60="",IF(AA60="","","PL2"),"PL1")</f>
        <v/>
      </c>
      <c r="AD60" s="2"/>
      <c r="AE60" s="2"/>
      <c r="AF60" s="2"/>
      <c r="AG60" s="2"/>
      <c r="AH60" s="2"/>
    </row>
    <row r="61" spans="2:34" x14ac:dyDescent="0.25">
      <c r="B61" t="str">
        <f>Setup!Z48</f>
        <v>Current Turn</v>
      </c>
      <c r="C61" t="e">
        <f>VLOOKUP(Setup!AC48,Setup!Z19:AE20,6,0)</f>
        <v>#N/A</v>
      </c>
      <c r="M61" s="4" t="s">
        <v>436</v>
      </c>
      <c r="N61" s="4" t="s">
        <v>447</v>
      </c>
      <c r="P61" s="4" t="s">
        <v>450</v>
      </c>
      <c r="Q61" s="4" t="s">
        <v>450</v>
      </c>
      <c r="R61" s="4" t="s">
        <v>422</v>
      </c>
      <c r="S61" s="4" t="s">
        <v>431</v>
      </c>
      <c r="T61" s="4" t="s">
        <v>431</v>
      </c>
      <c r="V61" s="174" t="str">
        <f t="shared" ref="V61:W61" si="12">IF(X61="","",IF(V55="","ChooseColor",V55))</f>
        <v/>
      </c>
      <c r="W61" s="174" t="str">
        <f t="shared" si="12"/>
        <v/>
      </c>
      <c r="X61" s="4" t="str">
        <f t="shared" ref="X61:Y61" si="13">IF(X55=$AC55,$AB55,"")</f>
        <v/>
      </c>
      <c r="Y61" s="4" t="str">
        <f t="shared" si="13"/>
        <v/>
      </c>
      <c r="Z61" s="4" t="str">
        <f t="shared" ref="Z61:Z65" si="14">IF(Y55=0,IF(X55=0,"",AB61),"")</f>
        <v/>
      </c>
      <c r="AA61" s="4" t="str">
        <f t="shared" ref="AA61:AA65" si="15">IF(X55=0,IF(Y55=0,"",AB61),"")</f>
        <v/>
      </c>
      <c r="AB61" s="144" t="str">
        <f t="shared" ref="AB61:AB65" si="16">AB55</f>
        <v>Asia</v>
      </c>
      <c r="AC61" s="124" t="str">
        <f t="shared" ref="AC61:AC65" si="17">IF(Z61="",IF(AA61="","","PL2"),"PL1")</f>
        <v/>
      </c>
      <c r="AD61" s="2"/>
      <c r="AE61" s="2"/>
      <c r="AF61" s="2"/>
      <c r="AG61" s="2"/>
      <c r="AH61" s="2"/>
    </row>
    <row r="62" spans="2:34" x14ac:dyDescent="0.25">
      <c r="B62" t="str">
        <f>Setup!Z49</f>
        <v>Current Turn Opposite</v>
      </c>
      <c r="C62" t="e">
        <f>VLOOKUP(Setup!AC49,Setup!Z19:AE20,6,0)</f>
        <v>#N/A</v>
      </c>
      <c r="M62" s="4" t="s">
        <v>418</v>
      </c>
      <c r="N62" s="4" t="s">
        <v>449</v>
      </c>
      <c r="P62" s="4" t="s">
        <v>453</v>
      </c>
      <c r="Q62" s="4" t="s">
        <v>453</v>
      </c>
      <c r="R62" s="4" t="s">
        <v>426</v>
      </c>
      <c r="S62" s="4" t="s">
        <v>440</v>
      </c>
      <c r="T62" s="4" t="s">
        <v>436</v>
      </c>
      <c r="V62" s="174" t="str">
        <f t="shared" ref="V62:W62" si="18">IF(X62="","",IF(V56="","ChooseColor",V56))</f>
        <v/>
      </c>
      <c r="W62" s="174" t="str">
        <f t="shared" si="18"/>
        <v/>
      </c>
      <c r="X62" s="4" t="str">
        <f t="shared" ref="X62:Y62" si="19">IF(X56=$AC56,$AB56,"")</f>
        <v/>
      </c>
      <c r="Y62" s="4" t="str">
        <f t="shared" si="19"/>
        <v/>
      </c>
      <c r="Z62" s="4" t="str">
        <f t="shared" si="14"/>
        <v/>
      </c>
      <c r="AA62" s="4" t="str">
        <f t="shared" si="15"/>
        <v/>
      </c>
      <c r="AB62" s="144" t="str">
        <f t="shared" si="16"/>
        <v>Australia</v>
      </c>
      <c r="AC62" s="124" t="str">
        <f t="shared" si="17"/>
        <v/>
      </c>
      <c r="AD62" s="2"/>
      <c r="AE62" s="2"/>
      <c r="AF62" s="2"/>
      <c r="AG62" s="2"/>
      <c r="AH62" s="2"/>
    </row>
    <row r="63" spans="2:34" x14ac:dyDescent="0.25">
      <c r="B63">
        <f ca="1">RANDBETWEEN(1,10)</f>
        <v>7</v>
      </c>
      <c r="C63" t="e">
        <f ca="1">IF(Setup!AA46="Initiative Game",Setup!AB48&amp;" Click to Continue",VLOOKUP(B63,B65:D74,IF(C60="TopofTurn",2,3),0))</f>
        <v>#N/A</v>
      </c>
      <c r="M63" s="4" t="s">
        <v>441</v>
      </c>
      <c r="N63" s="4" t="s">
        <v>452</v>
      </c>
      <c r="P63" s="4" t="s">
        <v>456</v>
      </c>
      <c r="Q63" s="4" t="s">
        <v>456</v>
      </c>
      <c r="R63" s="4" t="s">
        <v>431</v>
      </c>
      <c r="S63" s="4" t="s">
        <v>444</v>
      </c>
      <c r="T63" s="4" t="s">
        <v>444</v>
      </c>
      <c r="V63" s="174" t="str">
        <f t="shared" ref="V63:W63" si="20">IF(X63="","",IF(V57="","ChooseColor",V57))</f>
        <v/>
      </c>
      <c r="W63" s="174" t="str">
        <f t="shared" si="20"/>
        <v/>
      </c>
      <c r="X63" s="4" t="str">
        <f t="shared" ref="X63:Y63" si="21">IF(X57=$AC57,$AB57,"")</f>
        <v/>
      </c>
      <c r="Y63" s="4" t="str">
        <f t="shared" si="21"/>
        <v/>
      </c>
      <c r="Z63" s="4" t="str">
        <f t="shared" si="14"/>
        <v/>
      </c>
      <c r="AA63" s="4" t="str">
        <f t="shared" si="15"/>
        <v/>
      </c>
      <c r="AB63" s="144" t="str">
        <f t="shared" si="16"/>
        <v>South America</v>
      </c>
      <c r="AC63" s="124" t="str">
        <f t="shared" si="17"/>
        <v/>
      </c>
      <c r="AD63" s="2"/>
      <c r="AE63" s="2"/>
      <c r="AF63" s="2"/>
      <c r="AG63" s="2"/>
      <c r="AH63" s="2"/>
    </row>
    <row r="64" spans="2:34" x14ac:dyDescent="0.25">
      <c r="B64" t="s">
        <v>1192</v>
      </c>
      <c r="C64" t="s">
        <v>1216</v>
      </c>
      <c r="D64" t="s">
        <v>1217</v>
      </c>
      <c r="M64" s="4" t="s">
        <v>437</v>
      </c>
      <c r="N64" s="4" t="s">
        <v>455</v>
      </c>
      <c r="P64" s="4" t="s">
        <v>459</v>
      </c>
      <c r="Q64" s="4" t="s">
        <v>459</v>
      </c>
      <c r="R64" s="4" t="s">
        <v>450</v>
      </c>
      <c r="S64" s="4" t="s">
        <v>456</v>
      </c>
      <c r="T64" s="4" t="s">
        <v>453</v>
      </c>
      <c r="V64" s="174" t="str">
        <f t="shared" ref="V64:W64" si="22">IF(X64="","",IF(V58="","ChooseColor",V58))</f>
        <v/>
      </c>
      <c r="W64" s="174" t="str">
        <f t="shared" si="22"/>
        <v/>
      </c>
      <c r="X64" s="4" t="str">
        <f t="shared" ref="X64:Y64" si="23">IF(X58=$AC58,$AB58,"")</f>
        <v/>
      </c>
      <c r="Y64" s="4" t="str">
        <f t="shared" si="23"/>
        <v/>
      </c>
      <c r="Z64" s="4" t="str">
        <f t="shared" si="14"/>
        <v/>
      </c>
      <c r="AA64" s="4" t="str">
        <f t="shared" si="15"/>
        <v/>
      </c>
      <c r="AB64" s="144" t="str">
        <f t="shared" si="16"/>
        <v>Europe</v>
      </c>
      <c r="AC64" s="124" t="str">
        <f t="shared" si="17"/>
        <v/>
      </c>
      <c r="AD64" s="2"/>
      <c r="AE64" s="2"/>
      <c r="AF64" s="2"/>
      <c r="AG64" s="2"/>
      <c r="AH64" s="2"/>
    </row>
    <row r="65" spans="2:34" x14ac:dyDescent="0.25">
      <c r="B65">
        <v>1</v>
      </c>
      <c r="C65" t="e">
        <f>C61&amp;" click for more epic madness"</f>
        <v>#N/A</v>
      </c>
      <c r="D65" t="e">
        <f>"Better luck next time "&amp;C61</f>
        <v>#N/A</v>
      </c>
      <c r="M65" s="4" t="s">
        <v>420</v>
      </c>
      <c r="N65" s="4" t="s">
        <v>458</v>
      </c>
      <c r="P65" s="4" t="s">
        <v>462</v>
      </c>
      <c r="Q65" s="4" t="s">
        <v>462</v>
      </c>
      <c r="R65" s="4" t="s">
        <v>453</v>
      </c>
      <c r="S65" s="4" t="s">
        <v>459</v>
      </c>
      <c r="T65" s="4" t="s">
        <v>459</v>
      </c>
      <c r="V65" s="174" t="str">
        <f t="shared" ref="V65:W65" si="24">IF(X65="","",IF(V59="","ChooseColor",V59))</f>
        <v/>
      </c>
      <c r="W65" s="174" t="str">
        <f t="shared" si="24"/>
        <v/>
      </c>
      <c r="X65" s="4" t="str">
        <f t="shared" ref="X65:Y65" si="25">IF(X59=$AC59,$AB59,"")</f>
        <v/>
      </c>
      <c r="Y65" s="4" t="str">
        <f t="shared" si="25"/>
        <v/>
      </c>
      <c r="Z65" s="4" t="str">
        <f t="shared" si="14"/>
        <v/>
      </c>
      <c r="AA65" s="4" t="str">
        <f t="shared" si="15"/>
        <v/>
      </c>
      <c r="AB65" s="144" t="str">
        <f t="shared" si="16"/>
        <v>North America</v>
      </c>
      <c r="AC65" s="124" t="str">
        <f t="shared" si="17"/>
        <v/>
      </c>
      <c r="AD65" s="2"/>
      <c r="AE65" s="2"/>
      <c r="AF65" s="2"/>
      <c r="AG65" s="2"/>
      <c r="AH65" s="2"/>
    </row>
    <row r="66" spans="2:34" x14ac:dyDescent="0.25">
      <c r="B66">
        <v>2</v>
      </c>
      <c r="C66" t="e">
        <f>C61&amp;" click…  If you dare"</f>
        <v>#N/A</v>
      </c>
      <c r="D66" t="e">
        <f>C62&amp;" got the best of you this time, but you can do it "&amp;C61&amp;"!"</f>
        <v>#N/A</v>
      </c>
      <c r="M66" s="4" t="s">
        <v>419</v>
      </c>
      <c r="N66" s="4" t="s">
        <v>461</v>
      </c>
      <c r="P66" s="4" t="s">
        <v>465</v>
      </c>
      <c r="Q66" s="4" t="s">
        <v>465</v>
      </c>
      <c r="R66" s="4" t="s">
        <v>456</v>
      </c>
      <c r="S66" s="4" t="s">
        <v>465</v>
      </c>
      <c r="T66" s="4" t="s">
        <v>462</v>
      </c>
      <c r="V66" s="124" t="str">
        <f>IF(COUNTBLANK(V54:V59)-COUNTBLANK(V60:V65)=0,"ColorOk","NeedColor")</f>
        <v>ColorOk</v>
      </c>
      <c r="W66" s="124" t="str">
        <f>IF(COUNTBLANK(W54:W59)-COUNTBLANK(W60:W65)=0,"ColorOk","NeedColor")</f>
        <v>ColorOk</v>
      </c>
      <c r="AD66" s="2"/>
      <c r="AE66" s="2"/>
      <c r="AF66" s="2"/>
      <c r="AG66" s="2"/>
      <c r="AH66" s="2"/>
    </row>
    <row r="67" spans="2:34" x14ac:dyDescent="0.25">
      <c r="B67">
        <v>3</v>
      </c>
      <c r="C67" t="e">
        <f>"The crystal ball says "&amp;C61&amp;" will click"</f>
        <v>#N/A</v>
      </c>
      <c r="D67" t="e">
        <f>"Got your ass handed to you "&amp;C61&amp;"? Well click to continue!"</f>
        <v>#N/A</v>
      </c>
      <c r="G67" t="s">
        <v>1230</v>
      </c>
      <c r="H67" t="s">
        <v>1231</v>
      </c>
      <c r="M67" s="4" t="s">
        <v>428</v>
      </c>
      <c r="N67" s="4" t="s">
        <v>464</v>
      </c>
      <c r="P67" s="4" t="s">
        <v>468</v>
      </c>
      <c r="Q67" s="4" t="s">
        <v>468</v>
      </c>
      <c r="R67" s="4" t="s">
        <v>459</v>
      </c>
      <c r="S67" s="4" t="s">
        <v>468</v>
      </c>
      <c r="T67" s="4" t="s">
        <v>468</v>
      </c>
      <c r="Y67" s="2"/>
      <c r="AB67" s="2"/>
      <c r="AC67" s="2"/>
      <c r="AD67" s="2"/>
      <c r="AE67" s="2"/>
      <c r="AF67" s="2"/>
      <c r="AG67" s="2"/>
      <c r="AH67" s="2"/>
    </row>
    <row r="68" spans="2:34" x14ac:dyDescent="0.25">
      <c r="B68">
        <v>4</v>
      </c>
      <c r="C68" t="e">
        <f>C61&amp;" are you going to take that? Click to crush "&amp;C62&amp;"!"</f>
        <v>#N/A</v>
      </c>
      <c r="D68" t="e">
        <f>C61&amp;", it's still your turn"</f>
        <v>#N/A</v>
      </c>
      <c r="M68" s="4" t="s">
        <v>450</v>
      </c>
      <c r="N68" s="4" t="s">
        <v>467</v>
      </c>
      <c r="AB68" s="2"/>
      <c r="AC68" s="2"/>
      <c r="AD68" s="2"/>
      <c r="AE68" s="2"/>
      <c r="AF68" s="2"/>
      <c r="AG68" s="2"/>
      <c r="AH68" s="2"/>
    </row>
    <row r="69" spans="2:34" x14ac:dyDescent="0.25">
      <c r="B69">
        <v>5</v>
      </c>
      <c r="C69" t="e">
        <f>$C$61&amp;" click to continue"</f>
        <v>#N/A</v>
      </c>
      <c r="D69" t="e">
        <f>C61&amp;", you might want to try another deck"</f>
        <v>#N/A</v>
      </c>
      <c r="M69" s="4" t="s">
        <v>465</v>
      </c>
      <c r="N69" s="4" t="s">
        <v>470</v>
      </c>
      <c r="AB69" s="2"/>
      <c r="AC69" s="2"/>
      <c r="AD69" s="2"/>
      <c r="AE69" s="2"/>
      <c r="AF69" s="2"/>
      <c r="AG69" s="2"/>
      <c r="AH69" s="2"/>
    </row>
    <row r="70" spans="2:34" x14ac:dyDescent="0.25">
      <c r="B70">
        <v>6</v>
      </c>
      <c r="C70" t="e">
        <f t="shared" ref="C70:C71" si="26">$C$61&amp;" click to continue"</f>
        <v>#N/A</v>
      </c>
      <c r="D70" t="e">
        <f>$C$71</f>
        <v>#N/A</v>
      </c>
      <c r="M70" s="4" t="s">
        <v>462</v>
      </c>
      <c r="N70" s="4" t="s">
        <v>472</v>
      </c>
      <c r="AB70" s="2"/>
      <c r="AC70" s="2"/>
      <c r="AD70" s="2"/>
      <c r="AE70" s="2"/>
      <c r="AF70" s="2"/>
      <c r="AG70" s="2"/>
      <c r="AH70" s="2"/>
    </row>
    <row r="71" spans="2:34" x14ac:dyDescent="0.25">
      <c r="B71">
        <v>7</v>
      </c>
      <c r="C71" t="e">
        <f t="shared" si="26"/>
        <v>#N/A</v>
      </c>
      <c r="D71" t="e">
        <f t="shared" ref="D71:D74" si="27">$C$71</f>
        <v>#N/A</v>
      </c>
      <c r="M71" s="4" t="s">
        <v>426</v>
      </c>
      <c r="N71" s="4" t="s">
        <v>470</v>
      </c>
      <c r="AB71" s="2"/>
      <c r="AC71" s="2"/>
      <c r="AD71" s="2"/>
      <c r="AE71" s="2"/>
      <c r="AF71" s="2"/>
      <c r="AG71" s="2"/>
      <c r="AH71" s="2"/>
    </row>
    <row r="72" spans="2:34" x14ac:dyDescent="0.25">
      <c r="B72">
        <v>8</v>
      </c>
      <c r="C72" t="e">
        <f>"It's your turn "&amp;C61</f>
        <v>#N/A</v>
      </c>
      <c r="D72" t="e">
        <f t="shared" si="27"/>
        <v>#N/A</v>
      </c>
      <c r="M72" s="4" t="s">
        <v>422</v>
      </c>
      <c r="N72" s="4" t="s">
        <v>475</v>
      </c>
      <c r="AB72" s="2"/>
      <c r="AC72" s="2"/>
      <c r="AD72" s="2"/>
      <c r="AE72" s="2"/>
      <c r="AF72" s="2"/>
      <c r="AG72" s="2"/>
      <c r="AH72" s="2"/>
    </row>
    <row r="73" spans="2:34" x14ac:dyDescent="0.25">
      <c r="B73">
        <v>9</v>
      </c>
      <c r="C73" t="e">
        <f>C61&amp;", click if you must"</f>
        <v>#N/A</v>
      </c>
      <c r="D73" t="e">
        <f t="shared" si="27"/>
        <v>#N/A</v>
      </c>
      <c r="M73" s="4" t="s">
        <v>444</v>
      </c>
      <c r="N73" s="4" t="s">
        <v>477</v>
      </c>
      <c r="AB73" s="2"/>
      <c r="AC73" s="2"/>
      <c r="AD73" s="2"/>
      <c r="AE73" s="2"/>
      <c r="AF73" s="2"/>
      <c r="AG73" s="2"/>
      <c r="AH73" s="2"/>
    </row>
    <row r="74" spans="2:34" x14ac:dyDescent="0.25">
      <c r="B74">
        <v>10</v>
      </c>
      <c r="C74" t="e">
        <f>C61&amp;", click to get "&amp;C62&amp;" back"</f>
        <v>#N/A</v>
      </c>
      <c r="D74" t="e">
        <f t="shared" si="27"/>
        <v>#N/A</v>
      </c>
      <c r="M74" s="4" t="s">
        <v>427</v>
      </c>
      <c r="N74" s="4" t="s">
        <v>479</v>
      </c>
      <c r="AB74" s="2"/>
      <c r="AC74" s="2"/>
      <c r="AD74" s="2"/>
      <c r="AE74" s="2"/>
      <c r="AF74" s="2"/>
      <c r="AG74" s="2"/>
      <c r="AH74" s="2"/>
    </row>
    <row r="75" spans="2:34" x14ac:dyDescent="0.25">
      <c r="M75" s="4" t="s">
        <v>423</v>
      </c>
      <c r="N75" s="4" t="s">
        <v>481</v>
      </c>
      <c r="AB75" s="2"/>
      <c r="AC75" s="2"/>
      <c r="AD75" s="2"/>
      <c r="AE75" s="2"/>
      <c r="AF75" s="2"/>
      <c r="AG75" s="2"/>
      <c r="AH75" s="2"/>
    </row>
    <row r="76" spans="2:34" x14ac:dyDescent="0.25">
      <c r="M76" s="4" t="s">
        <v>445</v>
      </c>
      <c r="N76" s="4" t="s">
        <v>483</v>
      </c>
      <c r="AB76" s="2"/>
      <c r="AC76" s="2"/>
      <c r="AD76" s="2"/>
      <c r="AE76" s="2"/>
      <c r="AF76" s="2"/>
      <c r="AG76" s="2"/>
      <c r="AH76" s="2"/>
    </row>
    <row r="77" spans="2:34" x14ac:dyDescent="0.25">
      <c r="M77" s="4" t="s">
        <v>424</v>
      </c>
      <c r="N77" s="4" t="s">
        <v>485</v>
      </c>
      <c r="AB77" s="2"/>
      <c r="AC77" s="2"/>
      <c r="AD77" s="2"/>
      <c r="AE77" s="2"/>
      <c r="AF77" s="2"/>
      <c r="AG77" s="2"/>
      <c r="AH77" s="2"/>
    </row>
    <row r="78" spans="2:34" x14ac:dyDescent="0.25">
      <c r="M78" s="4" t="s">
        <v>456</v>
      </c>
      <c r="N78" s="4" t="s">
        <v>487</v>
      </c>
      <c r="AB78" s="2"/>
      <c r="AC78" s="2"/>
      <c r="AD78" s="2"/>
      <c r="AE78" s="2"/>
      <c r="AF78" s="2"/>
      <c r="AG78" s="2"/>
      <c r="AH78" s="2"/>
    </row>
    <row r="79" spans="2:34" x14ac:dyDescent="0.25">
      <c r="M79" s="4" t="s">
        <v>468</v>
      </c>
      <c r="N79" s="4" t="s">
        <v>489</v>
      </c>
      <c r="AB79" s="2"/>
      <c r="AC79" s="2"/>
      <c r="AD79" s="2"/>
      <c r="AE79" s="2"/>
      <c r="AF79" s="2"/>
      <c r="AG79" s="2"/>
      <c r="AH79" s="2"/>
    </row>
    <row r="80" spans="2:34" x14ac:dyDescent="0.25">
      <c r="B80" t="s">
        <v>1075</v>
      </c>
      <c r="C80" t="e">
        <f ca="1">VLOOKUP(B63,B82:D91,IF(C60="Attack",2,3),0)</f>
        <v>#N/A</v>
      </c>
      <c r="E80" t="s">
        <v>1227</v>
      </c>
      <c r="F80" t="str">
        <f>MapReference!E5</f>
        <v>NotAttack</v>
      </c>
      <c r="M80" s="4" t="s">
        <v>453</v>
      </c>
      <c r="N80" s="4" t="s">
        <v>491</v>
      </c>
      <c r="AB80" s="2"/>
      <c r="AC80" s="2"/>
      <c r="AD80" s="2"/>
      <c r="AE80" s="2"/>
      <c r="AF80" s="2"/>
      <c r="AG80" s="2"/>
      <c r="AH80" s="2"/>
    </row>
    <row r="81" spans="2:34" x14ac:dyDescent="0.25">
      <c r="C81" t="s">
        <v>1216</v>
      </c>
      <c r="D81" t="s">
        <v>1217</v>
      </c>
      <c r="M81" s="4" t="s">
        <v>431</v>
      </c>
      <c r="N81" s="4" t="s">
        <v>493</v>
      </c>
      <c r="AB81" s="2"/>
      <c r="AC81" s="2"/>
      <c r="AD81" s="2"/>
      <c r="AE81" s="2"/>
      <c r="AF81" s="2"/>
      <c r="AG81" s="2"/>
      <c r="AH81" s="2"/>
    </row>
    <row r="82" spans="2:34" x14ac:dyDescent="0.25">
      <c r="B82">
        <v>1</v>
      </c>
      <c r="C82" t="e">
        <f ca="1">C94</f>
        <v>#N/A</v>
      </c>
      <c r="D82" t="e">
        <f ca="1">D94</f>
        <v>#N/A</v>
      </c>
      <c r="F82" s="2"/>
      <c r="G82" s="2"/>
      <c r="H82" s="2"/>
      <c r="I82" s="2"/>
      <c r="J82" s="2"/>
      <c r="M82" s="4" t="s">
        <v>432</v>
      </c>
      <c r="N82" s="4" t="s">
        <v>495</v>
      </c>
      <c r="AB82" s="2"/>
      <c r="AC82" s="2"/>
      <c r="AD82" s="2"/>
      <c r="AE82" s="2"/>
      <c r="AF82" s="2"/>
      <c r="AG82" s="2"/>
      <c r="AH82" s="2"/>
    </row>
    <row r="83" spans="2:34" x14ac:dyDescent="0.25">
      <c r="B83">
        <v>2</v>
      </c>
      <c r="C83" t="e">
        <f>$C$61&amp;" choose attack"</f>
        <v>#N/A</v>
      </c>
      <c r="D83" t="e">
        <f>$C$61&amp;" choose another attack"</f>
        <v>#N/A</v>
      </c>
      <c r="F83" s="2"/>
      <c r="G83" s="2"/>
      <c r="H83" s="2"/>
      <c r="I83" s="2"/>
      <c r="J83" s="2"/>
      <c r="M83" s="4" t="s">
        <v>459</v>
      </c>
      <c r="N83" s="4" t="s">
        <v>497</v>
      </c>
      <c r="AB83" s="2"/>
      <c r="AC83" s="2"/>
      <c r="AD83" s="2"/>
      <c r="AE83" s="2"/>
      <c r="AF83" s="2"/>
      <c r="AG83" s="2"/>
      <c r="AH83" s="2"/>
    </row>
    <row r="84" spans="2:34" x14ac:dyDescent="0.25">
      <c r="B84">
        <v>3</v>
      </c>
      <c r="C84" t="e">
        <f t="shared" ref="C84:C86" si="28">$C$61&amp;" choose attack"</f>
        <v>#N/A</v>
      </c>
      <c r="D84" t="e">
        <f t="shared" ref="D84:D91" si="29">$C$61&amp;" choose another attack"</f>
        <v>#N/A</v>
      </c>
      <c r="F84" s="2"/>
      <c r="G84" s="2"/>
      <c r="H84" s="2"/>
      <c r="I84" s="2"/>
      <c r="J84" s="2"/>
      <c r="M84" s="4" t="s">
        <v>8</v>
      </c>
      <c r="N84" s="4" t="s">
        <v>799</v>
      </c>
      <c r="AB84" s="2"/>
      <c r="AC84" s="2"/>
      <c r="AD84" s="2"/>
      <c r="AE84" s="2"/>
      <c r="AF84" s="2"/>
      <c r="AG84" s="2"/>
      <c r="AH84" s="2"/>
    </row>
    <row r="85" spans="2:34" x14ac:dyDescent="0.25">
      <c r="B85">
        <v>4</v>
      </c>
      <c r="C85" t="e">
        <f t="shared" si="28"/>
        <v>#N/A</v>
      </c>
      <c r="D85" t="e">
        <f t="shared" si="29"/>
        <v>#N/A</v>
      </c>
      <c r="F85" s="2"/>
      <c r="G85" s="2"/>
      <c r="H85" s="2"/>
      <c r="I85" s="2"/>
      <c r="J85" s="2"/>
      <c r="M85" s="4" t="s">
        <v>380</v>
      </c>
      <c r="N85" s="4" t="s">
        <v>409</v>
      </c>
      <c r="AB85" s="2"/>
      <c r="AC85" s="2"/>
      <c r="AD85" s="2"/>
      <c r="AE85" s="2"/>
      <c r="AF85" s="2"/>
      <c r="AG85" s="2"/>
      <c r="AH85" s="2"/>
    </row>
    <row r="86" spans="2:34" x14ac:dyDescent="0.25">
      <c r="B86">
        <v>5</v>
      </c>
      <c r="C86" t="e">
        <f t="shared" si="28"/>
        <v>#N/A</v>
      </c>
      <c r="D86" t="e">
        <f t="shared" si="29"/>
        <v>#N/A</v>
      </c>
      <c r="F86" s="2"/>
      <c r="G86" s="2"/>
      <c r="H86" s="2"/>
      <c r="I86" s="2"/>
      <c r="J86" s="2"/>
      <c r="AB86" s="2"/>
      <c r="AC86" s="2"/>
      <c r="AD86" s="2"/>
      <c r="AE86" s="2"/>
      <c r="AF86" s="2"/>
      <c r="AG86" s="2"/>
      <c r="AH86" s="2"/>
    </row>
    <row r="87" spans="2:34" x14ac:dyDescent="0.25">
      <c r="B87">
        <v>6</v>
      </c>
      <c r="C87" t="e">
        <f>$C$61&amp;" choose attack"</f>
        <v>#N/A</v>
      </c>
      <c r="D87" t="e">
        <f t="shared" si="29"/>
        <v>#N/A</v>
      </c>
      <c r="F87" s="2"/>
      <c r="G87" s="2"/>
      <c r="H87" s="2"/>
      <c r="I87" s="2"/>
      <c r="J87" s="2"/>
      <c r="AB87" s="2"/>
      <c r="AC87" s="2"/>
      <c r="AD87" s="2"/>
      <c r="AE87" s="2"/>
      <c r="AF87" s="2"/>
      <c r="AG87" s="2"/>
      <c r="AH87" s="2"/>
    </row>
    <row r="88" spans="2:34" x14ac:dyDescent="0.25">
      <c r="B88">
        <v>7</v>
      </c>
      <c r="C88" t="e">
        <f t="shared" ref="C88:C91" si="30">$C$61&amp;" choose attack"</f>
        <v>#N/A</v>
      </c>
      <c r="D88" t="e">
        <f t="shared" si="29"/>
        <v>#N/A</v>
      </c>
      <c r="AB88" s="2"/>
      <c r="AC88" s="2"/>
      <c r="AD88" s="2"/>
      <c r="AE88" s="2"/>
      <c r="AF88" s="2"/>
      <c r="AG88" s="2"/>
      <c r="AH88" s="2"/>
    </row>
    <row r="89" spans="2:34" x14ac:dyDescent="0.25">
      <c r="B89">
        <v>8</v>
      </c>
      <c r="C89" t="e">
        <f t="shared" si="30"/>
        <v>#N/A</v>
      </c>
      <c r="D89" t="e">
        <f t="shared" si="29"/>
        <v>#N/A</v>
      </c>
      <c r="AB89" s="2"/>
      <c r="AC89" s="2"/>
      <c r="AD89" s="2"/>
      <c r="AE89" s="2"/>
      <c r="AF89" s="2"/>
      <c r="AG89" s="2"/>
      <c r="AH89" s="2"/>
    </row>
    <row r="90" spans="2:34" x14ac:dyDescent="0.25">
      <c r="B90">
        <v>9</v>
      </c>
      <c r="C90" t="e">
        <f t="shared" si="30"/>
        <v>#N/A</v>
      </c>
      <c r="D90" t="e">
        <f t="shared" si="29"/>
        <v>#N/A</v>
      </c>
      <c r="AB90" s="2"/>
      <c r="AC90" s="2"/>
      <c r="AD90" s="2"/>
      <c r="AE90" s="2"/>
      <c r="AF90" s="2"/>
      <c r="AG90" s="2"/>
      <c r="AH90" s="2"/>
    </row>
    <row r="91" spans="2:34" x14ac:dyDescent="0.25">
      <c r="B91">
        <v>10</v>
      </c>
      <c r="C91" t="e">
        <f t="shared" si="30"/>
        <v>#N/A</v>
      </c>
      <c r="D91" t="e">
        <f t="shared" si="29"/>
        <v>#N/A</v>
      </c>
      <c r="AB91" s="2"/>
      <c r="AC91" s="2"/>
      <c r="AD91" s="2"/>
      <c r="AE91" s="2"/>
      <c r="AF91" s="2"/>
      <c r="AG91" s="2"/>
      <c r="AH91" s="2"/>
    </row>
    <row r="92" spans="2:34" x14ac:dyDescent="0.25">
      <c r="AB92" s="2"/>
      <c r="AC92" s="2"/>
      <c r="AD92" s="2"/>
      <c r="AE92" s="2"/>
      <c r="AF92" s="2"/>
      <c r="AG92" s="2"/>
      <c r="AH92" s="2"/>
    </row>
    <row r="93" spans="2:34" x14ac:dyDescent="0.25">
      <c r="AB93" s="2"/>
      <c r="AC93" s="2"/>
      <c r="AD93" s="2"/>
      <c r="AE93" s="2"/>
      <c r="AF93" s="2"/>
      <c r="AG93" s="2"/>
      <c r="AH93" s="2"/>
    </row>
    <row r="94" spans="2:34" x14ac:dyDescent="0.25">
      <c r="B94">
        <f ca="1">RANDBETWEEN(1,3)</f>
        <v>2</v>
      </c>
      <c r="C94" t="e">
        <f ca="1">VLOOKUP(B94,B95:C99,2,0)</f>
        <v>#N/A</v>
      </c>
      <c r="D94" t="e">
        <f ca="1">VLOOKUP(B94,B95:D99,3,0)</f>
        <v>#N/A</v>
      </c>
      <c r="AB94" s="2"/>
      <c r="AC94" s="2"/>
      <c r="AD94" s="2"/>
      <c r="AE94" s="2"/>
      <c r="AF94" s="2"/>
      <c r="AG94" s="2"/>
      <c r="AH94" s="2"/>
    </row>
    <row r="95" spans="2:34" x14ac:dyDescent="0.25">
      <c r="B95">
        <v>1</v>
      </c>
      <c r="C95" t="e">
        <f>C61&amp;" choose a country to destroy"</f>
        <v>#N/A</v>
      </c>
      <c r="D95" t="e">
        <f>"Better luck this time "&amp;C61</f>
        <v>#N/A</v>
      </c>
      <c r="AB95" s="2"/>
      <c r="AC95" s="2"/>
      <c r="AD95" s="2"/>
      <c r="AE95" s="2"/>
      <c r="AF95" s="2"/>
      <c r="AG95" s="2"/>
      <c r="AH95" s="2"/>
    </row>
    <row r="96" spans="2:34" x14ac:dyDescent="0.25">
      <c r="B96">
        <v>2</v>
      </c>
      <c r="C96" t="e">
        <f>C61&amp;" your up for the attack"</f>
        <v>#N/A</v>
      </c>
      <c r="D96" t="e">
        <f>"Don't take that from "&amp;C62&amp;", choose a deck to beat this time "&amp;C61&amp;"!"</f>
        <v>#N/A</v>
      </c>
      <c r="AB96" s="2"/>
      <c r="AC96" s="2"/>
      <c r="AD96" s="2"/>
      <c r="AE96" s="2"/>
      <c r="AF96" s="2"/>
      <c r="AG96" s="2"/>
      <c r="AH96" s="2"/>
    </row>
    <row r="97" spans="2:34" x14ac:dyDescent="0.25">
      <c r="B97">
        <v>3</v>
      </c>
      <c r="C97" t="e">
        <f>C61&amp;" choose your weapon"</f>
        <v>#N/A</v>
      </c>
      <c r="D97" t="e">
        <f>"Maybe try an attack that will work "&amp;C61</f>
        <v>#N/A</v>
      </c>
      <c r="AB97" s="2"/>
      <c r="AC97" s="2"/>
      <c r="AD97" s="2"/>
      <c r="AE97" s="2"/>
      <c r="AF97" s="2"/>
      <c r="AG97" s="2"/>
      <c r="AH97" s="2"/>
    </row>
    <row r="98" spans="2:34" x14ac:dyDescent="0.25">
      <c r="B98">
        <v>4</v>
      </c>
      <c r="C98" t="e">
        <f>"For your glory "&amp;C61</f>
        <v>#N/A</v>
      </c>
      <c r="D98" t="e">
        <f>"Try an easier one "&amp;C61</f>
        <v>#N/A</v>
      </c>
      <c r="AB98" s="2"/>
      <c r="AC98" s="2"/>
      <c r="AD98" s="2"/>
      <c r="AE98" s="2"/>
      <c r="AF98" s="2"/>
      <c r="AG98" s="2"/>
      <c r="AH98" s="2"/>
    </row>
    <row r="99" spans="2:34" x14ac:dyDescent="0.25">
      <c r="B99">
        <v>5</v>
      </c>
      <c r="C99" t="e">
        <f>"It's all you "&amp;C61</f>
        <v>#N/A</v>
      </c>
      <c r="D99" t="e">
        <f>"Do you really think that will work "&amp;C61</f>
        <v>#N/A</v>
      </c>
      <c r="AB99" s="2"/>
      <c r="AC99" s="2"/>
      <c r="AD99" s="2"/>
      <c r="AE99" s="2"/>
      <c r="AF99" s="2"/>
      <c r="AG99" s="2"/>
      <c r="AH99" s="2"/>
    </row>
    <row r="100" spans="2:34" x14ac:dyDescent="0.25">
      <c r="AB100" s="2"/>
      <c r="AC100" s="2"/>
      <c r="AD100" s="2"/>
      <c r="AE100" s="2"/>
      <c r="AF100" s="2"/>
      <c r="AG100" s="2"/>
      <c r="AH100" s="2"/>
    </row>
    <row r="107" spans="2:34" x14ac:dyDescent="0.25">
      <c r="B107" s="2" t="s">
        <v>1084</v>
      </c>
      <c r="C107" t="str">
        <f>IF(Setup!AA45="Initiative Game",Reference!C123,IF(Setup!Y23="Attacker Wins",VLOOKUP(B113,B114:D122,3,0),IF(Setup!Y23="Defender Wins",VLOOKUP(B113,B114:C122,2,0),Setup!Y23)))</f>
        <v>-The epic battle begins with Not Selected taking the first victory from Not Selected-</v>
      </c>
    </row>
    <row r="108" spans="2:34" x14ac:dyDescent="0.25">
      <c r="B108" t="s">
        <v>1107</v>
      </c>
      <c r="C108" t="s">
        <v>629</v>
      </c>
      <c r="D108" t="s">
        <v>1108</v>
      </c>
    </row>
    <row r="109" spans="2:34" x14ac:dyDescent="0.25">
      <c r="B109" t="s">
        <v>814</v>
      </c>
      <c r="C109" t="str">
        <f>Setup!AA25</f>
        <v>Undecided</v>
      </c>
      <c r="D109" t="str">
        <f>Setup!AA26</f>
        <v>Undecided</v>
      </c>
    </row>
    <row r="110" spans="2:34" x14ac:dyDescent="0.25">
      <c r="B110" t="s">
        <v>1086</v>
      </c>
      <c r="C110">
        <f>Setup!AC23</f>
        <v>0</v>
      </c>
      <c r="D110">
        <f>Setup!AC24</f>
        <v>0</v>
      </c>
    </row>
    <row r="111" spans="2:34" x14ac:dyDescent="0.25">
      <c r="B111" t="s">
        <v>1109</v>
      </c>
      <c r="C111">
        <f>Setup!AD23</f>
        <v>0</v>
      </c>
      <c r="D111">
        <f>Setup!AD24</f>
        <v>0</v>
      </c>
    </row>
    <row r="112" spans="2:34" x14ac:dyDescent="0.25">
      <c r="B112" t="s">
        <v>1110</v>
      </c>
      <c r="C112" t="str">
        <f>IF(ISNA(IF(C111=0,VLOOKUP(C110,Setup!L:M,2,0),VLOOKUP(C110,Setup!L:M,2,0)&amp;" and "&amp;VLOOKUP(C111,Setup!L:M,2,0))),"Not Selected",IF(C111=0,VLOOKUP(C110,Setup!L:M,2,0),VLOOKUP(C110,Setup!L:M,2,0)&amp;" and "&amp;VLOOKUP(C111,Setup!L:M,2,0)))</f>
        <v>Not Selected</v>
      </c>
      <c r="D112" t="str">
        <f>IF(ISNA(IF(D111=0,VLOOKUP(D110,Setup!L:M,2,0),VLOOKUP(D110,Setup!L:M,2,0)&amp;" and "&amp;VLOOKUP(D111,Setup!L:M,2,0))),"Not Selected",IF(D111=0,VLOOKUP(D110,Setup!L:M,2,0),VLOOKUP(D110,Setup!L:M,2,0)&amp;" and "&amp;VLOOKUP(D111,Setup!L:M,2,0)))</f>
        <v>Not Selected</v>
      </c>
    </row>
    <row r="113" spans="2:4" x14ac:dyDescent="0.25">
      <c r="B113" s="2">
        <f ca="1">RANDBETWEEN(1,9)</f>
        <v>8</v>
      </c>
      <c r="C113" t="s">
        <v>1112</v>
      </c>
      <c r="D113" t="s">
        <v>10</v>
      </c>
    </row>
    <row r="114" spans="2:4" x14ac:dyDescent="0.25">
      <c r="B114">
        <v>1</v>
      </c>
      <c r="C114" t="str">
        <f>"-"&amp;C112&amp;" kicks the living crap out of "&amp;D112&amp;"-"</f>
        <v>-Not Selected kicks the living crap out of Not Selected-</v>
      </c>
      <c r="D114" t="str">
        <f>"-"&amp;D112&amp;" is dead Jim-"</f>
        <v>-Not Selected is dead Jim-</v>
      </c>
    </row>
    <row r="115" spans="2:4" x14ac:dyDescent="0.25">
      <c r="B115">
        <v>2</v>
      </c>
      <c r="C115" t="str">
        <f>"-"&amp;D112&amp;" gets dominated by "&amp;C112&amp;"-"</f>
        <v>-Not Selected gets dominated by Not Selected-</v>
      </c>
      <c r="D115" t="str">
        <f>"-"&amp;D112&amp;" won't have to worry about that again-"</f>
        <v>-Not Selected won't have to worry about that again-</v>
      </c>
    </row>
    <row r="116" spans="2:4" x14ac:dyDescent="0.25">
      <c r="B116">
        <v>3</v>
      </c>
      <c r="C116" t="str">
        <f>"-"&amp;C112 &amp;" is spared from "&amp;D112&amp;"'s punishment-"</f>
        <v>-Not Selected is spared from Not Selected's punishment-</v>
      </c>
      <c r="D116" t="str">
        <f>"-"&amp;D112&amp;" runs home and crys to mama-"</f>
        <v>-Not Selected runs home and crys to mama-</v>
      </c>
    </row>
    <row r="117" spans="2:4" x14ac:dyDescent="0.25">
      <c r="B117">
        <v>4</v>
      </c>
      <c r="C117" t="str">
        <f>"-"&amp;C112&amp;" had a decisive victory-"</f>
        <v>-Not Selected had a decisive victory-</v>
      </c>
      <c r="D117" t="str">
        <f>"-"&amp;D112&amp;" is dead-"</f>
        <v>-Not Selected is dead-</v>
      </c>
    </row>
    <row r="118" spans="2:4" x14ac:dyDescent="0.25">
      <c r="B118">
        <v>5</v>
      </c>
      <c r="C118" t="str">
        <f>"-"&amp;D112&amp;" is such a n00b-"</f>
        <v>-Not Selected is such a n00b-</v>
      </c>
      <c r="D118" t="str">
        <f>"-"&amp;D112&amp;" dies-"</f>
        <v>-Not Selected dies-</v>
      </c>
    </row>
    <row r="119" spans="2:4" x14ac:dyDescent="0.25">
      <c r="B119">
        <v>6</v>
      </c>
      <c r="C119" t="str">
        <f>"-"&amp;D112&amp;" is more of a loser now than ever-"</f>
        <v>-Not Selected is more of a loser now than ever-</v>
      </c>
      <c r="D119" t="str">
        <f>"-"&amp;D112&amp;" is banished from this game-"</f>
        <v>-Not Selected is banished from this game-</v>
      </c>
    </row>
    <row r="120" spans="2:4" x14ac:dyDescent="0.25">
      <c r="B120">
        <v>7</v>
      </c>
      <c r="C120" t="str">
        <f>"-"&amp;D112&amp;" tucks tale and runs from the "&amp;C112&amp;" beatdown-"</f>
        <v>-Not Selected tucks tale and runs from the Not Selected beatdown-</v>
      </c>
      <c r="D120" t="str">
        <f>"-Goodnight "&amp;D112&amp;"!-"</f>
        <v>-Goodnight Not Selected!-</v>
      </c>
    </row>
    <row r="121" spans="2:4" x14ac:dyDescent="0.25">
      <c r="B121">
        <v>8</v>
      </c>
      <c r="C121" t="str">
        <f>"-"&amp;D112&amp;" will feel that in the morning-"</f>
        <v>-Not Selected will feel that in the morning-</v>
      </c>
      <c r="D121" t="str">
        <f>"-"&amp;C112&amp;" puts "&amp;D112&amp;" down-"</f>
        <v>-Not Selected puts Not Selected down-</v>
      </c>
    </row>
    <row r="122" spans="2:4" x14ac:dyDescent="0.25">
      <c r="B122">
        <v>9</v>
      </c>
      <c r="C122" t="str">
        <f>"-"&amp;C112&amp;" lives to fight another day-"</f>
        <v>-Not Selected lives to fight another day-</v>
      </c>
      <c r="D122" t="str">
        <f>"-Lights out for "&amp;D112&amp;"-"</f>
        <v>-Lights out for Not Selected-</v>
      </c>
    </row>
    <row r="123" spans="2:4" x14ac:dyDescent="0.25">
      <c r="B123" t="s">
        <v>1098</v>
      </c>
      <c r="C123" t="str">
        <f>"-The epic battle begins with "&amp;C112&amp;" taking the first victory from "&amp;D112&amp;"-"</f>
        <v>-The epic battle begins with Not Selected taking the first victory from Not Selected-</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EN131"/>
  <sheetViews>
    <sheetView showGridLines="0" topLeftCell="A4" zoomScaleNormal="100" workbookViewId="0">
      <selection activeCell="BH26" sqref="BH26"/>
    </sheetView>
  </sheetViews>
  <sheetFormatPr defaultColWidth="1.7109375" defaultRowHeight="8.25" customHeight="1" x14ac:dyDescent="0.25"/>
  <cols>
    <col min="1" max="1" width="1.7109375" style="76"/>
    <col min="2" max="100" width="2.28515625" style="76" customWidth="1"/>
    <col min="101" max="101" width="6.85546875" style="76" customWidth="1"/>
    <col min="102" max="106" width="1.42578125" style="76" customWidth="1"/>
    <col min="107" max="107" width="1.42578125" style="77" customWidth="1"/>
    <col min="108" max="108" width="14.85546875" style="77" hidden="1" customWidth="1"/>
    <col min="109" max="109" width="13.7109375" style="77" hidden="1" customWidth="1"/>
    <col min="110" max="110" width="6.7109375" style="77" hidden="1" customWidth="1"/>
    <col min="111" max="111" width="2.28515625" style="77" hidden="1" customWidth="1"/>
    <col min="112" max="115" width="4" style="77" hidden="1" customWidth="1"/>
    <col min="116" max="116" width="19.85546875" style="77" hidden="1" customWidth="1"/>
    <col min="117" max="117" width="9.42578125" style="77" hidden="1" customWidth="1"/>
    <col min="118" max="118" width="13.28515625" style="77" hidden="1" customWidth="1"/>
    <col min="119" max="129" width="2.28515625" style="77" customWidth="1"/>
    <col min="130" max="134" width="1.7109375" style="77"/>
    <col min="135" max="16384" width="1.7109375" style="76"/>
  </cols>
  <sheetData>
    <row r="1" spans="2:136" ht="8.25" customHeight="1" x14ac:dyDescent="0.25">
      <c r="DD1" s="77">
        <v>108</v>
      </c>
      <c r="DE1" s="77">
        <v>109</v>
      </c>
    </row>
    <row r="2" spans="2:136" ht="8.25" customHeight="1" x14ac:dyDescent="0.25">
      <c r="EE2" s="120"/>
      <c r="EF2" s="120"/>
    </row>
    <row r="3" spans="2:136" ht="8.25" customHeight="1" x14ac:dyDescent="0.25">
      <c r="EE3" s="120"/>
      <c r="EF3" s="120"/>
    </row>
    <row r="4" spans="2:136" ht="8.25" customHeight="1" x14ac:dyDescent="0.25">
      <c r="EE4" s="120"/>
      <c r="EF4" s="120"/>
    </row>
    <row r="5" spans="2:136" ht="13.5" customHeight="1" x14ac:dyDescent="0.25">
      <c r="B5" s="260" t="str">
        <f>IF(MapReference!I55="Yes","X","")</f>
        <v/>
      </c>
      <c r="C5" s="260"/>
      <c r="D5" s="260"/>
      <c r="E5" s="260"/>
      <c r="F5" s="260"/>
      <c r="G5" s="137"/>
      <c r="H5" s="78"/>
      <c r="I5" s="78"/>
      <c r="J5" s="78"/>
      <c r="K5" s="78"/>
      <c r="L5" s="78"/>
      <c r="M5" s="78"/>
      <c r="N5" s="78"/>
      <c r="O5" s="78"/>
      <c r="P5" s="78"/>
      <c r="Q5" s="78"/>
      <c r="R5" s="78"/>
      <c r="S5" s="78"/>
      <c r="T5" s="78"/>
      <c r="U5" s="78"/>
      <c r="V5" s="78"/>
      <c r="W5" s="78"/>
      <c r="X5" s="78"/>
      <c r="Y5" s="78"/>
      <c r="Z5" s="78"/>
      <c r="AA5" s="78"/>
      <c r="AB5" s="78"/>
      <c r="AC5" s="78"/>
      <c r="AD5" s="78"/>
      <c r="AE5" s="78"/>
      <c r="AF5" s="78"/>
      <c r="AG5" s="78"/>
      <c r="AH5" s="78"/>
      <c r="AI5" s="78"/>
      <c r="AJ5" s="78"/>
      <c r="AK5" s="78"/>
      <c r="AL5" s="78"/>
      <c r="AM5" s="78"/>
      <c r="AN5" s="78"/>
      <c r="AO5" s="78"/>
      <c r="AP5" s="78"/>
      <c r="AQ5" s="78"/>
      <c r="AR5" s="78"/>
      <c r="AS5" s="78"/>
      <c r="AT5" s="78"/>
      <c r="AU5" s="78"/>
      <c r="AV5" s="78"/>
      <c r="AW5" s="78"/>
      <c r="AX5" s="78"/>
      <c r="AY5" s="78"/>
      <c r="AZ5" s="78"/>
      <c r="BA5" s="78"/>
      <c r="BB5" s="78"/>
      <c r="BC5" s="78"/>
      <c r="BD5" s="78"/>
      <c r="BE5" s="78"/>
      <c r="BF5" s="78"/>
      <c r="BG5" s="78"/>
      <c r="BH5" s="78"/>
      <c r="BI5" s="78"/>
      <c r="BJ5" s="78"/>
      <c r="BK5" s="78"/>
      <c r="BL5" s="78"/>
      <c r="BM5" s="78"/>
      <c r="BN5" s="78"/>
      <c r="BO5" s="78"/>
      <c r="BP5" s="78"/>
      <c r="BQ5" s="78"/>
      <c r="BR5" s="78"/>
      <c r="BS5" s="78"/>
      <c r="BT5" s="78"/>
      <c r="BU5" s="78"/>
      <c r="BV5" s="78"/>
      <c r="BW5" s="78"/>
      <c r="BX5" s="78"/>
      <c r="BY5" s="78"/>
      <c r="BZ5" s="78"/>
      <c r="CA5" s="78"/>
      <c r="CB5" s="78"/>
      <c r="CC5" s="78"/>
      <c r="CD5" s="78"/>
      <c r="CE5" s="78"/>
      <c r="CF5" s="78"/>
      <c r="CG5" s="78"/>
      <c r="CH5" s="78"/>
      <c r="CI5" s="78"/>
      <c r="CJ5" s="78"/>
      <c r="CK5" s="78"/>
      <c r="CL5" s="78"/>
      <c r="CM5" s="78"/>
      <c r="CN5" s="78"/>
      <c r="CO5" s="78"/>
      <c r="CP5" s="78"/>
      <c r="CQ5" s="78"/>
      <c r="CR5" s="78"/>
      <c r="CS5" s="78"/>
      <c r="CT5" s="78"/>
      <c r="CU5" s="78"/>
      <c r="CV5" s="78"/>
      <c r="CW5" s="120"/>
      <c r="CX5" s="120"/>
      <c r="CY5" s="120"/>
      <c r="CZ5" s="120"/>
      <c r="DA5" s="120"/>
      <c r="DB5" s="120"/>
      <c r="DD5" s="77" t="s">
        <v>1077</v>
      </c>
      <c r="DE5" s="77" t="e">
        <f>MapReference!F55</f>
        <v>#N/A</v>
      </c>
      <c r="DL5" s="77" t="str">
        <f>MapReference!Q8</f>
        <v>Static Country</v>
      </c>
      <c r="DM5" s="77" t="str">
        <f>MapReference!E8</f>
        <v>Click Lock</v>
      </c>
      <c r="DN5" s="77" t="s">
        <v>1082</v>
      </c>
      <c r="EE5" s="120"/>
      <c r="EF5" s="120"/>
    </row>
    <row r="6" spans="2:136" ht="13.5" customHeight="1" x14ac:dyDescent="0.25">
      <c r="B6" s="260"/>
      <c r="C6" s="260"/>
      <c r="D6" s="260"/>
      <c r="E6" s="260"/>
      <c r="F6" s="260"/>
      <c r="G6" s="137"/>
      <c r="H6" s="78"/>
      <c r="I6" s="78"/>
      <c r="J6" s="78"/>
      <c r="K6" s="78"/>
      <c r="L6" s="78"/>
      <c r="M6" s="78"/>
      <c r="N6" s="78"/>
      <c r="O6" s="78"/>
      <c r="P6" s="78"/>
      <c r="Q6" s="78"/>
      <c r="R6" s="78"/>
      <c r="S6" s="78"/>
      <c r="T6" s="78"/>
      <c r="U6" s="78"/>
      <c r="V6" s="78"/>
      <c r="W6" s="78"/>
      <c r="X6" s="78"/>
      <c r="Y6" s="78"/>
      <c r="Z6" s="78"/>
      <c r="AA6" s="78"/>
      <c r="AB6" s="78"/>
      <c r="AC6" s="78"/>
      <c r="AD6" s="78"/>
      <c r="AE6" s="78"/>
      <c r="AF6" s="78"/>
      <c r="AG6" s="78"/>
      <c r="AH6" s="78"/>
      <c r="AI6" s="78"/>
      <c r="AJ6" s="78"/>
      <c r="AK6" s="78"/>
      <c r="AL6" s="78"/>
      <c r="AM6" s="78"/>
      <c r="AN6" s="78"/>
      <c r="AO6" s="78"/>
      <c r="AP6" s="78"/>
      <c r="AQ6" s="78"/>
      <c r="AR6" s="78"/>
      <c r="AS6" s="78"/>
      <c r="AT6" s="78"/>
      <c r="AU6" s="78"/>
      <c r="AV6" s="78"/>
      <c r="AW6" s="78"/>
      <c r="AX6" s="78"/>
      <c r="AY6" s="78"/>
      <c r="AZ6" s="78"/>
      <c r="BA6" s="78"/>
      <c r="BB6" s="78"/>
      <c r="BC6" s="78"/>
      <c r="BD6" s="78"/>
      <c r="BE6" s="78"/>
      <c r="BF6" s="259" t="e">
        <f>IF(Setup!AC44="Battle","Battle Screen",MapReference!E55)</f>
        <v>#N/A</v>
      </c>
      <c r="BG6" s="259"/>
      <c r="BH6" s="259"/>
      <c r="BI6" s="259"/>
      <c r="BJ6" s="259"/>
      <c r="BK6" s="259"/>
      <c r="BL6" s="259"/>
      <c r="BM6" s="259"/>
      <c r="BN6" s="259"/>
      <c r="BO6" s="259"/>
      <c r="BP6" s="259"/>
      <c r="BQ6" s="259"/>
      <c r="BR6" s="259"/>
      <c r="BS6" s="259"/>
      <c r="BT6" s="259"/>
      <c r="BU6" s="259"/>
      <c r="BV6" s="259"/>
      <c r="BW6" s="259"/>
      <c r="BX6" s="259"/>
      <c r="BY6" s="259"/>
      <c r="BZ6" s="259"/>
      <c r="CA6" s="259"/>
      <c r="CB6" s="259"/>
      <c r="CC6" s="259"/>
      <c r="CD6" s="259"/>
      <c r="CE6" s="259"/>
      <c r="CF6" s="259"/>
      <c r="CG6" s="259"/>
      <c r="CH6" s="259"/>
      <c r="CI6" s="259"/>
      <c r="CJ6" s="259"/>
      <c r="CK6" s="259"/>
      <c r="CL6" s="259"/>
      <c r="CM6" s="259"/>
      <c r="CN6" s="259"/>
      <c r="CO6" s="259"/>
      <c r="CP6" s="259"/>
      <c r="CQ6" s="259"/>
      <c r="CR6" s="259"/>
      <c r="CS6" s="259"/>
      <c r="CT6" s="259"/>
      <c r="CU6" s="259"/>
      <c r="CV6" s="78"/>
      <c r="CW6" s="120"/>
      <c r="CX6" s="120"/>
      <c r="CY6" s="120"/>
      <c r="CZ6" s="120"/>
      <c r="DA6" s="120"/>
      <c r="DB6" s="120"/>
      <c r="DD6" s="77" t="s">
        <v>1191</v>
      </c>
      <c r="DE6" s="77" t="str">
        <f>MapReference!I55</f>
        <v>No</v>
      </c>
      <c r="DK6" s="77">
        <v>6</v>
      </c>
      <c r="DL6" s="77" t="str">
        <f>MapReference!Q9</f>
        <v>Congo</v>
      </c>
      <c r="DM6" s="77" t="str">
        <f>MapReference!E9</f>
        <v>Locked</v>
      </c>
      <c r="DN6" s="77" t="str">
        <f>MapReference!O9</f>
        <v>Grey</v>
      </c>
      <c r="EE6" s="120"/>
      <c r="EF6" s="120"/>
    </row>
    <row r="7" spans="2:136" ht="13.5" customHeight="1" x14ac:dyDescent="0.25">
      <c r="B7" s="260"/>
      <c r="C7" s="260"/>
      <c r="D7" s="260"/>
      <c r="E7" s="260"/>
      <c r="F7" s="260"/>
      <c r="G7" s="137"/>
      <c r="H7" s="78"/>
      <c r="I7" s="78"/>
      <c r="J7" s="78"/>
      <c r="K7" s="78"/>
      <c r="L7" s="78"/>
      <c r="M7" s="78"/>
      <c r="N7" s="78"/>
      <c r="O7" s="78"/>
      <c r="P7" s="78"/>
      <c r="Q7" s="78"/>
      <c r="R7" s="78"/>
      <c r="S7" s="78"/>
      <c r="T7" s="78"/>
      <c r="U7" s="78"/>
      <c r="V7" s="78"/>
      <c r="W7" s="78"/>
      <c r="X7" s="78"/>
      <c r="Y7" s="78"/>
      <c r="Z7" s="78"/>
      <c r="AA7" s="78"/>
      <c r="AB7" s="78"/>
      <c r="AC7" s="78"/>
      <c r="AD7" s="78"/>
      <c r="AE7" s="78"/>
      <c r="AF7" s="78"/>
      <c r="AG7" s="78"/>
      <c r="AH7" s="78"/>
      <c r="AI7" s="78"/>
      <c r="AJ7" s="258" t="str">
        <f>MapReference!Y42</f>
        <v>Greenland</v>
      </c>
      <c r="AK7" s="258"/>
      <c r="AL7" s="258"/>
      <c r="AM7" s="258"/>
      <c r="AN7" s="258"/>
      <c r="AO7" s="258"/>
      <c r="AP7" s="258"/>
      <c r="AQ7" s="258"/>
      <c r="AR7" s="78"/>
      <c r="AS7" s="78"/>
      <c r="AT7" s="78"/>
      <c r="AU7" s="78"/>
      <c r="AV7" s="78"/>
      <c r="AW7" s="78"/>
      <c r="AX7" s="78"/>
      <c r="AY7" s="78"/>
      <c r="AZ7" s="78"/>
      <c r="BA7" s="78"/>
      <c r="BB7" s="78"/>
      <c r="BC7" s="78"/>
      <c r="BD7" s="78"/>
      <c r="BE7" s="78"/>
      <c r="BF7" s="259"/>
      <c r="BG7" s="259"/>
      <c r="BH7" s="259"/>
      <c r="BI7" s="259"/>
      <c r="BJ7" s="259"/>
      <c r="BK7" s="259"/>
      <c r="BL7" s="259"/>
      <c r="BM7" s="259"/>
      <c r="BN7" s="259"/>
      <c r="BO7" s="259"/>
      <c r="BP7" s="259"/>
      <c r="BQ7" s="259"/>
      <c r="BR7" s="259"/>
      <c r="BS7" s="259"/>
      <c r="BT7" s="259"/>
      <c r="BU7" s="259"/>
      <c r="BV7" s="259"/>
      <c r="BW7" s="259"/>
      <c r="BX7" s="259"/>
      <c r="BY7" s="259"/>
      <c r="BZ7" s="259"/>
      <c r="CA7" s="259"/>
      <c r="CB7" s="259"/>
      <c r="CC7" s="259"/>
      <c r="CD7" s="259"/>
      <c r="CE7" s="259"/>
      <c r="CF7" s="259"/>
      <c r="CG7" s="259"/>
      <c r="CH7" s="259"/>
      <c r="CI7" s="259"/>
      <c r="CJ7" s="259"/>
      <c r="CK7" s="259"/>
      <c r="CL7" s="259"/>
      <c r="CM7" s="259"/>
      <c r="CN7" s="259"/>
      <c r="CO7" s="259"/>
      <c r="CP7" s="259"/>
      <c r="CQ7" s="259"/>
      <c r="CR7" s="259"/>
      <c r="CS7" s="259"/>
      <c r="CT7" s="259"/>
      <c r="CU7" s="259"/>
      <c r="CV7" s="78"/>
      <c r="CW7" s="120"/>
      <c r="CX7" s="120"/>
      <c r="CY7" s="120"/>
      <c r="CZ7" s="120"/>
      <c r="DA7" s="120"/>
      <c r="DB7" s="120"/>
      <c r="DD7" s="77" t="s">
        <v>1068</v>
      </c>
      <c r="DE7" s="77">
        <f>Setup!AC55</f>
        <v>0</v>
      </c>
      <c r="DK7" s="77">
        <v>7</v>
      </c>
      <c r="DL7" s="77" t="str">
        <f>MapReference!Q10</f>
        <v>East Africa</v>
      </c>
      <c r="DM7" s="77" t="str">
        <f>MapReference!E10</f>
        <v>Locked</v>
      </c>
      <c r="DN7" s="77" t="str">
        <f>MapReference!O10</f>
        <v>Grey</v>
      </c>
      <c r="EE7" s="120"/>
      <c r="EF7" s="120"/>
    </row>
    <row r="8" spans="2:136" ht="13.5" customHeight="1" x14ac:dyDescent="0.25">
      <c r="B8" s="260"/>
      <c r="C8" s="260"/>
      <c r="D8" s="260"/>
      <c r="E8" s="260"/>
      <c r="F8" s="260"/>
      <c r="G8" s="137"/>
      <c r="H8" s="78"/>
      <c r="I8" s="78"/>
      <c r="J8" s="78"/>
      <c r="K8" s="78"/>
      <c r="L8" s="78"/>
      <c r="M8" s="78"/>
      <c r="N8" s="78"/>
      <c r="O8" s="78"/>
      <c r="P8" s="78"/>
      <c r="Q8" s="78"/>
      <c r="R8" s="78"/>
      <c r="S8" s="78"/>
      <c r="T8" s="78"/>
      <c r="U8" s="78"/>
      <c r="V8" s="78"/>
      <c r="W8" s="78"/>
      <c r="X8" s="78"/>
      <c r="Y8" s="78"/>
      <c r="Z8" s="78"/>
      <c r="AA8" s="78"/>
      <c r="AB8" s="78"/>
      <c r="AC8" s="78"/>
      <c r="AD8" s="78"/>
      <c r="AE8" s="78"/>
      <c r="AF8" s="78"/>
      <c r="AG8" s="78"/>
      <c r="AH8" s="78"/>
      <c r="AI8" s="78"/>
      <c r="AJ8" s="258"/>
      <c r="AK8" s="258"/>
      <c r="AL8" s="258"/>
      <c r="AM8" s="258"/>
      <c r="AN8" s="258"/>
      <c r="AO8" s="258"/>
      <c r="AP8" s="258"/>
      <c r="AQ8" s="258"/>
      <c r="AR8" s="78"/>
      <c r="AS8" s="78"/>
      <c r="AT8" s="78"/>
      <c r="AU8" s="78"/>
      <c r="AV8" s="78"/>
      <c r="AW8" s="78"/>
      <c r="AX8" s="78"/>
      <c r="AY8" s="78"/>
      <c r="AZ8" s="78"/>
      <c r="BA8" s="78"/>
      <c r="BB8" s="78"/>
      <c r="BC8" s="78"/>
      <c r="BD8" s="78"/>
      <c r="BE8" s="78"/>
      <c r="BF8" s="259"/>
      <c r="BG8" s="259"/>
      <c r="BH8" s="259"/>
      <c r="BI8" s="259"/>
      <c r="BJ8" s="259"/>
      <c r="BK8" s="259"/>
      <c r="BL8" s="259"/>
      <c r="BM8" s="259"/>
      <c r="BN8" s="259"/>
      <c r="BO8" s="259"/>
      <c r="BP8" s="259"/>
      <c r="BQ8" s="259"/>
      <c r="BR8" s="259"/>
      <c r="BS8" s="259"/>
      <c r="BT8" s="259"/>
      <c r="BU8" s="259"/>
      <c r="BV8" s="259"/>
      <c r="BW8" s="259"/>
      <c r="BX8" s="259"/>
      <c r="BY8" s="259"/>
      <c r="BZ8" s="259"/>
      <c r="CA8" s="259"/>
      <c r="CB8" s="259"/>
      <c r="CC8" s="259"/>
      <c r="CD8" s="259"/>
      <c r="CE8" s="259"/>
      <c r="CF8" s="259"/>
      <c r="CG8" s="259"/>
      <c r="CH8" s="259"/>
      <c r="CI8" s="259"/>
      <c r="CJ8" s="259"/>
      <c r="CK8" s="259"/>
      <c r="CL8" s="259"/>
      <c r="CM8" s="259"/>
      <c r="CN8" s="259"/>
      <c r="CO8" s="259"/>
      <c r="CP8" s="259"/>
      <c r="CQ8" s="259"/>
      <c r="CR8" s="259"/>
      <c r="CS8" s="259"/>
      <c r="CT8" s="259"/>
      <c r="CU8" s="259"/>
      <c r="CV8" s="78"/>
      <c r="CW8" s="120"/>
      <c r="CX8" s="120"/>
      <c r="CY8" s="120"/>
      <c r="CZ8" s="120"/>
      <c r="DA8" s="120"/>
      <c r="DB8" s="120"/>
      <c r="DD8" s="77" t="s">
        <v>1346</v>
      </c>
      <c r="DE8" s="77" t="str">
        <f>IF(MapReference!A5="Move",MapReference!E6,IF(MapReference!A5="Attack",MapReference!E5,MapReference!E5))</f>
        <v>NotAttack</v>
      </c>
      <c r="DK8" s="77">
        <v>8</v>
      </c>
      <c r="DL8" s="77" t="str">
        <f>MapReference!Q11</f>
        <v>Egypt</v>
      </c>
      <c r="DM8" s="77" t="str">
        <f>MapReference!E11</f>
        <v>Locked</v>
      </c>
      <c r="DN8" s="77" t="str">
        <f>MapReference!O11</f>
        <v>Grey</v>
      </c>
      <c r="EE8" s="120"/>
      <c r="EF8" s="120"/>
    </row>
    <row r="9" spans="2:136" ht="13.5" customHeight="1" x14ac:dyDescent="0.25">
      <c r="B9" s="137"/>
      <c r="C9" s="137"/>
      <c r="D9" s="137"/>
      <c r="E9" s="137"/>
      <c r="F9" s="137"/>
      <c r="G9" s="137"/>
      <c r="H9" s="78"/>
      <c r="I9" s="78"/>
      <c r="J9" s="78"/>
      <c r="K9" s="78"/>
      <c r="L9" s="78"/>
      <c r="M9" s="78"/>
      <c r="N9" s="78"/>
      <c r="O9" s="258" t="str">
        <f>MapReference!Y43</f>
        <v>Northwest Territory</v>
      </c>
      <c r="P9" s="258"/>
      <c r="Q9" s="258"/>
      <c r="R9" s="258"/>
      <c r="S9" s="258"/>
      <c r="T9" s="258"/>
      <c r="U9" s="258"/>
      <c r="V9" s="258"/>
      <c r="W9" s="78"/>
      <c r="X9" s="78"/>
      <c r="Y9" s="78"/>
      <c r="Z9" s="78"/>
      <c r="AA9" s="78"/>
      <c r="AB9" s="78"/>
      <c r="AC9" s="78"/>
      <c r="AD9" s="78"/>
      <c r="AE9" s="78"/>
      <c r="AF9" s="78"/>
      <c r="AG9" s="78"/>
      <c r="AH9" s="78"/>
      <c r="AI9" s="78"/>
      <c r="AJ9" s="258"/>
      <c r="AK9" s="258"/>
      <c r="AL9" s="258"/>
      <c r="AM9" s="258"/>
      <c r="AN9" s="258"/>
      <c r="AO9" s="258"/>
      <c r="AP9" s="258"/>
      <c r="AQ9" s="258"/>
      <c r="AR9" s="78"/>
      <c r="AS9" s="78"/>
      <c r="AT9" s="78"/>
      <c r="AU9" s="78"/>
      <c r="AV9" s="78"/>
      <c r="AW9" s="258" t="str">
        <f>MapReference!Y34</f>
        <v>Scandanavia</v>
      </c>
      <c r="AX9" s="258"/>
      <c r="AY9" s="258"/>
      <c r="AZ9" s="258"/>
      <c r="BA9" s="258"/>
      <c r="BB9" s="258"/>
      <c r="BC9" s="258"/>
      <c r="BD9" s="258"/>
      <c r="BE9" s="78"/>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c r="CM9" s="259"/>
      <c r="CN9" s="259"/>
      <c r="CO9" s="259"/>
      <c r="CP9" s="259"/>
      <c r="CQ9" s="259"/>
      <c r="CR9" s="259"/>
      <c r="CS9" s="259"/>
      <c r="CT9" s="259"/>
      <c r="CU9" s="259"/>
      <c r="CV9" s="78"/>
      <c r="CW9" s="120"/>
      <c r="CX9" s="120"/>
      <c r="CY9" s="120"/>
      <c r="CZ9" s="120"/>
      <c r="DA9" s="120"/>
      <c r="DB9" s="120"/>
      <c r="DD9" s="77" t="s">
        <v>1392</v>
      </c>
      <c r="DE9" s="77" t="str">
        <f>IF(Setup!AC44="Battle","Battle",IF(Setup!AC35="",Drop!D3,Setup!AC35))</f>
        <v>Wrong Mode</v>
      </c>
      <c r="DK9" s="77">
        <v>9</v>
      </c>
      <c r="DL9" s="77" t="str">
        <f>MapReference!Q12</f>
        <v>Madagascar</v>
      </c>
      <c r="DM9" s="77" t="str">
        <f>MapReference!E12</f>
        <v>Locked</v>
      </c>
      <c r="DN9" s="77" t="str">
        <f>MapReference!O12</f>
        <v>Grey</v>
      </c>
      <c r="EE9" s="120"/>
      <c r="EF9" s="120"/>
    </row>
    <row r="10" spans="2:136" ht="13.5" customHeight="1" x14ac:dyDescent="0.25">
      <c r="B10" s="78"/>
      <c r="C10" s="78"/>
      <c r="D10" s="78"/>
      <c r="E10" s="78"/>
      <c r="F10" s="78"/>
      <c r="G10" s="78"/>
      <c r="H10" s="78"/>
      <c r="I10" s="78"/>
      <c r="J10" s="78"/>
      <c r="K10" s="78"/>
      <c r="L10" s="78"/>
      <c r="M10" s="78"/>
      <c r="N10" s="78"/>
      <c r="O10" s="258"/>
      <c r="P10" s="258"/>
      <c r="Q10" s="258"/>
      <c r="R10" s="258"/>
      <c r="S10" s="258"/>
      <c r="T10" s="258"/>
      <c r="U10" s="258"/>
      <c r="V10" s="258"/>
      <c r="W10" s="78"/>
      <c r="X10" s="78"/>
      <c r="Y10" s="78"/>
      <c r="Z10" s="78"/>
      <c r="AA10" s="78"/>
      <c r="AB10" s="78"/>
      <c r="AC10" s="78"/>
      <c r="AD10" s="78"/>
      <c r="AE10" s="78"/>
      <c r="AF10" s="78"/>
      <c r="AG10" s="78"/>
      <c r="AH10" s="78"/>
      <c r="AI10" s="78"/>
      <c r="AJ10" s="78"/>
      <c r="AK10" s="78"/>
      <c r="AL10" s="78"/>
      <c r="AM10" s="78"/>
      <c r="AN10" s="78"/>
      <c r="AO10" s="78"/>
      <c r="AP10" s="78"/>
      <c r="AQ10" s="78"/>
      <c r="AR10" s="78"/>
      <c r="AS10" s="78"/>
      <c r="AT10" s="78"/>
      <c r="AU10" s="78"/>
      <c r="AV10" s="78"/>
      <c r="AW10" s="258"/>
      <c r="AX10" s="258"/>
      <c r="AY10" s="258"/>
      <c r="AZ10" s="258"/>
      <c r="BA10" s="258"/>
      <c r="BB10" s="258"/>
      <c r="BC10" s="258"/>
      <c r="BD10" s="258"/>
      <c r="BE10" s="78"/>
      <c r="BF10" s="78"/>
      <c r="BG10" s="78"/>
      <c r="BH10" s="78"/>
      <c r="BI10" s="78"/>
      <c r="BJ10" s="78"/>
      <c r="BK10" s="78"/>
      <c r="BL10" s="78"/>
      <c r="BM10" s="78"/>
      <c r="BN10" s="78"/>
      <c r="BO10" s="78"/>
      <c r="BP10" s="78"/>
      <c r="BQ10" s="78"/>
      <c r="BR10" s="78"/>
      <c r="BS10" s="78"/>
      <c r="BT10" s="78"/>
      <c r="BU10" s="78"/>
      <c r="BV10" s="78"/>
      <c r="BW10" s="78"/>
      <c r="BX10" s="78"/>
      <c r="BY10" s="78"/>
      <c r="BZ10" s="78"/>
      <c r="CA10" s="78"/>
      <c r="CB10" s="78"/>
      <c r="CC10" s="78"/>
      <c r="CD10" s="78"/>
      <c r="CE10" s="78"/>
      <c r="CF10" s="78"/>
      <c r="CG10" s="78"/>
      <c r="CH10" s="78"/>
      <c r="CI10" s="78"/>
      <c r="CJ10" s="78"/>
      <c r="CK10" s="78"/>
      <c r="CL10" s="78"/>
      <c r="CM10" s="78"/>
      <c r="CN10" s="78"/>
      <c r="CO10" s="78"/>
      <c r="CP10" s="78"/>
      <c r="CQ10" s="78"/>
      <c r="CR10" s="78"/>
      <c r="CS10" s="78"/>
      <c r="CT10" s="78"/>
      <c r="CU10" s="78"/>
      <c r="CV10" s="78"/>
      <c r="CW10" s="120"/>
      <c r="CX10" s="120"/>
      <c r="CY10" s="120"/>
      <c r="CZ10" s="120"/>
      <c r="DA10" s="120"/>
      <c r="DB10" s="120"/>
      <c r="DD10" s="77" t="s">
        <v>1239</v>
      </c>
      <c r="DE10" s="77" t="str">
        <f>MapReference!A7</f>
        <v>RandomSetupOk</v>
      </c>
      <c r="DK10" s="77">
        <v>10</v>
      </c>
      <c r="DL10" s="77" t="str">
        <f>MapReference!Q13</f>
        <v>North Africa</v>
      </c>
      <c r="DM10" s="77" t="str">
        <f>MapReference!E13</f>
        <v>Locked</v>
      </c>
      <c r="DN10" s="77" t="str">
        <f>MapReference!O13</f>
        <v>Grey</v>
      </c>
      <c r="EE10" s="120"/>
      <c r="EF10" s="120"/>
    </row>
    <row r="11" spans="2:136" ht="13.5" customHeight="1" x14ac:dyDescent="0.25">
      <c r="B11" s="78"/>
      <c r="C11" s="258" t="str">
        <f>MapReference!Y38</f>
        <v>Alaska</v>
      </c>
      <c r="D11" s="258"/>
      <c r="E11" s="258"/>
      <c r="F11" s="258"/>
      <c r="G11" s="258"/>
      <c r="H11" s="258"/>
      <c r="I11" s="258"/>
      <c r="J11" s="258"/>
      <c r="K11" s="78"/>
      <c r="L11" s="78"/>
      <c r="M11" s="78"/>
      <c r="N11" s="78"/>
      <c r="O11" s="258"/>
      <c r="P11" s="258"/>
      <c r="Q11" s="258"/>
      <c r="R11" s="258"/>
      <c r="S11" s="258"/>
      <c r="T11" s="258"/>
      <c r="U11" s="258"/>
      <c r="V11" s="258"/>
      <c r="W11" s="78"/>
      <c r="X11" s="78"/>
      <c r="Y11" s="78"/>
      <c r="Z11" s="78"/>
      <c r="AA11" s="78"/>
      <c r="AB11" s="78"/>
      <c r="AC11" s="78"/>
      <c r="AD11" s="78"/>
      <c r="AE11" s="78"/>
      <c r="AF11" s="78"/>
      <c r="AG11" s="78"/>
      <c r="AH11" s="78"/>
      <c r="AI11" s="78"/>
      <c r="AJ11" s="78"/>
      <c r="AK11" s="78"/>
      <c r="AL11" s="78"/>
      <c r="AM11" s="78"/>
      <c r="AN11" s="78"/>
      <c r="AO11" s="78"/>
      <c r="AP11" s="78"/>
      <c r="AQ11" s="78"/>
      <c r="AR11" s="78"/>
      <c r="AS11" s="78"/>
      <c r="AT11" s="78"/>
      <c r="AU11" s="78"/>
      <c r="AV11" s="78"/>
      <c r="AW11" s="258"/>
      <c r="AX11" s="258"/>
      <c r="AY11" s="258"/>
      <c r="AZ11" s="258"/>
      <c r="BA11" s="258"/>
      <c r="BB11" s="258"/>
      <c r="BC11" s="258"/>
      <c r="BD11" s="258"/>
      <c r="BE11" s="78"/>
      <c r="BF11" s="78"/>
      <c r="BG11" s="78"/>
      <c r="BH11" s="78"/>
      <c r="BI11" s="78"/>
      <c r="BJ11" s="78"/>
      <c r="BK11" s="78"/>
      <c r="BL11" s="78"/>
      <c r="BM11" s="78"/>
      <c r="BN11" s="78"/>
      <c r="BO11" s="78"/>
      <c r="BP11" s="78"/>
      <c r="BQ11" s="78"/>
      <c r="BR11" s="78"/>
      <c r="BS11" s="78"/>
      <c r="BT11" s="78"/>
      <c r="BU11" s="78"/>
      <c r="BV11" s="78"/>
      <c r="BW11" s="78"/>
      <c r="BX11" s="78"/>
      <c r="BY11" s="78"/>
      <c r="BZ11" s="78"/>
      <c r="CA11" s="78"/>
      <c r="CB11" s="258" t="str">
        <f>MapReference!Y26</f>
        <v>Yakutsk</v>
      </c>
      <c r="CC11" s="258"/>
      <c r="CD11" s="258"/>
      <c r="CE11" s="258"/>
      <c r="CF11" s="258"/>
      <c r="CG11" s="258"/>
      <c r="CH11" s="258"/>
      <c r="CI11" s="258"/>
      <c r="CJ11" s="78"/>
      <c r="CK11" s="78"/>
      <c r="CL11" s="78"/>
      <c r="CM11" s="78"/>
      <c r="CN11" s="78"/>
      <c r="CO11" s="78"/>
      <c r="CP11" s="78"/>
      <c r="CQ11" s="78"/>
      <c r="CR11" s="78"/>
      <c r="CS11" s="78"/>
      <c r="CT11" s="78"/>
      <c r="CU11" s="78"/>
      <c r="CV11" s="78"/>
      <c r="CW11" s="120"/>
      <c r="CX11" s="120"/>
      <c r="CY11" s="120"/>
      <c r="CZ11" s="120"/>
      <c r="DA11" s="120"/>
      <c r="DB11" s="120"/>
      <c r="DD11" s="77" t="str">
        <f>Drop!C28</f>
        <v>Drop Play Check</v>
      </c>
      <c r="DE11" s="77" t="str">
        <f>Drop!D28</f>
        <v>SelectCountry</v>
      </c>
      <c r="DK11" s="77">
        <v>11</v>
      </c>
      <c r="DL11" s="77" t="str">
        <f>MapReference!Q14</f>
        <v>South Africa</v>
      </c>
      <c r="DM11" s="77" t="str">
        <f>MapReference!E14</f>
        <v>Locked</v>
      </c>
      <c r="DN11" s="77" t="str">
        <f>MapReference!O14</f>
        <v>Grey</v>
      </c>
      <c r="EE11" s="120"/>
      <c r="EF11" s="120"/>
    </row>
    <row r="12" spans="2:136" ht="13.5" customHeight="1" x14ac:dyDescent="0.25">
      <c r="B12" s="78"/>
      <c r="C12" s="258"/>
      <c r="D12" s="258"/>
      <c r="E12" s="258"/>
      <c r="F12" s="258"/>
      <c r="G12" s="258"/>
      <c r="H12" s="258"/>
      <c r="I12" s="258"/>
      <c r="J12" s="258"/>
      <c r="K12" s="78"/>
      <c r="L12" s="78"/>
      <c r="M12" s="78"/>
      <c r="N12" s="78"/>
      <c r="O12" s="78"/>
      <c r="P12" s="78"/>
      <c r="Q12" s="78"/>
      <c r="R12" s="78"/>
      <c r="S12" s="78"/>
      <c r="T12" s="78"/>
      <c r="U12" s="78"/>
      <c r="V12" s="78"/>
      <c r="W12" s="78"/>
      <c r="X12" s="78"/>
      <c r="Y12" s="78"/>
      <c r="Z12" s="78"/>
      <c r="AA12" s="78"/>
      <c r="AB12" s="78"/>
      <c r="AC12" s="78"/>
      <c r="AD12" s="78"/>
      <c r="AE12" s="78"/>
      <c r="AF12" s="78"/>
      <c r="AG12" s="78"/>
      <c r="AH12" s="78"/>
      <c r="AI12" s="78"/>
      <c r="AJ12" s="78"/>
      <c r="AK12" s="78"/>
      <c r="AL12" s="78"/>
      <c r="AM12" s="78"/>
      <c r="AN12" s="78"/>
      <c r="AO12" s="78"/>
      <c r="AP12" s="78"/>
      <c r="AQ12" s="78"/>
      <c r="AR12" s="78"/>
      <c r="AS12" s="78"/>
      <c r="AT12" s="78"/>
      <c r="AU12" s="78"/>
      <c r="AV12" s="78"/>
      <c r="AW12" s="78"/>
      <c r="AX12" s="78"/>
      <c r="AY12" s="78"/>
      <c r="AZ12" s="78"/>
      <c r="BA12" s="78"/>
      <c r="BB12" s="78"/>
      <c r="BC12" s="78"/>
      <c r="BD12" s="78"/>
      <c r="BE12" s="78"/>
      <c r="BF12" s="78"/>
      <c r="BG12" s="78"/>
      <c r="BH12" s="78"/>
      <c r="BI12" s="78"/>
      <c r="BJ12" s="78"/>
      <c r="BK12" s="78"/>
      <c r="BL12" s="78"/>
      <c r="BM12" s="78"/>
      <c r="BN12" s="78"/>
      <c r="BO12" s="78"/>
      <c r="BP12" s="78"/>
      <c r="BQ12" s="78"/>
      <c r="BR12" s="258" t="str">
        <f>MapReference!Y24</f>
        <v>Siberia</v>
      </c>
      <c r="BS12" s="258"/>
      <c r="BT12" s="258"/>
      <c r="BU12" s="258"/>
      <c r="BV12" s="258"/>
      <c r="BW12" s="258"/>
      <c r="BX12" s="258"/>
      <c r="BY12" s="258"/>
      <c r="BZ12" s="78"/>
      <c r="CA12" s="78"/>
      <c r="CB12" s="258"/>
      <c r="CC12" s="258"/>
      <c r="CD12" s="258"/>
      <c r="CE12" s="258"/>
      <c r="CF12" s="258"/>
      <c r="CG12" s="258"/>
      <c r="CH12" s="258"/>
      <c r="CI12" s="258"/>
      <c r="CJ12" s="78"/>
      <c r="CK12" s="78"/>
      <c r="CL12" s="78"/>
      <c r="CM12" s="258" t="str">
        <f>MapReference!Y20</f>
        <v>Kamchatka</v>
      </c>
      <c r="CN12" s="258"/>
      <c r="CO12" s="258"/>
      <c r="CP12" s="258"/>
      <c r="CQ12" s="258"/>
      <c r="CR12" s="258"/>
      <c r="CS12" s="258"/>
      <c r="CT12" s="258"/>
      <c r="CU12" s="78"/>
      <c r="CV12" s="78"/>
      <c r="CW12" s="120"/>
      <c r="CX12" s="120"/>
      <c r="CY12" s="120"/>
      <c r="CZ12" s="120"/>
      <c r="DA12" s="120"/>
      <c r="DB12" s="120"/>
      <c r="DD12" s="77" t="s">
        <v>1399</v>
      </c>
      <c r="DE12" s="77" t="str">
        <f>Drop!D12</f>
        <v>Undecided</v>
      </c>
      <c r="DK12" s="77">
        <v>12</v>
      </c>
      <c r="DL12" s="77" t="str">
        <f>MapReference!Q15</f>
        <v>Afghanistan</v>
      </c>
      <c r="DM12" s="77" t="str">
        <f>MapReference!E15</f>
        <v>Locked</v>
      </c>
      <c r="DN12" s="77" t="str">
        <f>MapReference!O15</f>
        <v>Grey</v>
      </c>
      <c r="EE12" s="120"/>
      <c r="EF12" s="120"/>
    </row>
    <row r="13" spans="2:136" ht="13.5" customHeight="1" x14ac:dyDescent="0.25">
      <c r="B13" s="78"/>
      <c r="C13" s="258"/>
      <c r="D13" s="258"/>
      <c r="E13" s="258"/>
      <c r="F13" s="258"/>
      <c r="G13" s="258"/>
      <c r="H13" s="258"/>
      <c r="I13" s="258"/>
      <c r="J13" s="258"/>
      <c r="K13" s="78"/>
      <c r="L13" s="78"/>
      <c r="M13" s="78"/>
      <c r="N13" s="78"/>
      <c r="O13" s="78"/>
      <c r="P13" s="78"/>
      <c r="Q13" s="78"/>
      <c r="R13" s="78"/>
      <c r="S13" s="121"/>
      <c r="T13" s="121"/>
      <c r="U13" s="121"/>
      <c r="V13" s="121"/>
      <c r="W13" s="121"/>
      <c r="X13" s="121"/>
      <c r="Y13" s="121"/>
      <c r="Z13" s="121"/>
      <c r="AA13" s="121"/>
      <c r="AB13" s="78"/>
      <c r="AC13" s="78"/>
      <c r="AD13" s="78"/>
      <c r="AE13" s="78"/>
      <c r="AF13" s="78"/>
      <c r="AG13" s="78"/>
      <c r="AH13" s="78"/>
      <c r="AI13" s="78"/>
      <c r="AJ13" s="78"/>
      <c r="AK13" s="78"/>
      <c r="AL13" s="78"/>
      <c r="AM13" s="78"/>
      <c r="AN13" s="78"/>
      <c r="AO13" s="258" t="str">
        <f>MapReference!Y32</f>
        <v>Iceland</v>
      </c>
      <c r="AP13" s="258"/>
      <c r="AQ13" s="258"/>
      <c r="AR13" s="258"/>
      <c r="AS13" s="258"/>
      <c r="AT13" s="258"/>
      <c r="AU13" s="258"/>
      <c r="AV13" s="258"/>
      <c r="AW13" s="78"/>
      <c r="AX13" s="78"/>
      <c r="AY13" s="78"/>
      <c r="AZ13" s="78"/>
      <c r="BA13" s="78"/>
      <c r="BB13" s="78"/>
      <c r="BC13" s="78"/>
      <c r="BD13" s="78"/>
      <c r="BE13" s="78"/>
      <c r="BF13" s="78"/>
      <c r="BG13" s="78"/>
      <c r="BH13" s="78"/>
      <c r="BI13" s="78"/>
      <c r="BJ13" s="78"/>
      <c r="BK13" s="78"/>
      <c r="BL13" s="78"/>
      <c r="BM13" s="78"/>
      <c r="BN13" s="78"/>
      <c r="BO13" s="78"/>
      <c r="BP13" s="78"/>
      <c r="BQ13" s="78"/>
      <c r="BR13" s="258"/>
      <c r="BS13" s="258"/>
      <c r="BT13" s="258"/>
      <c r="BU13" s="258"/>
      <c r="BV13" s="258"/>
      <c r="BW13" s="258"/>
      <c r="BX13" s="258"/>
      <c r="BY13" s="258"/>
      <c r="BZ13" s="78"/>
      <c r="CA13" s="78"/>
      <c r="CB13" s="258"/>
      <c r="CC13" s="258"/>
      <c r="CD13" s="258"/>
      <c r="CE13" s="258"/>
      <c r="CF13" s="258"/>
      <c r="CG13" s="258"/>
      <c r="CH13" s="258"/>
      <c r="CI13" s="258"/>
      <c r="CJ13" s="78"/>
      <c r="CK13" s="78"/>
      <c r="CL13" s="78"/>
      <c r="CM13" s="258"/>
      <c r="CN13" s="258"/>
      <c r="CO13" s="258"/>
      <c r="CP13" s="258"/>
      <c r="CQ13" s="258"/>
      <c r="CR13" s="258"/>
      <c r="CS13" s="258"/>
      <c r="CT13" s="258"/>
      <c r="CU13" s="78"/>
      <c r="CV13" s="78"/>
      <c r="CW13" s="120"/>
      <c r="CX13" s="120"/>
      <c r="CY13" s="120"/>
      <c r="CZ13" s="120"/>
      <c r="DA13" s="120"/>
      <c r="DB13" s="120"/>
      <c r="DD13" s="77" t="s">
        <v>1417</v>
      </c>
      <c r="DE13" s="77" t="str">
        <f>MapReference!I6</f>
        <v>NotDrop</v>
      </c>
      <c r="DK13" s="77">
        <v>13</v>
      </c>
      <c r="DL13" s="77" t="str">
        <f>MapReference!Q16</f>
        <v>China</v>
      </c>
      <c r="DM13" s="77" t="str">
        <f>MapReference!E16</f>
        <v>Locked</v>
      </c>
      <c r="DN13" s="77" t="str">
        <f>MapReference!O16</f>
        <v>Grey</v>
      </c>
      <c r="EE13" s="120"/>
      <c r="EF13" s="120"/>
    </row>
    <row r="14" spans="2:136" ht="13.5" customHeight="1" x14ac:dyDescent="0.25">
      <c r="B14" s="78"/>
      <c r="C14" s="78"/>
      <c r="D14" s="78"/>
      <c r="E14" s="78"/>
      <c r="F14" s="78"/>
      <c r="G14" s="78"/>
      <c r="H14" s="78"/>
      <c r="I14" s="78"/>
      <c r="J14" s="78"/>
      <c r="K14" s="78"/>
      <c r="L14" s="78"/>
      <c r="M14" s="78"/>
      <c r="N14" s="78"/>
      <c r="O14" s="78"/>
      <c r="P14" s="78"/>
      <c r="Q14" s="78"/>
      <c r="R14" s="78"/>
      <c r="S14" s="121"/>
      <c r="T14" s="121"/>
      <c r="U14" s="121"/>
      <c r="V14" s="121"/>
      <c r="W14" s="121"/>
      <c r="X14" s="121"/>
      <c r="Y14" s="121"/>
      <c r="Z14" s="121"/>
      <c r="AA14" s="121"/>
      <c r="AB14" s="78"/>
      <c r="AC14" s="78"/>
      <c r="AD14" s="78"/>
      <c r="AE14" s="78"/>
      <c r="AF14" s="258" t="str">
        <f>MapReference!Y45</f>
        <v>Quebec</v>
      </c>
      <c r="AG14" s="258"/>
      <c r="AH14" s="258"/>
      <c r="AI14" s="258"/>
      <c r="AJ14" s="258"/>
      <c r="AK14" s="258"/>
      <c r="AL14" s="258"/>
      <c r="AM14" s="258"/>
      <c r="AN14" s="78"/>
      <c r="AO14" s="258"/>
      <c r="AP14" s="258"/>
      <c r="AQ14" s="258"/>
      <c r="AR14" s="258"/>
      <c r="AS14" s="258"/>
      <c r="AT14" s="258"/>
      <c r="AU14" s="258"/>
      <c r="AV14" s="258"/>
      <c r="AW14" s="78"/>
      <c r="AX14" s="78"/>
      <c r="AY14" s="78"/>
      <c r="AZ14" s="78"/>
      <c r="BA14" s="78"/>
      <c r="BB14" s="78"/>
      <c r="BC14" s="78"/>
      <c r="BD14" s="78"/>
      <c r="BE14" s="78"/>
      <c r="BF14" s="78"/>
      <c r="BG14" s="78"/>
      <c r="BH14" s="78"/>
      <c r="BI14" s="78"/>
      <c r="BJ14" s="78"/>
      <c r="BK14" s="78"/>
      <c r="BL14" s="78"/>
      <c r="BM14" s="78"/>
      <c r="BN14" s="78"/>
      <c r="BO14" s="78"/>
      <c r="BP14" s="78"/>
      <c r="BQ14" s="78"/>
      <c r="BR14" s="258"/>
      <c r="BS14" s="258"/>
      <c r="BT14" s="258"/>
      <c r="BU14" s="258"/>
      <c r="BV14" s="258"/>
      <c r="BW14" s="258"/>
      <c r="BX14" s="258"/>
      <c r="BY14" s="258"/>
      <c r="BZ14" s="78"/>
      <c r="CA14" s="78"/>
      <c r="CB14" s="78"/>
      <c r="CC14" s="78"/>
      <c r="CD14" s="78"/>
      <c r="CE14" s="78"/>
      <c r="CF14" s="78"/>
      <c r="CG14" s="78"/>
      <c r="CH14" s="78"/>
      <c r="CI14" s="78"/>
      <c r="CJ14" s="78"/>
      <c r="CK14" s="78"/>
      <c r="CL14" s="78"/>
      <c r="CM14" s="258"/>
      <c r="CN14" s="258"/>
      <c r="CO14" s="258"/>
      <c r="CP14" s="258"/>
      <c r="CQ14" s="258"/>
      <c r="CR14" s="258"/>
      <c r="CS14" s="258"/>
      <c r="CT14" s="258"/>
      <c r="CU14" s="78"/>
      <c r="CV14" s="78"/>
      <c r="CW14" s="120"/>
      <c r="CX14" s="120"/>
      <c r="CY14" s="120"/>
      <c r="CZ14" s="120"/>
      <c r="DA14" s="120"/>
      <c r="DB14" s="120"/>
      <c r="DD14" s="77" t="s">
        <v>1440</v>
      </c>
      <c r="DE14" s="77" t="str">
        <f>Reference!V51</f>
        <v>Undecided</v>
      </c>
      <c r="DK14" s="77">
        <v>14</v>
      </c>
      <c r="DL14" s="77" t="str">
        <f>MapReference!Q17</f>
        <v>India</v>
      </c>
      <c r="DM14" s="77" t="str">
        <f>MapReference!E17</f>
        <v>Locked</v>
      </c>
      <c r="DN14" s="77" t="str">
        <f>MapReference!O17</f>
        <v>Grey</v>
      </c>
      <c r="EE14" s="120"/>
      <c r="EF14" s="120"/>
    </row>
    <row r="15" spans="2:136" ht="13.5" customHeight="1" x14ac:dyDescent="0.25">
      <c r="B15" s="78"/>
      <c r="C15" s="78"/>
      <c r="D15" s="78"/>
      <c r="E15" s="78"/>
      <c r="F15" s="78"/>
      <c r="G15" s="78"/>
      <c r="H15" s="78"/>
      <c r="I15" s="78"/>
      <c r="J15" s="78"/>
      <c r="K15" s="78"/>
      <c r="L15" s="78"/>
      <c r="M15" s="78"/>
      <c r="N15" s="258" t="str">
        <f>MapReference!Y39</f>
        <v>Alberta</v>
      </c>
      <c r="O15" s="258"/>
      <c r="P15" s="258"/>
      <c r="Q15" s="258"/>
      <c r="R15" s="258"/>
      <c r="S15" s="258"/>
      <c r="T15" s="258"/>
      <c r="U15" s="258"/>
      <c r="V15" s="121"/>
      <c r="W15" s="121"/>
      <c r="X15" s="121"/>
      <c r="Y15" s="121"/>
      <c r="Z15" s="121"/>
      <c r="AA15" s="121"/>
      <c r="AB15" s="78"/>
      <c r="AC15" s="78"/>
      <c r="AD15" s="78"/>
      <c r="AE15" s="78"/>
      <c r="AF15" s="258"/>
      <c r="AG15" s="258"/>
      <c r="AH15" s="258"/>
      <c r="AI15" s="258"/>
      <c r="AJ15" s="258"/>
      <c r="AK15" s="258"/>
      <c r="AL15" s="258"/>
      <c r="AM15" s="258"/>
      <c r="AN15" s="78"/>
      <c r="AO15" s="258"/>
      <c r="AP15" s="258"/>
      <c r="AQ15" s="258"/>
      <c r="AR15" s="258"/>
      <c r="AS15" s="258"/>
      <c r="AT15" s="258"/>
      <c r="AU15" s="258"/>
      <c r="AV15" s="258"/>
      <c r="AW15" s="78"/>
      <c r="AX15" s="78"/>
      <c r="AY15" s="78"/>
      <c r="AZ15" s="78"/>
      <c r="BA15" s="78"/>
      <c r="BB15" s="78"/>
      <c r="BC15" s="258" t="str">
        <f>MapReference!Y36</f>
        <v>Ukraine</v>
      </c>
      <c r="BD15" s="258"/>
      <c r="BE15" s="258"/>
      <c r="BF15" s="258"/>
      <c r="BG15" s="258"/>
      <c r="BH15" s="258"/>
      <c r="BI15" s="258"/>
      <c r="BJ15" s="25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120"/>
      <c r="CX15" s="120"/>
      <c r="CY15" s="120"/>
      <c r="CZ15" s="120"/>
      <c r="DA15" s="120"/>
      <c r="DB15" s="120"/>
      <c r="DD15" s="77" t="s">
        <v>1478</v>
      </c>
      <c r="DE15" s="77" t="str">
        <f>Setup!Y35</f>
        <v>FinishDropOk</v>
      </c>
      <c r="DK15" s="77">
        <v>15</v>
      </c>
      <c r="DL15" s="77" t="str">
        <f>MapReference!Q18</f>
        <v>Irkutsk</v>
      </c>
      <c r="DM15" s="77" t="str">
        <f>MapReference!E18</f>
        <v>Locked</v>
      </c>
      <c r="DN15" s="77" t="str">
        <f>MapReference!O18</f>
        <v>Grey</v>
      </c>
      <c r="EE15" s="120"/>
      <c r="EF15" s="120"/>
    </row>
    <row r="16" spans="2:136" ht="13.5" customHeight="1" x14ac:dyDescent="0.25">
      <c r="B16" s="78"/>
      <c r="C16" s="78"/>
      <c r="D16" s="78"/>
      <c r="E16" s="78"/>
      <c r="F16" s="78"/>
      <c r="G16" s="78"/>
      <c r="H16" s="78"/>
      <c r="I16" s="78"/>
      <c r="J16" s="78"/>
      <c r="K16" s="78"/>
      <c r="L16" s="78"/>
      <c r="M16" s="78"/>
      <c r="N16" s="258"/>
      <c r="O16" s="258"/>
      <c r="P16" s="258"/>
      <c r="Q16" s="258"/>
      <c r="R16" s="258"/>
      <c r="S16" s="258"/>
      <c r="T16" s="258"/>
      <c r="U16" s="258"/>
      <c r="V16" s="78"/>
      <c r="W16" s="258" t="str">
        <f>MapReference!Y44</f>
        <v>Ontario</v>
      </c>
      <c r="X16" s="258"/>
      <c r="Y16" s="258"/>
      <c r="Z16" s="258"/>
      <c r="AA16" s="258"/>
      <c r="AB16" s="258"/>
      <c r="AC16" s="258"/>
      <c r="AD16" s="258"/>
      <c r="AE16" s="78"/>
      <c r="AF16" s="258"/>
      <c r="AG16" s="258"/>
      <c r="AH16" s="258"/>
      <c r="AI16" s="258"/>
      <c r="AJ16" s="258"/>
      <c r="AK16" s="258"/>
      <c r="AL16" s="258"/>
      <c r="AM16" s="258"/>
      <c r="AN16" s="78"/>
      <c r="AO16" s="78"/>
      <c r="AP16" s="78"/>
      <c r="AQ16" s="78"/>
      <c r="AR16" s="78"/>
      <c r="AS16" s="78"/>
      <c r="AT16" s="78"/>
      <c r="AU16" s="78"/>
      <c r="AV16" s="78"/>
      <c r="AW16" s="78"/>
      <c r="AX16" s="78"/>
      <c r="AY16" s="78"/>
      <c r="AZ16" s="78"/>
      <c r="BA16" s="78"/>
      <c r="BB16" s="78"/>
      <c r="BC16" s="258"/>
      <c r="BD16" s="258"/>
      <c r="BE16" s="258"/>
      <c r="BF16" s="258"/>
      <c r="BG16" s="258"/>
      <c r="BH16" s="258"/>
      <c r="BI16" s="258"/>
      <c r="BJ16" s="258"/>
      <c r="BK16" s="78"/>
      <c r="BL16" s="78"/>
      <c r="BM16" s="258" t="str">
        <f>MapReference!Y25</f>
        <v>Ural</v>
      </c>
      <c r="BN16" s="258"/>
      <c r="BO16" s="258"/>
      <c r="BP16" s="258"/>
      <c r="BQ16" s="258"/>
      <c r="BR16" s="258"/>
      <c r="BS16" s="258"/>
      <c r="BT16" s="258"/>
      <c r="BU16" s="78"/>
      <c r="BV16" s="78"/>
      <c r="BW16" s="78"/>
      <c r="BX16" s="78"/>
      <c r="BY16" s="258" t="str">
        <f>MapReference!Y18</f>
        <v>Irkutsk</v>
      </c>
      <c r="BZ16" s="258"/>
      <c r="CA16" s="258"/>
      <c r="CB16" s="258"/>
      <c r="CC16" s="258"/>
      <c r="CD16" s="258"/>
      <c r="CE16" s="258"/>
      <c r="CF16" s="258"/>
      <c r="CG16" s="78"/>
      <c r="CH16" s="78"/>
      <c r="CI16" s="78"/>
      <c r="CJ16" s="78"/>
      <c r="CK16" s="78"/>
      <c r="CL16" s="78"/>
      <c r="CM16" s="78"/>
      <c r="CN16" s="78"/>
      <c r="CO16" s="78"/>
      <c r="CP16" s="78"/>
      <c r="CQ16" s="78"/>
      <c r="CR16" s="78"/>
      <c r="CS16" s="78"/>
      <c r="CT16" s="78"/>
      <c r="CU16" s="78"/>
      <c r="CV16" s="78"/>
      <c r="CW16" s="120"/>
      <c r="CX16" s="120"/>
      <c r="CY16" s="120"/>
      <c r="CZ16" s="120"/>
      <c r="DA16" s="120"/>
      <c r="DB16" s="120"/>
      <c r="DD16" s="77" t="str">
        <f>MapReference!H7</f>
        <v>Skip Attack Check</v>
      </c>
      <c r="DE16" s="77" t="str">
        <f>MapReference!I7</f>
        <v>NotAttack</v>
      </c>
      <c r="DK16" s="77">
        <v>16</v>
      </c>
      <c r="DL16" s="77" t="str">
        <f>MapReference!Q19</f>
        <v>Japan</v>
      </c>
      <c r="DM16" s="77" t="str">
        <f>MapReference!E19</f>
        <v>Locked</v>
      </c>
      <c r="DN16" s="77" t="str">
        <f>MapReference!O19</f>
        <v>Grey</v>
      </c>
      <c r="EE16" s="120"/>
      <c r="EF16" s="120"/>
    </row>
    <row r="17" spans="2:144" ht="13.5" customHeight="1" x14ac:dyDescent="0.25">
      <c r="B17" s="78"/>
      <c r="C17" s="78"/>
      <c r="D17" s="78"/>
      <c r="E17" s="78"/>
      <c r="F17" s="78"/>
      <c r="G17" s="78"/>
      <c r="H17" s="78"/>
      <c r="I17" s="78"/>
      <c r="J17" s="78"/>
      <c r="K17" s="78"/>
      <c r="L17" s="78"/>
      <c r="M17" s="78"/>
      <c r="N17" s="258"/>
      <c r="O17" s="258"/>
      <c r="P17" s="258"/>
      <c r="Q17" s="258"/>
      <c r="R17" s="258"/>
      <c r="S17" s="258"/>
      <c r="T17" s="258"/>
      <c r="U17" s="258"/>
      <c r="V17" s="78"/>
      <c r="W17" s="258"/>
      <c r="X17" s="258"/>
      <c r="Y17" s="258"/>
      <c r="Z17" s="258"/>
      <c r="AA17" s="258"/>
      <c r="AB17" s="258"/>
      <c r="AC17" s="258"/>
      <c r="AD17" s="258"/>
      <c r="AE17" s="78"/>
      <c r="AF17" s="78"/>
      <c r="AG17" s="78"/>
      <c r="AH17" s="78"/>
      <c r="AI17" s="78"/>
      <c r="AJ17" s="78"/>
      <c r="AK17" s="78"/>
      <c r="AL17" s="78"/>
      <c r="AM17" s="78"/>
      <c r="AN17" s="78"/>
      <c r="AO17" s="78"/>
      <c r="AP17" s="78"/>
      <c r="AQ17" s="78"/>
      <c r="AR17" s="78"/>
      <c r="AS17" s="78"/>
      <c r="AT17" s="78"/>
      <c r="AU17" s="78"/>
      <c r="AV17" s="78"/>
      <c r="AW17" s="78"/>
      <c r="AX17" s="78"/>
      <c r="AY17" s="78"/>
      <c r="AZ17" s="78"/>
      <c r="BA17" s="78"/>
      <c r="BB17" s="78"/>
      <c r="BC17" s="258"/>
      <c r="BD17" s="258"/>
      <c r="BE17" s="258"/>
      <c r="BF17" s="258"/>
      <c r="BG17" s="258"/>
      <c r="BH17" s="258"/>
      <c r="BI17" s="258"/>
      <c r="BJ17" s="258"/>
      <c r="BK17" s="78"/>
      <c r="BL17" s="78"/>
      <c r="BM17" s="258"/>
      <c r="BN17" s="258"/>
      <c r="BO17" s="258"/>
      <c r="BP17" s="258"/>
      <c r="BQ17" s="258"/>
      <c r="BR17" s="258"/>
      <c r="BS17" s="258"/>
      <c r="BT17" s="258"/>
      <c r="BU17" s="78"/>
      <c r="BV17" s="78"/>
      <c r="BW17" s="78"/>
      <c r="BX17" s="78"/>
      <c r="BY17" s="258"/>
      <c r="BZ17" s="258"/>
      <c r="CA17" s="258"/>
      <c r="CB17" s="258"/>
      <c r="CC17" s="258"/>
      <c r="CD17" s="258"/>
      <c r="CE17" s="258"/>
      <c r="CF17" s="258"/>
      <c r="CG17" s="78"/>
      <c r="CH17" s="78"/>
      <c r="CI17" s="78"/>
      <c r="CJ17" s="78"/>
      <c r="CK17" s="78"/>
      <c r="CL17" s="78"/>
      <c r="CM17" s="78"/>
      <c r="CN17" s="78"/>
      <c r="CO17" s="78"/>
      <c r="CP17" s="78"/>
      <c r="CQ17" s="78"/>
      <c r="CR17" s="78"/>
      <c r="CS17" s="78"/>
      <c r="CT17" s="78"/>
      <c r="CU17" s="78"/>
      <c r="CV17" s="78"/>
      <c r="CW17" s="120"/>
      <c r="CX17" s="120"/>
      <c r="CY17" s="120"/>
      <c r="CZ17" s="120"/>
      <c r="DA17" s="120"/>
      <c r="DB17" s="120"/>
      <c r="DD17" s="77" t="s">
        <v>1508</v>
      </c>
      <c r="DE17" s="77" t="str">
        <f>IF(MapReference!AD5="Undecided",MapReference!AD5,"Decided")</f>
        <v>Undecided</v>
      </c>
      <c r="DK17" s="77">
        <v>17</v>
      </c>
      <c r="DL17" s="77" t="str">
        <f>MapReference!Q20</f>
        <v>Kamchatka</v>
      </c>
      <c r="DM17" s="77" t="str">
        <f>MapReference!E20</f>
        <v>Locked</v>
      </c>
      <c r="DN17" s="77" t="str">
        <f>MapReference!O20</f>
        <v>Grey</v>
      </c>
      <c r="EE17" s="120"/>
      <c r="EF17" s="120"/>
    </row>
    <row r="18" spans="2:144" ht="13.5" customHeight="1" x14ac:dyDescent="0.25">
      <c r="B18" s="78"/>
      <c r="C18" s="78"/>
      <c r="D18" s="78"/>
      <c r="E18" s="78"/>
      <c r="F18" s="78"/>
      <c r="G18" s="78"/>
      <c r="H18" s="78"/>
      <c r="I18" s="78"/>
      <c r="J18" s="78"/>
      <c r="K18" s="78"/>
      <c r="L18" s="78"/>
      <c r="M18" s="78"/>
      <c r="N18" s="78"/>
      <c r="O18" s="78"/>
      <c r="P18" s="78"/>
      <c r="Q18" s="78"/>
      <c r="R18" s="78"/>
      <c r="S18" s="78"/>
      <c r="T18" s="78"/>
      <c r="U18" s="78"/>
      <c r="V18" s="78"/>
      <c r="W18" s="258"/>
      <c r="X18" s="258"/>
      <c r="Y18" s="258"/>
      <c r="Z18" s="258"/>
      <c r="AA18" s="258"/>
      <c r="AB18" s="258"/>
      <c r="AC18" s="258"/>
      <c r="AD18" s="258"/>
      <c r="AE18" s="78"/>
      <c r="AF18" s="78"/>
      <c r="AG18" s="78"/>
      <c r="AH18" s="78"/>
      <c r="AI18" s="78"/>
      <c r="AJ18" s="78"/>
      <c r="AK18" s="258" t="str">
        <f>MapReference!Y31</f>
        <v>Great Britan</v>
      </c>
      <c r="AL18" s="258"/>
      <c r="AM18" s="258"/>
      <c r="AN18" s="258"/>
      <c r="AO18" s="258"/>
      <c r="AP18" s="258"/>
      <c r="AQ18" s="258"/>
      <c r="AR18" s="258"/>
      <c r="AS18" s="78"/>
      <c r="AT18" s="78"/>
      <c r="AU18" s="78"/>
      <c r="AV18" s="78"/>
      <c r="AW18" s="78"/>
      <c r="AX18" s="78"/>
      <c r="AY18" s="78"/>
      <c r="AZ18" s="78"/>
      <c r="BA18" s="78"/>
      <c r="BB18" s="78"/>
      <c r="BC18" s="78"/>
      <c r="BD18" s="78"/>
      <c r="BE18" s="78"/>
      <c r="BF18" s="78"/>
      <c r="BG18" s="78"/>
      <c r="BH18" s="78"/>
      <c r="BI18" s="78"/>
      <c r="BJ18" s="78"/>
      <c r="BK18" s="78"/>
      <c r="BL18" s="78"/>
      <c r="BM18" s="258"/>
      <c r="BN18" s="258"/>
      <c r="BO18" s="258"/>
      <c r="BP18" s="258"/>
      <c r="BQ18" s="258"/>
      <c r="BR18" s="258"/>
      <c r="BS18" s="258"/>
      <c r="BT18" s="258"/>
      <c r="BU18" s="78"/>
      <c r="BV18" s="78"/>
      <c r="BW18" s="78"/>
      <c r="BX18" s="78"/>
      <c r="BY18" s="258"/>
      <c r="BZ18" s="258"/>
      <c r="CA18" s="258"/>
      <c r="CB18" s="258"/>
      <c r="CC18" s="258"/>
      <c r="CD18" s="258"/>
      <c r="CE18" s="258"/>
      <c r="CF18" s="258"/>
      <c r="CG18" s="78"/>
      <c r="CH18" s="78"/>
      <c r="CI18" s="78"/>
      <c r="CJ18" s="78"/>
      <c r="CK18" s="78"/>
      <c r="CL18" s="78"/>
      <c r="CM18" s="78"/>
      <c r="CN18" s="78"/>
      <c r="CO18" s="78"/>
      <c r="CP18" s="78"/>
      <c r="CQ18" s="78"/>
      <c r="CR18" s="78"/>
      <c r="CS18" s="78"/>
      <c r="CT18" s="78"/>
      <c r="CU18" s="78"/>
      <c r="CV18" s="78"/>
      <c r="CW18" s="120"/>
      <c r="CX18" s="120"/>
      <c r="CY18" s="120"/>
      <c r="CZ18" s="120"/>
      <c r="DA18" s="120"/>
      <c r="DB18" s="120"/>
      <c r="DD18" s="77" t="str">
        <f>MapReference!E64</f>
        <v>Map Reference</v>
      </c>
      <c r="DE18" s="77" t="str">
        <f>MapReference!E65</f>
        <v>No</v>
      </c>
      <c r="DF18" s="77" t="str">
        <f>IF(DE18="Yes",DE5,"None")</f>
        <v>None</v>
      </c>
      <c r="DK18" s="77">
        <v>18</v>
      </c>
      <c r="DL18" s="77" t="str">
        <f>MapReference!Q21</f>
        <v>Middle East</v>
      </c>
      <c r="DM18" s="77" t="str">
        <f>MapReference!E21</f>
        <v>Locked</v>
      </c>
      <c r="DN18" s="77" t="str">
        <f>MapReference!O21</f>
        <v>Grey</v>
      </c>
      <c r="EE18" s="120"/>
      <c r="EF18" s="120"/>
    </row>
    <row r="19" spans="2:144" ht="13.5" customHeight="1" x14ac:dyDescent="0.25">
      <c r="B19" s="78"/>
      <c r="C19" s="78"/>
      <c r="D19" s="78"/>
      <c r="E19" s="78"/>
      <c r="F19" s="78"/>
      <c r="G19" s="78"/>
      <c r="H19" s="78"/>
      <c r="I19" s="78"/>
      <c r="J19" s="78"/>
      <c r="K19" s="78"/>
      <c r="L19" s="78"/>
      <c r="M19" s="78"/>
      <c r="N19" s="78"/>
      <c r="O19" s="78"/>
      <c r="P19" s="78"/>
      <c r="Q19" s="78"/>
      <c r="R19" s="78"/>
      <c r="S19" s="78"/>
      <c r="T19" s="78"/>
      <c r="U19" s="78"/>
      <c r="V19" s="78"/>
      <c r="W19" s="78"/>
      <c r="X19" s="78"/>
      <c r="Y19" s="78"/>
      <c r="Z19" s="78"/>
      <c r="AA19" s="78"/>
      <c r="AB19" s="78"/>
      <c r="AC19" s="78"/>
      <c r="AD19" s="78"/>
      <c r="AE19" s="78"/>
      <c r="AF19" s="78"/>
      <c r="AG19" s="78"/>
      <c r="AH19" s="78"/>
      <c r="AI19" s="78"/>
      <c r="AJ19" s="78"/>
      <c r="AK19" s="258"/>
      <c r="AL19" s="258"/>
      <c r="AM19" s="258"/>
      <c r="AN19" s="258"/>
      <c r="AO19" s="258"/>
      <c r="AP19" s="258"/>
      <c r="AQ19" s="258"/>
      <c r="AR19" s="258"/>
      <c r="AS19" s="78"/>
      <c r="AT19" s="258" t="str">
        <f>MapReference!Y33</f>
        <v>Northern Europe</v>
      </c>
      <c r="AU19" s="258"/>
      <c r="AV19" s="258"/>
      <c r="AW19" s="258"/>
      <c r="AX19" s="258"/>
      <c r="AY19" s="258"/>
      <c r="AZ19" s="258"/>
      <c r="BA19" s="25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120"/>
      <c r="CX19" s="120"/>
      <c r="CY19" s="120"/>
      <c r="CZ19" s="120"/>
      <c r="DA19" s="120"/>
      <c r="DB19" s="120"/>
      <c r="DD19" s="77" t="str">
        <f>MapReference!F64</f>
        <v>Color</v>
      </c>
      <c r="DE19" s="77" t="str">
        <f>MapReference!F65</f>
        <v>None</v>
      </c>
      <c r="DF19" s="77" t="str">
        <f>IF(ISNA(MapReference!K2),"",MapReference!K2)</f>
        <v/>
      </c>
      <c r="DK19" s="77">
        <v>19</v>
      </c>
      <c r="DL19" s="77" t="str">
        <f>MapReference!Q22</f>
        <v>Mongolia</v>
      </c>
      <c r="DM19" s="77" t="str">
        <f>MapReference!E22</f>
        <v>Locked</v>
      </c>
      <c r="DN19" s="77" t="str">
        <f>MapReference!O22</f>
        <v>Grey</v>
      </c>
      <c r="EE19" s="120"/>
      <c r="EF19" s="120"/>
    </row>
    <row r="20" spans="2:144" ht="13.5" customHeight="1" x14ac:dyDescent="0.25">
      <c r="B20" s="78"/>
      <c r="C20" s="78"/>
      <c r="D20" s="78"/>
      <c r="E20" s="78"/>
      <c r="F20" s="78"/>
      <c r="G20" s="78"/>
      <c r="H20" s="78"/>
      <c r="I20" s="78"/>
      <c r="J20" s="78"/>
      <c r="K20" s="78"/>
      <c r="L20" s="78"/>
      <c r="M20" s="258" t="str">
        <f>MapReference!Y46</f>
        <v>Western USA</v>
      </c>
      <c r="N20" s="258"/>
      <c r="O20" s="258"/>
      <c r="P20" s="258"/>
      <c r="Q20" s="258"/>
      <c r="R20" s="258"/>
      <c r="S20" s="258"/>
      <c r="T20" s="258"/>
      <c r="U20" s="78"/>
      <c r="V20" s="78"/>
      <c r="W20" s="78"/>
      <c r="X20" s="78"/>
      <c r="Y20" s="78"/>
      <c r="Z20" s="78"/>
      <c r="AA20" s="78"/>
      <c r="AB20" s="78"/>
      <c r="AC20" s="78"/>
      <c r="AD20" s="78"/>
      <c r="AE20" s="78"/>
      <c r="AF20" s="78"/>
      <c r="AG20" s="78"/>
      <c r="AH20" s="78"/>
      <c r="AI20" s="78"/>
      <c r="AJ20" s="78"/>
      <c r="AK20" s="258"/>
      <c r="AL20" s="258"/>
      <c r="AM20" s="258"/>
      <c r="AN20" s="258"/>
      <c r="AO20" s="258"/>
      <c r="AP20" s="258"/>
      <c r="AQ20" s="258"/>
      <c r="AR20" s="258"/>
      <c r="AS20" s="78"/>
      <c r="AT20" s="258"/>
      <c r="AU20" s="258"/>
      <c r="AV20" s="258"/>
      <c r="AW20" s="258"/>
      <c r="AX20" s="258"/>
      <c r="AY20" s="258"/>
      <c r="AZ20" s="258"/>
      <c r="BA20" s="25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258" t="str">
        <f>MapReference!Y22</f>
        <v>Mongolia</v>
      </c>
      <c r="CB20" s="258"/>
      <c r="CC20" s="258"/>
      <c r="CD20" s="258"/>
      <c r="CE20" s="258"/>
      <c r="CF20" s="258"/>
      <c r="CG20" s="258"/>
      <c r="CH20" s="258"/>
      <c r="CI20" s="78"/>
      <c r="CJ20" s="78"/>
      <c r="CK20" s="78"/>
      <c r="CL20" s="78"/>
      <c r="CM20" s="78"/>
      <c r="CN20" s="78"/>
      <c r="CO20" s="78"/>
      <c r="CP20" s="78"/>
      <c r="CQ20" s="78"/>
      <c r="CR20" s="78"/>
      <c r="CS20" s="78"/>
      <c r="CT20" s="78"/>
      <c r="CU20" s="78"/>
      <c r="CV20" s="78"/>
      <c r="CW20" s="120"/>
      <c r="CX20" s="120"/>
      <c r="CY20" s="120"/>
      <c r="CZ20" s="120"/>
      <c r="DA20" s="120"/>
      <c r="DB20" s="120"/>
      <c r="DD20" s="77" t="s">
        <v>1519</v>
      </c>
      <c r="DE20" s="77" t="str">
        <f>MapReference!H72</f>
        <v/>
      </c>
      <c r="DK20" s="77">
        <v>20</v>
      </c>
      <c r="DL20" s="77" t="str">
        <f>MapReference!Q23</f>
        <v>Siam</v>
      </c>
      <c r="DM20" s="77" t="str">
        <f>MapReference!E23</f>
        <v>Locked</v>
      </c>
      <c r="DN20" s="77" t="str">
        <f>MapReference!O23</f>
        <v>Grey</v>
      </c>
      <c r="EE20" s="120"/>
      <c r="EF20" s="120"/>
    </row>
    <row r="21" spans="2:144" ht="13.5" customHeight="1" x14ac:dyDescent="0.25">
      <c r="B21" s="78"/>
      <c r="C21" s="78"/>
      <c r="D21" s="78"/>
      <c r="E21" s="78"/>
      <c r="F21" s="78"/>
      <c r="G21" s="78"/>
      <c r="H21" s="78"/>
      <c r="I21" s="78"/>
      <c r="J21" s="78"/>
      <c r="K21" s="78"/>
      <c r="L21" s="78"/>
      <c r="M21" s="258"/>
      <c r="N21" s="258"/>
      <c r="O21" s="258"/>
      <c r="P21" s="258"/>
      <c r="Q21" s="258"/>
      <c r="R21" s="258"/>
      <c r="S21" s="258"/>
      <c r="T21" s="258"/>
      <c r="U21" s="78"/>
      <c r="V21" s="78"/>
      <c r="W21" s="78"/>
      <c r="X21" s="78"/>
      <c r="Y21" s="78"/>
      <c r="Z21" s="78"/>
      <c r="AA21" s="78"/>
      <c r="AB21" s="78"/>
      <c r="AC21" s="78"/>
      <c r="AD21" s="78"/>
      <c r="AE21" s="78"/>
      <c r="AF21" s="78"/>
      <c r="AG21" s="78"/>
      <c r="AH21" s="78"/>
      <c r="AI21" s="78"/>
      <c r="AJ21" s="78"/>
      <c r="AK21" s="78"/>
      <c r="AL21" s="78"/>
      <c r="AM21" s="78"/>
      <c r="AN21" s="78"/>
      <c r="AO21" s="78"/>
      <c r="AP21" s="78"/>
      <c r="AQ21" s="78"/>
      <c r="AR21" s="78"/>
      <c r="AS21" s="78"/>
      <c r="AT21" s="258"/>
      <c r="AU21" s="258"/>
      <c r="AV21" s="258"/>
      <c r="AW21" s="258"/>
      <c r="AX21" s="258"/>
      <c r="AY21" s="258"/>
      <c r="AZ21" s="258"/>
      <c r="BA21" s="258"/>
      <c r="BB21" s="78"/>
      <c r="BC21" s="78"/>
      <c r="BD21" s="78"/>
      <c r="BE21" s="78"/>
      <c r="BF21" s="78"/>
      <c r="BG21" s="78"/>
      <c r="BH21" s="78"/>
      <c r="BI21" s="78"/>
      <c r="BJ21" s="258" t="str">
        <f>MapReference!Y15</f>
        <v>Afghanistan</v>
      </c>
      <c r="BK21" s="258"/>
      <c r="BL21" s="258"/>
      <c r="BM21" s="258"/>
      <c r="BN21" s="258"/>
      <c r="BO21" s="258"/>
      <c r="BP21" s="258"/>
      <c r="BQ21" s="258"/>
      <c r="BR21" s="78"/>
      <c r="BS21" s="78"/>
      <c r="BT21" s="78"/>
      <c r="BU21" s="78"/>
      <c r="BV21" s="78"/>
      <c r="BW21" s="78"/>
      <c r="BX21" s="78"/>
      <c r="BY21" s="78"/>
      <c r="BZ21" s="78"/>
      <c r="CA21" s="258"/>
      <c r="CB21" s="258"/>
      <c r="CC21" s="258"/>
      <c r="CD21" s="258"/>
      <c r="CE21" s="258"/>
      <c r="CF21" s="258"/>
      <c r="CG21" s="258"/>
      <c r="CH21" s="258"/>
      <c r="CI21" s="78"/>
      <c r="CJ21" s="78"/>
      <c r="CK21" s="78"/>
      <c r="CL21" s="78"/>
      <c r="CM21" s="78"/>
      <c r="CN21" s="78"/>
      <c r="CO21" s="78"/>
      <c r="CP21" s="78"/>
      <c r="CQ21" s="78"/>
      <c r="CR21" s="78"/>
      <c r="CS21" s="78"/>
      <c r="CT21" s="78"/>
      <c r="CU21" s="78"/>
      <c r="CV21" s="78"/>
      <c r="CW21" s="120"/>
      <c r="CX21" s="120"/>
      <c r="CY21" s="120"/>
      <c r="CZ21" s="120"/>
      <c r="DA21" s="120"/>
      <c r="DB21" s="120"/>
      <c r="DD21" s="77">
        <v>1</v>
      </c>
      <c r="DE21" s="77" t="str">
        <f>IF(MapReference!E73=0,"",MapReference!E73)</f>
        <v/>
      </c>
      <c r="DF21" s="77" t="str">
        <f>IF(MapReference!G73=0,"","  "&amp;MapReference!G73)</f>
        <v xml:space="preserve">  None</v>
      </c>
      <c r="DK21" s="77">
        <v>21</v>
      </c>
      <c r="DL21" s="77" t="str">
        <f>MapReference!Q24</f>
        <v>Siberia</v>
      </c>
      <c r="DM21" s="77" t="str">
        <f>MapReference!E24</f>
        <v>Locked</v>
      </c>
      <c r="DN21" s="77" t="str">
        <f>MapReference!O24</f>
        <v>Grey</v>
      </c>
      <c r="EE21" s="120"/>
      <c r="EF21" s="120"/>
    </row>
    <row r="22" spans="2:144" ht="13.5" customHeight="1" x14ac:dyDescent="0.25">
      <c r="B22" s="78"/>
      <c r="C22" s="78"/>
      <c r="D22" s="78"/>
      <c r="E22" s="78"/>
      <c r="F22" s="78"/>
      <c r="G22" s="78"/>
      <c r="H22" s="78"/>
      <c r="I22" s="78"/>
      <c r="J22" s="78"/>
      <c r="K22" s="78"/>
      <c r="L22" s="78"/>
      <c r="M22" s="258"/>
      <c r="N22" s="258"/>
      <c r="O22" s="258"/>
      <c r="P22" s="258"/>
      <c r="Q22" s="258"/>
      <c r="R22" s="258"/>
      <c r="S22" s="258"/>
      <c r="T22" s="258"/>
      <c r="U22" s="78"/>
      <c r="V22" s="78"/>
      <c r="W22" s="78"/>
      <c r="X22" s="258" t="str">
        <f>MapReference!Y41</f>
        <v>Eastern USA</v>
      </c>
      <c r="Y22" s="258"/>
      <c r="Z22" s="258"/>
      <c r="AA22" s="258"/>
      <c r="AB22" s="258"/>
      <c r="AC22" s="258"/>
      <c r="AD22" s="258"/>
      <c r="AE22" s="258"/>
      <c r="AF22" s="78"/>
      <c r="AG22" s="78"/>
      <c r="AH22" s="78"/>
      <c r="AI22" s="78"/>
      <c r="AJ22" s="78"/>
      <c r="AK22" s="78"/>
      <c r="AL22" s="78"/>
      <c r="AM22" s="78"/>
      <c r="AN22" s="78"/>
      <c r="AO22" s="78"/>
      <c r="AP22" s="78"/>
      <c r="AQ22" s="78"/>
      <c r="AR22" s="78"/>
      <c r="AS22" s="78"/>
      <c r="AT22" s="78"/>
      <c r="AU22" s="78"/>
      <c r="AV22" s="78"/>
      <c r="AW22" s="78"/>
      <c r="AX22" s="78"/>
      <c r="AY22" s="78"/>
      <c r="AZ22" s="78"/>
      <c r="BA22" s="78"/>
      <c r="BB22" s="78"/>
      <c r="BC22" s="78"/>
      <c r="BD22" s="78"/>
      <c r="BE22" s="78"/>
      <c r="BF22" s="78"/>
      <c r="BG22" s="78"/>
      <c r="BH22" s="78"/>
      <c r="BI22" s="78"/>
      <c r="BJ22" s="258"/>
      <c r="BK22" s="258"/>
      <c r="BL22" s="258"/>
      <c r="BM22" s="258"/>
      <c r="BN22" s="258"/>
      <c r="BO22" s="258"/>
      <c r="BP22" s="258"/>
      <c r="BQ22" s="258"/>
      <c r="BR22" s="78"/>
      <c r="BS22" s="78"/>
      <c r="BT22" s="78"/>
      <c r="BU22" s="78"/>
      <c r="BV22" s="78"/>
      <c r="BW22" s="78"/>
      <c r="BX22" s="78"/>
      <c r="BY22" s="78"/>
      <c r="BZ22" s="78"/>
      <c r="CA22" s="258"/>
      <c r="CB22" s="258"/>
      <c r="CC22" s="258"/>
      <c r="CD22" s="258"/>
      <c r="CE22" s="258"/>
      <c r="CF22" s="258"/>
      <c r="CG22" s="258"/>
      <c r="CH22" s="258"/>
      <c r="CI22" s="78"/>
      <c r="CJ22" s="78"/>
      <c r="CK22" s="78"/>
      <c r="CL22" s="78"/>
      <c r="CM22" s="78"/>
      <c r="CN22" s="78"/>
      <c r="CO22" s="78"/>
      <c r="CP22" s="78"/>
      <c r="CQ22" s="78"/>
      <c r="CR22" s="78"/>
      <c r="CS22" s="78"/>
      <c r="CT22" s="78"/>
      <c r="CU22" s="78"/>
      <c r="CV22" s="78"/>
      <c r="CW22" s="120"/>
      <c r="CX22" s="120"/>
      <c r="CY22" s="120"/>
      <c r="CZ22" s="120"/>
      <c r="DA22" s="120"/>
      <c r="DB22" s="120"/>
      <c r="DD22" s="77">
        <v>2</v>
      </c>
      <c r="DE22" s="77" t="str">
        <f>IF(MapReference!E74=0,"",MapReference!E74)</f>
        <v/>
      </c>
      <c r="DF22" s="77" t="str">
        <f>IF(MapReference!G74=0,"","  "&amp;MapReference!G74)</f>
        <v xml:space="preserve">  None</v>
      </c>
      <c r="DK22" s="77">
        <v>22</v>
      </c>
      <c r="DL22" s="77" t="str">
        <f>MapReference!Q25</f>
        <v>Ural</v>
      </c>
      <c r="DM22" s="77" t="str">
        <f>MapReference!E25</f>
        <v>Locked</v>
      </c>
      <c r="DN22" s="77" t="str">
        <f>MapReference!O25</f>
        <v>Grey</v>
      </c>
      <c r="EE22" s="120"/>
      <c r="EF22" s="120"/>
    </row>
    <row r="23" spans="2:144" ht="13.5" customHeight="1" x14ac:dyDescent="0.25">
      <c r="B23" s="78"/>
      <c r="C23" s="78"/>
      <c r="D23" s="78"/>
      <c r="E23" s="78"/>
      <c r="F23" s="78"/>
      <c r="G23" s="78"/>
      <c r="H23" s="78"/>
      <c r="I23" s="78"/>
      <c r="J23" s="78"/>
      <c r="K23" s="78"/>
      <c r="L23" s="78"/>
      <c r="M23" s="78"/>
      <c r="N23" s="78"/>
      <c r="O23" s="78"/>
      <c r="P23" s="78"/>
      <c r="Q23" s="78"/>
      <c r="R23" s="78"/>
      <c r="S23" s="78"/>
      <c r="T23" s="78"/>
      <c r="U23" s="78"/>
      <c r="V23" s="78"/>
      <c r="W23" s="78"/>
      <c r="X23" s="258"/>
      <c r="Y23" s="258"/>
      <c r="Z23" s="258"/>
      <c r="AA23" s="258"/>
      <c r="AB23" s="258"/>
      <c r="AC23" s="258"/>
      <c r="AD23" s="258"/>
      <c r="AE23" s="258"/>
      <c r="AF23" s="78"/>
      <c r="AG23" s="78"/>
      <c r="AH23" s="78"/>
      <c r="AI23" s="78"/>
      <c r="AJ23" s="78"/>
      <c r="AK23" s="78"/>
      <c r="AL23" s="78"/>
      <c r="AM23" s="78"/>
      <c r="AN23" s="78"/>
      <c r="AO23" s="78"/>
      <c r="AP23" s="78"/>
      <c r="AQ23" s="78"/>
      <c r="AR23" s="78"/>
      <c r="AS23" s="78"/>
      <c r="AT23" s="78"/>
      <c r="AU23" s="258" t="str">
        <f>MapReference!Y35</f>
        <v>Southern Europe</v>
      </c>
      <c r="AV23" s="258"/>
      <c r="AW23" s="258"/>
      <c r="AX23" s="258"/>
      <c r="AY23" s="258"/>
      <c r="AZ23" s="258"/>
      <c r="BA23" s="258"/>
      <c r="BB23" s="258"/>
      <c r="BC23" s="78"/>
      <c r="BD23" s="78"/>
      <c r="BE23" s="78"/>
      <c r="BF23" s="78"/>
      <c r="BG23" s="78"/>
      <c r="BH23" s="78"/>
      <c r="BI23" s="78"/>
      <c r="BJ23" s="258"/>
      <c r="BK23" s="258"/>
      <c r="BL23" s="258"/>
      <c r="BM23" s="258"/>
      <c r="BN23" s="258"/>
      <c r="BO23" s="258"/>
      <c r="BP23" s="258"/>
      <c r="BQ23" s="258"/>
      <c r="BR23" s="78"/>
      <c r="BS23" s="78"/>
      <c r="BT23" s="78"/>
      <c r="BU23" s="78"/>
      <c r="BV23" s="78"/>
      <c r="BW23" s="78"/>
      <c r="BX23" s="78"/>
      <c r="BY23" s="78"/>
      <c r="BZ23" s="78"/>
      <c r="CA23" s="78"/>
      <c r="CB23" s="78"/>
      <c r="CC23" s="78"/>
      <c r="CD23" s="78"/>
      <c r="CE23" s="78"/>
      <c r="CF23" s="78"/>
      <c r="CG23" s="78"/>
      <c r="CH23" s="78"/>
      <c r="CI23" s="78"/>
      <c r="CJ23" s="258" t="str">
        <f>MapReference!Y19</f>
        <v>Japan</v>
      </c>
      <c r="CK23" s="258"/>
      <c r="CL23" s="258"/>
      <c r="CM23" s="258"/>
      <c r="CN23" s="258"/>
      <c r="CO23" s="258"/>
      <c r="CP23" s="258"/>
      <c r="CQ23" s="258"/>
      <c r="CR23" s="78"/>
      <c r="CS23" s="78"/>
      <c r="CT23" s="78"/>
      <c r="CU23" s="78"/>
      <c r="CV23" s="78"/>
      <c r="CW23" s="120"/>
      <c r="CX23" s="120"/>
      <c r="CY23" s="120"/>
      <c r="CZ23" s="120"/>
      <c r="DA23" s="120"/>
      <c r="DB23" s="120"/>
      <c r="DD23" s="77">
        <v>3</v>
      </c>
      <c r="DE23" s="77" t="str">
        <f>IF(MapReference!E75=0,"",MapReference!E75)</f>
        <v/>
      </c>
      <c r="DF23" s="77" t="str">
        <f>IF(MapReference!G75=0,"","  "&amp;MapReference!G75)</f>
        <v xml:space="preserve">  None</v>
      </c>
      <c r="DK23" s="77">
        <v>23</v>
      </c>
      <c r="DL23" s="77" t="str">
        <f>MapReference!Q26</f>
        <v>Yakutsk</v>
      </c>
      <c r="DM23" s="77" t="str">
        <f>MapReference!E26</f>
        <v>Locked</v>
      </c>
      <c r="DN23" s="77" t="str">
        <f>MapReference!O26</f>
        <v>Grey</v>
      </c>
      <c r="EE23" s="120"/>
      <c r="EF23" s="120"/>
    </row>
    <row r="24" spans="2:144" ht="13.5" customHeight="1" x14ac:dyDescent="0.25">
      <c r="B24" s="78"/>
      <c r="C24" s="78"/>
      <c r="D24" s="78"/>
      <c r="E24" s="78"/>
      <c r="F24" s="78"/>
      <c r="G24" s="78"/>
      <c r="H24" s="78"/>
      <c r="I24" s="78"/>
      <c r="J24" s="78"/>
      <c r="K24" s="78"/>
      <c r="L24" s="78"/>
      <c r="M24" s="78"/>
      <c r="N24" s="78"/>
      <c r="O24" s="78"/>
      <c r="P24" s="78"/>
      <c r="Q24" s="78"/>
      <c r="R24" s="78"/>
      <c r="S24" s="78"/>
      <c r="T24" s="78"/>
      <c r="U24" s="78"/>
      <c r="V24" s="78"/>
      <c r="W24" s="78"/>
      <c r="X24" s="258"/>
      <c r="Y24" s="258"/>
      <c r="Z24" s="258"/>
      <c r="AA24" s="258"/>
      <c r="AB24" s="258"/>
      <c r="AC24" s="258"/>
      <c r="AD24" s="258"/>
      <c r="AE24" s="258"/>
      <c r="AF24" s="78"/>
      <c r="AG24" s="78"/>
      <c r="AH24" s="78"/>
      <c r="AI24" s="78"/>
      <c r="AJ24" s="78"/>
      <c r="AK24" s="78"/>
      <c r="AL24" s="258" t="str">
        <f>MapReference!Y37</f>
        <v>Western Europe</v>
      </c>
      <c r="AM24" s="258"/>
      <c r="AN24" s="258"/>
      <c r="AO24" s="258"/>
      <c r="AP24" s="258"/>
      <c r="AQ24" s="258"/>
      <c r="AR24" s="258"/>
      <c r="AS24" s="258"/>
      <c r="AT24" s="78"/>
      <c r="AU24" s="258"/>
      <c r="AV24" s="258"/>
      <c r="AW24" s="258"/>
      <c r="AX24" s="258"/>
      <c r="AY24" s="258"/>
      <c r="AZ24" s="258"/>
      <c r="BA24" s="258"/>
      <c r="BB24" s="25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258"/>
      <c r="CK24" s="258"/>
      <c r="CL24" s="258"/>
      <c r="CM24" s="258"/>
      <c r="CN24" s="258"/>
      <c r="CO24" s="258"/>
      <c r="CP24" s="258"/>
      <c r="CQ24" s="258"/>
      <c r="CR24" s="78"/>
      <c r="CS24" s="78"/>
      <c r="CT24" s="78"/>
      <c r="CU24" s="78"/>
      <c r="CV24" s="78"/>
      <c r="CW24" s="120"/>
      <c r="CX24" s="120"/>
      <c r="CY24" s="120"/>
      <c r="CZ24" s="120"/>
      <c r="DA24" s="120"/>
      <c r="DD24" s="77" t="s">
        <v>1520</v>
      </c>
      <c r="DK24" s="77">
        <v>24</v>
      </c>
      <c r="DL24" s="77" t="str">
        <f>MapReference!Q27</f>
        <v>Eastern Australia</v>
      </c>
      <c r="DM24" s="77" t="str">
        <f>MapReference!E27</f>
        <v>Locked</v>
      </c>
      <c r="DN24" s="77" t="str">
        <f>MapReference!O27</f>
        <v>Grey</v>
      </c>
      <c r="EE24" s="120"/>
      <c r="EF24" s="120"/>
    </row>
    <row r="25" spans="2:144" ht="13.5" customHeight="1" x14ac:dyDescent="0.25">
      <c r="B25" s="78"/>
      <c r="C25" s="78"/>
      <c r="D25" s="78"/>
      <c r="E25" s="78"/>
      <c r="F25" s="78"/>
      <c r="G25" s="78"/>
      <c r="H25" s="78"/>
      <c r="I25" s="78"/>
      <c r="J25" s="78"/>
      <c r="K25" s="78"/>
      <c r="L25" s="78"/>
      <c r="M25" s="78"/>
      <c r="N25" s="78"/>
      <c r="O25" s="78"/>
      <c r="P25" s="78"/>
      <c r="Q25" s="78"/>
      <c r="R25" s="78"/>
      <c r="S25" s="78"/>
      <c r="T25" s="78"/>
      <c r="U25" s="78"/>
      <c r="V25" s="78"/>
      <c r="W25" s="78"/>
      <c r="X25" s="78"/>
      <c r="Y25" s="78"/>
      <c r="Z25" s="78"/>
      <c r="AA25" s="78"/>
      <c r="AB25" s="78"/>
      <c r="AC25" s="78"/>
      <c r="AD25" s="78"/>
      <c r="AE25" s="78"/>
      <c r="AF25" s="78"/>
      <c r="AG25" s="78"/>
      <c r="AH25" s="78"/>
      <c r="AI25" s="78"/>
      <c r="AJ25" s="78"/>
      <c r="AK25" s="78"/>
      <c r="AL25" s="258"/>
      <c r="AM25" s="258"/>
      <c r="AN25" s="258"/>
      <c r="AO25" s="258"/>
      <c r="AP25" s="258"/>
      <c r="AQ25" s="258"/>
      <c r="AR25" s="258"/>
      <c r="AS25" s="258"/>
      <c r="AT25" s="78"/>
      <c r="AU25" s="258"/>
      <c r="AV25" s="258"/>
      <c r="AW25" s="258"/>
      <c r="AX25" s="258"/>
      <c r="AY25" s="258"/>
      <c r="AZ25" s="258"/>
      <c r="BA25" s="258"/>
      <c r="BB25" s="258"/>
      <c r="BC25" s="78"/>
      <c r="BD25" s="78"/>
      <c r="BE25" s="78"/>
      <c r="BF25" s="78"/>
      <c r="BG25" s="78"/>
      <c r="BH25" s="78"/>
      <c r="BI25" s="78"/>
      <c r="BJ25" s="78"/>
      <c r="BK25" s="78"/>
      <c r="BL25" s="78"/>
      <c r="BM25" s="78"/>
      <c r="BN25" s="78"/>
      <c r="BO25" s="78"/>
      <c r="BP25" s="78"/>
      <c r="BQ25" s="78"/>
      <c r="BR25" s="78"/>
      <c r="BS25" s="78"/>
      <c r="BT25" s="258" t="str">
        <f>MapReference!Y16</f>
        <v>China</v>
      </c>
      <c r="BU25" s="258"/>
      <c r="BV25" s="258"/>
      <c r="BW25" s="258"/>
      <c r="BX25" s="258"/>
      <c r="BY25" s="258"/>
      <c r="BZ25" s="258"/>
      <c r="CA25" s="258"/>
      <c r="CB25" s="78"/>
      <c r="CC25" s="78"/>
      <c r="CD25" s="78"/>
      <c r="CE25" s="78"/>
      <c r="CF25" s="78"/>
      <c r="CG25" s="78"/>
      <c r="CH25" s="78"/>
      <c r="CI25" s="78"/>
      <c r="CJ25" s="258"/>
      <c r="CK25" s="258"/>
      <c r="CL25" s="258"/>
      <c r="CM25" s="258"/>
      <c r="CN25" s="258"/>
      <c r="CO25" s="258"/>
      <c r="CP25" s="258"/>
      <c r="CQ25" s="258"/>
      <c r="CR25" s="78"/>
      <c r="CS25" s="78"/>
      <c r="CT25" s="78"/>
      <c r="CU25" s="78"/>
      <c r="CV25" s="78"/>
      <c r="CW25" s="120"/>
      <c r="CX25" s="120"/>
      <c r="CY25" s="120"/>
      <c r="CZ25" s="120"/>
      <c r="DA25" s="120"/>
      <c r="DD25" s="77" t="str">
        <f>MapReference!X55</f>
        <v>Africa</v>
      </c>
      <c r="DE25" s="77">
        <f>IF($DE$7="Move",MapReference!AA55,0)</f>
        <v>0</v>
      </c>
      <c r="DK25" s="77">
        <v>25</v>
      </c>
      <c r="DL25" s="77" t="str">
        <f>MapReference!Q28</f>
        <v>Indonesia</v>
      </c>
      <c r="DM25" s="77" t="str">
        <f>MapReference!E28</f>
        <v>Locked</v>
      </c>
      <c r="DN25" s="77" t="str">
        <f>MapReference!O28</f>
        <v>Grey</v>
      </c>
      <c r="EE25" s="120"/>
      <c r="EF25" s="120"/>
    </row>
    <row r="26" spans="2:144" ht="13.5" customHeight="1" x14ac:dyDescent="0.25">
      <c r="B26" s="78"/>
      <c r="C26" s="78"/>
      <c r="D26" s="78"/>
      <c r="E26" s="78"/>
      <c r="F26" s="78"/>
      <c r="G26" s="78"/>
      <c r="H26" s="78"/>
      <c r="I26" s="78"/>
      <c r="J26" s="78"/>
      <c r="K26" s="78"/>
      <c r="L26" s="78"/>
      <c r="M26" s="78"/>
      <c r="N26" s="78"/>
      <c r="O26" s="78"/>
      <c r="P26" s="78"/>
      <c r="Q26" s="78"/>
      <c r="R26" s="78"/>
      <c r="S26" s="78"/>
      <c r="T26" s="78"/>
      <c r="U26" s="78"/>
      <c r="V26" s="78"/>
      <c r="W26" s="78"/>
      <c r="X26" s="78"/>
      <c r="Y26" s="78"/>
      <c r="Z26" s="78"/>
      <c r="AA26" s="78"/>
      <c r="AB26" s="78"/>
      <c r="AC26" s="78"/>
      <c r="AD26" s="78"/>
      <c r="AE26" s="78"/>
      <c r="AF26" s="78"/>
      <c r="AG26" s="78"/>
      <c r="AH26" s="78"/>
      <c r="AI26" s="78"/>
      <c r="AJ26" s="78"/>
      <c r="AK26" s="78"/>
      <c r="AL26" s="258"/>
      <c r="AM26" s="258"/>
      <c r="AN26" s="258"/>
      <c r="AO26" s="258"/>
      <c r="AP26" s="258"/>
      <c r="AQ26" s="258"/>
      <c r="AR26" s="258"/>
      <c r="AS26" s="258"/>
      <c r="AT26" s="78"/>
      <c r="AU26" s="78"/>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258"/>
      <c r="BU26" s="258"/>
      <c r="BV26" s="258"/>
      <c r="BW26" s="258"/>
      <c r="BX26" s="258"/>
      <c r="BY26" s="258"/>
      <c r="BZ26" s="258"/>
      <c r="CA26" s="258"/>
      <c r="CB26" s="78"/>
      <c r="CC26" s="78"/>
      <c r="CD26" s="78"/>
      <c r="CE26" s="78"/>
      <c r="CF26" s="78"/>
      <c r="CG26" s="78"/>
      <c r="CH26" s="78"/>
      <c r="CI26" s="78"/>
      <c r="CJ26" s="78"/>
      <c r="CK26" s="78"/>
      <c r="CL26" s="78"/>
      <c r="CM26" s="78"/>
      <c r="CN26" s="78"/>
      <c r="CO26" s="78"/>
      <c r="CP26" s="78"/>
      <c r="CQ26" s="78"/>
      <c r="CR26" s="78"/>
      <c r="CS26" s="78"/>
      <c r="CT26" s="78"/>
      <c r="CU26" s="78"/>
      <c r="CV26" s="78"/>
      <c r="CW26" s="120"/>
      <c r="CX26" s="120"/>
      <c r="CY26" s="120"/>
      <c r="CZ26" s="120"/>
      <c r="DD26" s="77" t="str">
        <f>MapReference!X56</f>
        <v>Asia</v>
      </c>
      <c r="DE26" s="77">
        <f>IF($DE$7="Move",MapReference!AA56,0)</f>
        <v>0</v>
      </c>
      <c r="DK26" s="77">
        <v>26</v>
      </c>
      <c r="DL26" s="77" t="str">
        <f>MapReference!Q29</f>
        <v>New Guinea</v>
      </c>
      <c r="DM26" s="77" t="str">
        <f>MapReference!E29</f>
        <v>Locked</v>
      </c>
      <c r="DN26" s="77" t="str">
        <f>MapReference!O29</f>
        <v>Grey</v>
      </c>
      <c r="EE26" s="120"/>
      <c r="EF26" s="120"/>
    </row>
    <row r="27" spans="2:144" ht="13.5" customHeight="1" x14ac:dyDescent="0.25">
      <c r="B27" s="78"/>
      <c r="C27" s="78"/>
      <c r="D27" s="258" t="str">
        <f>IF(DE18="Yes","- Selected -","")</f>
        <v/>
      </c>
      <c r="E27" s="258"/>
      <c r="F27" s="258"/>
      <c r="G27" s="258"/>
      <c r="H27" s="258"/>
      <c r="I27" s="258"/>
      <c r="J27" s="258"/>
      <c r="K27" s="258"/>
      <c r="L27" s="258"/>
      <c r="M27" s="258"/>
      <c r="N27" s="258"/>
      <c r="O27" s="258"/>
      <c r="P27" s="258"/>
      <c r="Q27" s="78"/>
      <c r="R27" s="78"/>
      <c r="S27" s="258" t="str">
        <f>MapReference!Y40</f>
        <v>Central America</v>
      </c>
      <c r="T27" s="258"/>
      <c r="U27" s="258"/>
      <c r="V27" s="258"/>
      <c r="W27" s="258"/>
      <c r="X27" s="258"/>
      <c r="Y27" s="258"/>
      <c r="Z27" s="258"/>
      <c r="AA27" s="78"/>
      <c r="AB27" s="78"/>
      <c r="AC27" s="78"/>
      <c r="AD27" s="78"/>
      <c r="AE27" s="78"/>
      <c r="AF27" s="78"/>
      <c r="AG27" s="78"/>
      <c r="AH27" s="78"/>
      <c r="AI27" s="78"/>
      <c r="AJ27" s="78"/>
      <c r="AK27" s="78"/>
      <c r="AL27" s="78"/>
      <c r="AM27" s="78"/>
      <c r="AN27" s="78"/>
      <c r="AO27" s="78"/>
      <c r="AP27" s="78"/>
      <c r="AQ27" s="78"/>
      <c r="AR27" s="78"/>
      <c r="AS27" s="78"/>
      <c r="AT27" s="78"/>
      <c r="AU27" s="78"/>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258"/>
      <c r="BU27" s="258"/>
      <c r="BV27" s="258"/>
      <c r="BW27" s="258"/>
      <c r="BX27" s="258"/>
      <c r="BY27" s="258"/>
      <c r="BZ27" s="258"/>
      <c r="CA27" s="258"/>
      <c r="CB27" s="78"/>
      <c r="CC27" s="78"/>
      <c r="CD27" s="78"/>
      <c r="CE27" s="78"/>
      <c r="CF27" s="78"/>
      <c r="CG27" s="78"/>
      <c r="CH27" s="78"/>
      <c r="CI27" s="78"/>
      <c r="CJ27" s="78"/>
      <c r="CK27" s="78"/>
      <c r="CL27" s="78"/>
      <c r="CM27" s="78"/>
      <c r="CN27" s="78"/>
      <c r="CO27" s="78"/>
      <c r="CP27" s="78"/>
      <c r="CQ27" s="78"/>
      <c r="CR27" s="78"/>
      <c r="CS27" s="78"/>
      <c r="CT27" s="78"/>
      <c r="CU27" s="78"/>
      <c r="CV27" s="78"/>
      <c r="CW27" s="120"/>
      <c r="CX27" s="120"/>
      <c r="CY27" s="120"/>
      <c r="CZ27" s="120"/>
      <c r="DD27" s="77" t="str">
        <f>MapReference!X57</f>
        <v>Australia</v>
      </c>
      <c r="DE27" s="77">
        <f>IF($DE$7="Move",MapReference!AA57,0)</f>
        <v>0</v>
      </c>
      <c r="DK27" s="77">
        <v>27</v>
      </c>
      <c r="DL27" s="77" t="str">
        <f>MapReference!Q30</f>
        <v>Western Australia</v>
      </c>
      <c r="DM27" s="77" t="str">
        <f>MapReference!E30</f>
        <v>Locked</v>
      </c>
      <c r="DN27" s="77" t="str">
        <f>MapReference!O30</f>
        <v>Grey</v>
      </c>
      <c r="EE27" s="120"/>
      <c r="EF27" s="120"/>
    </row>
    <row r="28" spans="2:144" ht="13.5" customHeight="1" x14ac:dyDescent="0.25">
      <c r="B28" s="78"/>
      <c r="C28" s="78"/>
      <c r="D28" s="258"/>
      <c r="E28" s="258"/>
      <c r="F28" s="258"/>
      <c r="G28" s="258"/>
      <c r="H28" s="258"/>
      <c r="I28" s="258"/>
      <c r="J28" s="258"/>
      <c r="K28" s="258"/>
      <c r="L28" s="258"/>
      <c r="M28" s="258"/>
      <c r="N28" s="258"/>
      <c r="O28" s="258"/>
      <c r="P28" s="258"/>
      <c r="Q28" s="78"/>
      <c r="R28" s="78"/>
      <c r="S28" s="258"/>
      <c r="T28" s="258"/>
      <c r="U28" s="258"/>
      <c r="V28" s="258"/>
      <c r="W28" s="258"/>
      <c r="X28" s="258"/>
      <c r="Y28" s="258"/>
      <c r="Z28" s="258"/>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8"/>
      <c r="AY28" s="78"/>
      <c r="AZ28" s="78"/>
      <c r="BA28" s="78"/>
      <c r="BB28" s="78"/>
      <c r="BC28" s="78"/>
      <c r="BD28" s="258" t="str">
        <f>MapReference!Y21</f>
        <v>Middle East</v>
      </c>
      <c r="BE28" s="258"/>
      <c r="BF28" s="258"/>
      <c r="BG28" s="258"/>
      <c r="BH28" s="258"/>
      <c r="BI28" s="258"/>
      <c r="BJ28" s="258"/>
      <c r="BK28" s="25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120"/>
      <c r="CX28" s="120"/>
      <c r="CY28" s="120"/>
      <c r="CZ28" s="120"/>
      <c r="DD28" s="77" t="str">
        <f>MapReference!X58</f>
        <v>South America</v>
      </c>
      <c r="DE28" s="77">
        <f>IF($DE$7="Move",MapReference!AA58,0)</f>
        <v>0</v>
      </c>
      <c r="DK28" s="77">
        <v>28</v>
      </c>
      <c r="DL28" s="77" t="str">
        <f>MapReference!Q31</f>
        <v>Great Britan</v>
      </c>
      <c r="DM28" s="77" t="str">
        <f>MapReference!E31</f>
        <v>Locked</v>
      </c>
      <c r="DN28" s="77" t="str">
        <f>MapReference!O31</f>
        <v>Grey</v>
      </c>
      <c r="EE28" s="120"/>
      <c r="EF28" s="120"/>
    </row>
    <row r="29" spans="2:144" ht="13.5" customHeight="1" x14ac:dyDescent="0.25">
      <c r="B29" s="78"/>
      <c r="C29" s="78"/>
      <c r="D29" s="264" t="str">
        <f>DE20</f>
        <v/>
      </c>
      <c r="E29" s="264"/>
      <c r="F29" s="264"/>
      <c r="G29" s="264"/>
      <c r="H29" s="264"/>
      <c r="I29" s="264"/>
      <c r="J29" s="264"/>
      <c r="K29" s="264"/>
      <c r="L29" s="264"/>
      <c r="M29" s="264"/>
      <c r="N29" s="264"/>
      <c r="O29" s="264"/>
      <c r="P29" s="264"/>
      <c r="Q29" s="78"/>
      <c r="R29" s="78"/>
      <c r="S29" s="258"/>
      <c r="T29" s="258"/>
      <c r="U29" s="258"/>
      <c r="V29" s="258"/>
      <c r="W29" s="258"/>
      <c r="X29" s="258"/>
      <c r="Y29" s="258"/>
      <c r="Z29" s="258"/>
      <c r="AA29" s="78"/>
      <c r="AB29" s="78"/>
      <c r="AC29" s="78"/>
      <c r="AD29" s="78"/>
      <c r="AE29" s="78"/>
      <c r="AF29" s="78"/>
      <c r="AG29" s="78"/>
      <c r="AH29" s="78"/>
      <c r="AI29" s="78"/>
      <c r="AJ29" s="78"/>
      <c r="AK29" s="78"/>
      <c r="AL29" s="78"/>
      <c r="AM29" s="78"/>
      <c r="AN29" s="78"/>
      <c r="AO29" s="78"/>
      <c r="AP29" s="78"/>
      <c r="AQ29" s="78"/>
      <c r="AR29" s="78"/>
      <c r="AS29" s="78"/>
      <c r="AT29" s="78"/>
      <c r="AU29" s="258" t="str">
        <f>MapReference!Y11</f>
        <v>Egypt</v>
      </c>
      <c r="AV29" s="258"/>
      <c r="AW29" s="258"/>
      <c r="AX29" s="258"/>
      <c r="AY29" s="258"/>
      <c r="AZ29" s="258"/>
      <c r="BA29" s="258"/>
      <c r="BB29" s="258"/>
      <c r="BC29" s="78"/>
      <c r="BD29" s="258"/>
      <c r="BE29" s="258"/>
      <c r="BF29" s="258"/>
      <c r="BG29" s="258"/>
      <c r="BH29" s="258"/>
      <c r="BI29" s="258"/>
      <c r="BJ29" s="258"/>
      <c r="BK29" s="258"/>
      <c r="BL29" s="78"/>
      <c r="BM29" s="78"/>
      <c r="BN29" s="78"/>
      <c r="BO29" s="78"/>
      <c r="BP29" s="78"/>
      <c r="BQ29" s="78"/>
      <c r="BR29" s="78"/>
      <c r="BS29" s="78"/>
      <c r="BT29" s="78"/>
      <c r="BU29" s="78"/>
      <c r="BV29" s="78"/>
      <c r="BW29" s="78"/>
      <c r="BX29" s="78"/>
      <c r="BY29" s="78"/>
      <c r="BZ29" s="78"/>
      <c r="CA29" s="78"/>
      <c r="CB29" s="78"/>
      <c r="CC29" s="78"/>
      <c r="CD29" s="78"/>
      <c r="CE29" s="78"/>
      <c r="CF29" s="78"/>
      <c r="CG29" s="78"/>
      <c r="CH29" s="78"/>
      <c r="CI29" s="78"/>
      <c r="CJ29" s="78"/>
      <c r="CK29" s="78"/>
      <c r="CL29" s="78"/>
      <c r="CM29" s="78"/>
      <c r="CN29" s="78"/>
      <c r="CO29" s="78"/>
      <c r="CP29" s="78"/>
      <c r="CQ29" s="78"/>
      <c r="CR29" s="78"/>
      <c r="CS29" s="78"/>
      <c r="CT29" s="78"/>
      <c r="CU29" s="78"/>
      <c r="CV29" s="78"/>
      <c r="CW29" s="120"/>
      <c r="CX29" s="120"/>
      <c r="CY29" s="120"/>
      <c r="CZ29" s="120"/>
      <c r="DA29" s="120"/>
      <c r="DB29" s="120"/>
      <c r="DD29" s="77" t="str">
        <f>MapReference!X59</f>
        <v>Europe</v>
      </c>
      <c r="DE29" s="77">
        <f>IF($DE$7="Move",MapReference!AA59,0)</f>
        <v>0</v>
      </c>
      <c r="DK29" s="77">
        <v>29</v>
      </c>
      <c r="DL29" s="77" t="str">
        <f>MapReference!Q32</f>
        <v>Iceland</v>
      </c>
      <c r="DM29" s="77" t="str">
        <f>MapReference!E32</f>
        <v>Locked</v>
      </c>
      <c r="DN29" s="77" t="str">
        <f>MapReference!O32</f>
        <v>Grey</v>
      </c>
      <c r="EE29" s="120"/>
      <c r="EF29" s="120"/>
      <c r="EH29" s="77"/>
      <c r="EI29" s="77"/>
      <c r="EJ29" s="77"/>
      <c r="EK29" s="77"/>
      <c r="EL29" s="77"/>
      <c r="EM29" s="77"/>
      <c r="EN29" s="77"/>
    </row>
    <row r="30" spans="2:144" ht="13.5" customHeight="1" x14ac:dyDescent="0.25">
      <c r="B30" s="78"/>
      <c r="C30" s="78"/>
      <c r="D30" s="264"/>
      <c r="E30" s="264"/>
      <c r="F30" s="264"/>
      <c r="G30" s="264"/>
      <c r="H30" s="264"/>
      <c r="I30" s="264"/>
      <c r="J30" s="264"/>
      <c r="K30" s="264"/>
      <c r="L30" s="264"/>
      <c r="M30" s="264"/>
      <c r="N30" s="264"/>
      <c r="O30" s="264"/>
      <c r="P30" s="264"/>
      <c r="Q30" s="78"/>
      <c r="R30" s="78"/>
      <c r="S30" s="78"/>
      <c r="T30" s="78"/>
      <c r="U30" s="78"/>
      <c r="V30" s="78"/>
      <c r="W30" s="78"/>
      <c r="X30" s="78"/>
      <c r="Y30" s="78"/>
      <c r="Z30" s="78"/>
      <c r="AA30" s="78"/>
      <c r="AB30" s="78"/>
      <c r="AC30" s="78"/>
      <c r="AD30" s="78"/>
      <c r="AE30" s="78"/>
      <c r="AF30" s="78"/>
      <c r="AG30" s="78"/>
      <c r="AH30" s="78"/>
      <c r="AI30" s="78"/>
      <c r="AJ30" s="78"/>
      <c r="AK30" s="78"/>
      <c r="AL30" s="78"/>
      <c r="AM30" s="78"/>
      <c r="AN30" s="78"/>
      <c r="AO30" s="78"/>
      <c r="AP30" s="78"/>
      <c r="AQ30" s="78"/>
      <c r="AR30" s="78"/>
      <c r="AS30" s="78"/>
      <c r="AT30" s="78"/>
      <c r="AU30" s="258"/>
      <c r="AV30" s="258"/>
      <c r="AW30" s="258"/>
      <c r="AX30" s="258"/>
      <c r="AY30" s="258"/>
      <c r="AZ30" s="258"/>
      <c r="BA30" s="258"/>
      <c r="BB30" s="258"/>
      <c r="BC30" s="78"/>
      <c r="BD30" s="258"/>
      <c r="BE30" s="258"/>
      <c r="BF30" s="258"/>
      <c r="BG30" s="258"/>
      <c r="BH30" s="258"/>
      <c r="BI30" s="258"/>
      <c r="BJ30" s="258"/>
      <c r="BK30" s="258"/>
      <c r="BL30" s="78"/>
      <c r="BM30" s="78"/>
      <c r="BN30" s="78"/>
      <c r="BO30" s="78"/>
      <c r="BP30" s="78"/>
      <c r="BQ30" s="78"/>
      <c r="BR30" s="78"/>
      <c r="BS30" s="78"/>
      <c r="BT30" s="78"/>
      <c r="BU30" s="78"/>
      <c r="BV30" s="78"/>
      <c r="BW30" s="78"/>
      <c r="BX30" s="78"/>
      <c r="BY30" s="78"/>
      <c r="BZ30" s="78"/>
      <c r="CA30" s="78"/>
      <c r="CB30" s="78"/>
      <c r="CC30" s="78"/>
      <c r="CD30" s="78"/>
      <c r="CE30" s="78"/>
      <c r="CF30" s="78"/>
      <c r="CG30" s="78"/>
      <c r="CH30" s="78"/>
      <c r="CI30" s="78"/>
      <c r="CJ30" s="78"/>
      <c r="CK30" s="78"/>
      <c r="CL30" s="78"/>
      <c r="CM30" s="78"/>
      <c r="CN30" s="78"/>
      <c r="CO30" s="78"/>
      <c r="CP30" s="78"/>
      <c r="CQ30" s="78"/>
      <c r="CR30" s="78"/>
      <c r="CS30" s="78"/>
      <c r="CT30" s="78"/>
      <c r="CU30" s="78"/>
      <c r="CV30" s="78"/>
      <c r="CW30" s="120"/>
      <c r="CX30" s="120"/>
      <c r="CY30" s="120"/>
      <c r="CZ30" s="120"/>
      <c r="DA30" s="120"/>
      <c r="DB30" s="120"/>
      <c r="DD30" s="77" t="str">
        <f>MapReference!X60</f>
        <v>North America</v>
      </c>
      <c r="DE30" s="77">
        <f>IF($DE$7="Move",MapReference!AA60,0)</f>
        <v>0</v>
      </c>
      <c r="DK30" s="77">
        <v>30</v>
      </c>
      <c r="DL30" s="77" t="str">
        <f>MapReference!Q33</f>
        <v>Northern Europe</v>
      </c>
      <c r="DM30" s="77" t="str">
        <f>MapReference!E33</f>
        <v>Locked</v>
      </c>
      <c r="DN30" s="77" t="str">
        <f>MapReference!O33</f>
        <v>Grey</v>
      </c>
      <c r="EE30" s="120"/>
      <c r="EF30" s="120"/>
    </row>
    <row r="31" spans="2:144" ht="13.5" customHeight="1" x14ac:dyDescent="0.25">
      <c r="B31" s="78"/>
      <c r="C31" s="78"/>
      <c r="D31" s="264"/>
      <c r="E31" s="264"/>
      <c r="F31" s="264"/>
      <c r="G31" s="264"/>
      <c r="H31" s="264"/>
      <c r="I31" s="264"/>
      <c r="J31" s="264"/>
      <c r="K31" s="264"/>
      <c r="L31" s="264"/>
      <c r="M31" s="264"/>
      <c r="N31" s="264"/>
      <c r="O31" s="264"/>
      <c r="P31" s="264"/>
      <c r="Q31" s="78"/>
      <c r="R31" s="78"/>
      <c r="S31" s="78"/>
      <c r="T31" s="78"/>
      <c r="U31" s="258" t="str">
        <f>MapReference!Y50</f>
        <v>Veneseulea</v>
      </c>
      <c r="V31" s="258"/>
      <c r="W31" s="258"/>
      <c r="X31" s="258"/>
      <c r="Y31" s="258"/>
      <c r="Z31" s="258"/>
      <c r="AA31" s="258"/>
      <c r="AB31" s="258"/>
      <c r="AC31" s="78"/>
      <c r="AD31" s="78"/>
      <c r="AE31" s="78"/>
      <c r="AF31" s="78"/>
      <c r="AG31" s="78"/>
      <c r="AH31" s="78"/>
      <c r="AI31" s="78"/>
      <c r="AJ31" s="78"/>
      <c r="AK31" s="78"/>
      <c r="AL31" s="78"/>
      <c r="AM31" s="78"/>
      <c r="AN31" s="78"/>
      <c r="AO31" s="78"/>
      <c r="AP31" s="78"/>
      <c r="AQ31" s="78"/>
      <c r="AR31" s="78"/>
      <c r="AS31" s="78"/>
      <c r="AT31" s="78"/>
      <c r="AU31" s="258"/>
      <c r="AV31" s="258"/>
      <c r="AW31" s="258"/>
      <c r="AX31" s="258"/>
      <c r="AY31" s="258"/>
      <c r="AZ31" s="258"/>
      <c r="BA31" s="258"/>
      <c r="BB31" s="258"/>
      <c r="BC31" s="78"/>
      <c r="BD31" s="78"/>
      <c r="BE31" s="78"/>
      <c r="BF31" s="78"/>
      <c r="BG31" s="78"/>
      <c r="BH31" s="78"/>
      <c r="BI31" s="78"/>
      <c r="BJ31" s="78"/>
      <c r="BK31" s="78"/>
      <c r="BL31" s="78"/>
      <c r="BM31" s="78"/>
      <c r="BN31" s="258" t="str">
        <f>MapReference!Y17</f>
        <v>India</v>
      </c>
      <c r="BO31" s="258"/>
      <c r="BP31" s="258"/>
      <c r="BQ31" s="258"/>
      <c r="BR31" s="258"/>
      <c r="BS31" s="258"/>
      <c r="BT31" s="258"/>
      <c r="BU31" s="258"/>
      <c r="BV31" s="78"/>
      <c r="BW31" s="78"/>
      <c r="BX31" s="258" t="str">
        <f>MapReference!Y23</f>
        <v>Siam</v>
      </c>
      <c r="BY31" s="258"/>
      <c r="BZ31" s="258"/>
      <c r="CA31" s="258"/>
      <c r="CB31" s="258"/>
      <c r="CC31" s="258"/>
      <c r="CD31" s="258"/>
      <c r="CE31" s="258"/>
      <c r="CF31" s="78"/>
      <c r="CG31" s="78"/>
      <c r="CH31" s="78"/>
      <c r="CI31" s="78"/>
      <c r="CJ31" s="78"/>
      <c r="CK31" s="78"/>
      <c r="CL31" s="78"/>
      <c r="CM31" s="78"/>
      <c r="CN31" s="78"/>
      <c r="CO31" s="78"/>
      <c r="CP31" s="78"/>
      <c r="CQ31" s="78"/>
      <c r="CR31" s="78"/>
      <c r="CS31" s="78"/>
      <c r="CT31" s="78"/>
      <c r="CU31" s="78"/>
      <c r="CV31" s="78"/>
      <c r="CW31" s="120"/>
      <c r="CX31" s="120"/>
      <c r="CY31" s="120"/>
      <c r="CZ31" s="120"/>
      <c r="DA31" s="120"/>
      <c r="DB31" s="120"/>
      <c r="DD31" s="77" t="str">
        <f>MapReference!X61</f>
        <v>Reinforce</v>
      </c>
      <c r="DE31" s="77">
        <f>IF($DE$7="Move",MapReference!AA61,0)</f>
        <v>0</v>
      </c>
      <c r="DK31" s="77">
        <v>31</v>
      </c>
      <c r="DL31" s="77" t="str">
        <f>MapReference!Q34</f>
        <v>Scandanavia</v>
      </c>
      <c r="DM31" s="77" t="str">
        <f>MapReference!E34</f>
        <v>Locked</v>
      </c>
      <c r="DN31" s="77" t="str">
        <f>MapReference!O34</f>
        <v>Grey</v>
      </c>
      <c r="EE31" s="120"/>
      <c r="EF31" s="120"/>
    </row>
    <row r="32" spans="2:144" ht="13.5" customHeight="1" x14ac:dyDescent="0.25">
      <c r="B32" s="78"/>
      <c r="C32" s="78"/>
      <c r="D32" s="264" t="str">
        <f>DF19</f>
        <v/>
      </c>
      <c r="E32" s="264"/>
      <c r="F32" s="264"/>
      <c r="G32" s="264"/>
      <c r="H32" s="264"/>
      <c r="I32" s="264"/>
      <c r="J32" s="264"/>
      <c r="K32" s="264"/>
      <c r="L32" s="264"/>
      <c r="M32" s="264"/>
      <c r="N32" s="264"/>
      <c r="O32" s="264"/>
      <c r="P32" s="264"/>
      <c r="Q32" s="78"/>
      <c r="R32" s="78"/>
      <c r="S32" s="78"/>
      <c r="T32" s="78"/>
      <c r="U32" s="258"/>
      <c r="V32" s="258"/>
      <c r="W32" s="258"/>
      <c r="X32" s="258"/>
      <c r="Y32" s="258"/>
      <c r="Z32" s="258"/>
      <c r="AA32" s="258"/>
      <c r="AB32" s="258"/>
      <c r="AC32" s="78"/>
      <c r="AD32" s="78"/>
      <c r="AE32" s="78"/>
      <c r="AF32" s="78"/>
      <c r="AG32" s="78"/>
      <c r="AH32" s="78"/>
      <c r="AI32" s="78"/>
      <c r="AJ32" s="78"/>
      <c r="AK32" s="78"/>
      <c r="AL32" s="78"/>
      <c r="AM32" s="78"/>
      <c r="AN32" s="78"/>
      <c r="AO32" s="78"/>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258"/>
      <c r="BO32" s="258"/>
      <c r="BP32" s="258"/>
      <c r="BQ32" s="258"/>
      <c r="BR32" s="258"/>
      <c r="BS32" s="258"/>
      <c r="BT32" s="258"/>
      <c r="BU32" s="258"/>
      <c r="BV32" s="78"/>
      <c r="BW32" s="78"/>
      <c r="BX32" s="258"/>
      <c r="BY32" s="258"/>
      <c r="BZ32" s="258"/>
      <c r="CA32" s="258"/>
      <c r="CB32" s="258"/>
      <c r="CC32" s="258"/>
      <c r="CD32" s="258"/>
      <c r="CE32" s="258"/>
      <c r="CF32" s="78"/>
      <c r="CG32" s="78"/>
      <c r="CH32" s="78"/>
      <c r="CI32" s="78"/>
      <c r="CJ32" s="78"/>
      <c r="CK32" s="78"/>
      <c r="CL32" s="78"/>
      <c r="CM32" s="78"/>
      <c r="CN32" s="78"/>
      <c r="CO32" s="78"/>
      <c r="CP32" s="78"/>
      <c r="CQ32" s="78"/>
      <c r="CR32" s="78"/>
      <c r="CS32" s="78"/>
      <c r="CT32" s="78"/>
      <c r="CU32" s="78"/>
      <c r="CV32" s="78"/>
      <c r="CW32" s="120"/>
      <c r="CX32" s="120"/>
      <c r="CY32" s="120"/>
      <c r="CZ32" s="120"/>
      <c r="DA32" s="120"/>
      <c r="DB32" s="120"/>
      <c r="DE32" s="77" t="str">
        <f>IF(SUM(DE25:DE31)&gt;0,DE5,"No")</f>
        <v>No</v>
      </c>
      <c r="DK32" s="77">
        <v>32</v>
      </c>
      <c r="DL32" s="77" t="str">
        <f>MapReference!Q35</f>
        <v>Southern Europe</v>
      </c>
      <c r="DM32" s="77" t="str">
        <f>MapReference!E35</f>
        <v>Locked</v>
      </c>
      <c r="DN32" s="77" t="str">
        <f>MapReference!O35</f>
        <v>Grey</v>
      </c>
      <c r="EE32" s="120"/>
      <c r="EF32" s="120"/>
    </row>
    <row r="33" spans="2:136" ht="13.5" customHeight="1" x14ac:dyDescent="0.25">
      <c r="B33" s="78"/>
      <c r="C33" s="78"/>
      <c r="D33" s="264"/>
      <c r="E33" s="264"/>
      <c r="F33" s="264"/>
      <c r="G33" s="264"/>
      <c r="H33" s="264"/>
      <c r="I33" s="264"/>
      <c r="J33" s="264"/>
      <c r="K33" s="264"/>
      <c r="L33" s="264"/>
      <c r="M33" s="264"/>
      <c r="N33" s="264"/>
      <c r="O33" s="264"/>
      <c r="P33" s="264"/>
      <c r="Q33" s="78"/>
      <c r="R33" s="78"/>
      <c r="S33" s="78"/>
      <c r="T33" s="78"/>
      <c r="U33" s="258"/>
      <c r="V33" s="258"/>
      <c r="W33" s="258"/>
      <c r="X33" s="258"/>
      <c r="Y33" s="258"/>
      <c r="Z33" s="258"/>
      <c r="AA33" s="258"/>
      <c r="AB33" s="258"/>
      <c r="AC33" s="78"/>
      <c r="AD33" s="78"/>
      <c r="AE33" s="78"/>
      <c r="AF33" s="78"/>
      <c r="AG33" s="78"/>
      <c r="AH33" s="78"/>
      <c r="AI33" s="78"/>
      <c r="AJ33" s="78"/>
      <c r="AK33" s="78"/>
      <c r="AL33" s="78"/>
      <c r="AM33" s="78"/>
      <c r="AN33" s="78"/>
      <c r="AO33" s="78"/>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258"/>
      <c r="BO33" s="258"/>
      <c r="BP33" s="258"/>
      <c r="BQ33" s="258"/>
      <c r="BR33" s="258"/>
      <c r="BS33" s="258"/>
      <c r="BT33" s="258"/>
      <c r="BU33" s="258"/>
      <c r="BV33" s="78"/>
      <c r="BW33" s="78"/>
      <c r="BX33" s="258"/>
      <c r="BY33" s="258"/>
      <c r="BZ33" s="258"/>
      <c r="CA33" s="258"/>
      <c r="CB33" s="258"/>
      <c r="CC33" s="258"/>
      <c r="CD33" s="258"/>
      <c r="CE33" s="258"/>
      <c r="CF33" s="78"/>
      <c r="CG33" s="78"/>
      <c r="CH33" s="78"/>
      <c r="CI33" s="78"/>
      <c r="CJ33" s="78"/>
      <c r="CK33" s="78"/>
      <c r="CL33" s="78"/>
      <c r="CM33" s="78"/>
      <c r="CN33" s="78"/>
      <c r="CO33" s="78"/>
      <c r="CP33" s="78"/>
      <c r="CQ33" s="78"/>
      <c r="CR33" s="78"/>
      <c r="CS33" s="78"/>
      <c r="CT33" s="78"/>
      <c r="CU33" s="78"/>
      <c r="CV33" s="78"/>
      <c r="CW33" s="120"/>
      <c r="CX33" s="120"/>
      <c r="CY33" s="120"/>
      <c r="CZ33" s="120"/>
      <c r="DA33" s="120"/>
      <c r="DB33" s="120"/>
      <c r="DK33" s="77">
        <v>33</v>
      </c>
      <c r="DL33" s="77" t="str">
        <f>MapReference!Q36</f>
        <v>Ukraine</v>
      </c>
      <c r="DM33" s="77" t="str">
        <f>MapReference!E36</f>
        <v>Locked</v>
      </c>
      <c r="DN33" s="77" t="str">
        <f>MapReference!O36</f>
        <v>Grey</v>
      </c>
      <c r="EE33" s="120"/>
      <c r="EF33" s="120"/>
    </row>
    <row r="34" spans="2:136" ht="13.5" customHeight="1" x14ac:dyDescent="0.25">
      <c r="B34" s="78"/>
      <c r="C34" s="78"/>
      <c r="D34" s="264"/>
      <c r="E34" s="264"/>
      <c r="F34" s="264"/>
      <c r="G34" s="264"/>
      <c r="H34" s="264"/>
      <c r="I34" s="264"/>
      <c r="J34" s="264"/>
      <c r="K34" s="264"/>
      <c r="L34" s="264"/>
      <c r="M34" s="264"/>
      <c r="N34" s="264"/>
      <c r="O34" s="264"/>
      <c r="P34" s="264"/>
      <c r="Q34" s="78"/>
      <c r="R34" s="79"/>
      <c r="S34" s="79"/>
      <c r="T34" s="79"/>
      <c r="U34" s="79"/>
      <c r="V34" s="79"/>
      <c r="W34" s="79"/>
      <c r="X34" s="79"/>
      <c r="Y34" s="79"/>
      <c r="Z34" s="78"/>
      <c r="AA34" s="78"/>
      <c r="AB34" s="78"/>
      <c r="AC34" s="78"/>
      <c r="AD34" s="78"/>
      <c r="AE34" s="78"/>
      <c r="AF34" s="78"/>
      <c r="AG34" s="78"/>
      <c r="AH34" s="78"/>
      <c r="AI34" s="78"/>
      <c r="AJ34" s="78"/>
      <c r="AK34" s="78"/>
      <c r="AL34" s="78"/>
      <c r="AM34" s="78"/>
      <c r="AN34" s="258" t="str">
        <f>MapReference!Y13</f>
        <v>North Africa</v>
      </c>
      <c r="AO34" s="258"/>
      <c r="AP34" s="258"/>
      <c r="AQ34" s="258"/>
      <c r="AR34" s="258"/>
      <c r="AS34" s="258"/>
      <c r="AT34" s="258"/>
      <c r="AU34" s="258"/>
      <c r="AV34" s="78"/>
      <c r="AW34" s="78"/>
      <c r="AX34" s="78"/>
      <c r="AY34" s="78"/>
      <c r="AZ34" s="78"/>
      <c r="BA34" s="78"/>
      <c r="BB34" s="78"/>
      <c r="BC34" s="78"/>
      <c r="BD34" s="78"/>
      <c r="BE34" s="78"/>
      <c r="BF34" s="78"/>
      <c r="BG34" s="78"/>
      <c r="BH34" s="78"/>
      <c r="BI34" s="78"/>
      <c r="BJ34" s="78"/>
      <c r="BK34" s="78"/>
      <c r="BL34" s="78"/>
      <c r="BM34" s="78"/>
      <c r="BN34" s="78"/>
      <c r="BO34" s="78"/>
      <c r="BP34" s="78"/>
      <c r="BQ34" s="78"/>
      <c r="BR34" s="78"/>
      <c r="BS34" s="78"/>
      <c r="BT34" s="78"/>
      <c r="BU34" s="78"/>
      <c r="BV34" s="78"/>
      <c r="BW34" s="78"/>
      <c r="BX34" s="78"/>
      <c r="BY34" s="78"/>
      <c r="BZ34" s="78"/>
      <c r="CA34" s="78"/>
      <c r="CB34" s="78"/>
      <c r="CC34" s="78"/>
      <c r="CD34" s="78"/>
      <c r="CE34" s="78"/>
      <c r="CF34" s="78"/>
      <c r="CG34" s="78"/>
      <c r="CH34" s="78"/>
      <c r="CI34" s="78"/>
      <c r="CJ34" s="78"/>
      <c r="CK34" s="78"/>
      <c r="CL34" s="78"/>
      <c r="CM34" s="78"/>
      <c r="CN34" s="78"/>
      <c r="CO34" s="78"/>
      <c r="CP34" s="78"/>
      <c r="CQ34" s="78"/>
      <c r="CR34" s="78"/>
      <c r="CS34" s="78"/>
      <c r="CT34" s="78"/>
      <c r="CU34" s="78"/>
      <c r="CV34" s="78"/>
      <c r="CW34" s="120"/>
      <c r="CX34" s="120"/>
      <c r="CY34" s="120"/>
      <c r="CZ34" s="120"/>
      <c r="DA34" s="120"/>
      <c r="DB34" s="120"/>
      <c r="DK34" s="77">
        <v>34</v>
      </c>
      <c r="DL34" s="77" t="str">
        <f>MapReference!Q37</f>
        <v>Western Europe</v>
      </c>
      <c r="DM34" s="77" t="str">
        <f>MapReference!E37</f>
        <v>Locked</v>
      </c>
      <c r="DN34" s="77" t="str">
        <f>MapReference!O37</f>
        <v>Grey</v>
      </c>
      <c r="EE34" s="120"/>
      <c r="EF34" s="120"/>
    </row>
    <row r="35" spans="2:136" ht="13.5" customHeight="1" x14ac:dyDescent="0.25">
      <c r="B35" s="78"/>
      <c r="C35" s="78"/>
      <c r="D35" s="263" t="str">
        <f>DE21</f>
        <v/>
      </c>
      <c r="E35" s="263"/>
      <c r="F35" s="263"/>
      <c r="G35" s="263"/>
      <c r="H35" s="263"/>
      <c r="I35" s="263"/>
      <c r="J35" s="263"/>
      <c r="K35" s="263"/>
      <c r="L35" s="263"/>
      <c r="M35" s="263"/>
      <c r="N35" s="263"/>
      <c r="O35" s="263"/>
      <c r="P35" s="263"/>
      <c r="Q35" s="78"/>
      <c r="R35" s="79"/>
      <c r="S35" s="78"/>
      <c r="T35" s="78"/>
      <c r="U35" s="78"/>
      <c r="V35" s="78"/>
      <c r="W35" s="78"/>
      <c r="X35" s="78"/>
      <c r="Y35" s="78"/>
      <c r="Z35" s="78"/>
      <c r="AA35" s="78"/>
      <c r="AB35" s="78"/>
      <c r="AC35" s="78"/>
      <c r="AD35" s="78"/>
      <c r="AE35" s="78"/>
      <c r="AF35" s="78"/>
      <c r="AG35" s="78"/>
      <c r="AH35" s="78"/>
      <c r="AI35" s="78"/>
      <c r="AJ35" s="78"/>
      <c r="AK35" s="78"/>
      <c r="AL35" s="78"/>
      <c r="AM35" s="78"/>
      <c r="AN35" s="258"/>
      <c r="AO35" s="258"/>
      <c r="AP35" s="258"/>
      <c r="AQ35" s="258"/>
      <c r="AR35" s="258"/>
      <c r="AS35" s="258"/>
      <c r="AT35" s="258"/>
      <c r="AU35" s="258"/>
      <c r="AV35" s="122"/>
      <c r="AW35" s="122"/>
      <c r="AX35" s="122"/>
      <c r="AY35" s="122"/>
      <c r="AZ35" s="122"/>
      <c r="BA35" s="258" t="str">
        <f>MapReference!Y10</f>
        <v>East Africa</v>
      </c>
      <c r="BB35" s="258"/>
      <c r="BC35" s="258"/>
      <c r="BD35" s="258"/>
      <c r="BE35" s="258"/>
      <c r="BF35" s="258"/>
      <c r="BG35" s="258"/>
      <c r="BH35" s="258"/>
      <c r="BI35" s="78"/>
      <c r="BJ35" s="78"/>
      <c r="BK35" s="78"/>
      <c r="BL35" s="78"/>
      <c r="BM35" s="78"/>
      <c r="BN35" s="78"/>
      <c r="BO35" s="78"/>
      <c r="BP35" s="78"/>
      <c r="BQ35" s="78"/>
      <c r="BR35" s="78"/>
      <c r="BS35" s="78"/>
      <c r="BT35" s="78"/>
      <c r="BU35" s="78"/>
      <c r="BV35" s="78"/>
      <c r="BW35" s="78"/>
      <c r="BX35" s="78"/>
      <c r="BY35" s="78"/>
      <c r="BZ35" s="78"/>
      <c r="CA35" s="78"/>
      <c r="CB35" s="78"/>
      <c r="CC35" s="78"/>
      <c r="CD35" s="78"/>
      <c r="CE35" s="78"/>
      <c r="CF35" s="78"/>
      <c r="CG35" s="78"/>
      <c r="CH35" s="78"/>
      <c r="CI35" s="78"/>
      <c r="CJ35" s="78"/>
      <c r="CK35" s="78"/>
      <c r="CL35" s="78"/>
      <c r="CM35" s="78"/>
      <c r="CN35" s="78"/>
      <c r="CO35" s="78"/>
      <c r="CP35" s="78"/>
      <c r="CQ35" s="78"/>
      <c r="CR35" s="78"/>
      <c r="CS35" s="78"/>
      <c r="CT35" s="78"/>
      <c r="CU35" s="78"/>
      <c r="CV35" s="78"/>
      <c r="CW35" s="120"/>
      <c r="CX35" s="120"/>
      <c r="CY35" s="120"/>
      <c r="CZ35" s="120"/>
      <c r="DA35" s="120"/>
      <c r="DB35" s="120"/>
      <c r="DK35" s="77">
        <v>35</v>
      </c>
      <c r="DL35" s="77" t="str">
        <f>MapReference!Q38</f>
        <v>Alaska</v>
      </c>
      <c r="DM35" s="77" t="str">
        <f>MapReference!E38</f>
        <v>Locked</v>
      </c>
      <c r="DN35" s="77" t="str">
        <f>MapReference!O38</f>
        <v>Grey</v>
      </c>
      <c r="EE35" s="120"/>
      <c r="EF35" s="120"/>
    </row>
    <row r="36" spans="2:136" ht="13.5" customHeight="1" x14ac:dyDescent="0.25">
      <c r="B36" s="78"/>
      <c r="C36" s="78"/>
      <c r="D36" s="263"/>
      <c r="E36" s="263"/>
      <c r="F36" s="263"/>
      <c r="G36" s="263"/>
      <c r="H36" s="263"/>
      <c r="I36" s="263"/>
      <c r="J36" s="263"/>
      <c r="K36" s="263"/>
      <c r="L36" s="263"/>
      <c r="M36" s="263"/>
      <c r="N36" s="263"/>
      <c r="O36" s="263"/>
      <c r="P36" s="263"/>
      <c r="Q36" s="78"/>
      <c r="R36" s="79"/>
      <c r="S36" s="78"/>
      <c r="T36" s="78"/>
      <c r="U36" s="78"/>
      <c r="V36" s="78"/>
      <c r="W36" s="78"/>
      <c r="X36" s="78"/>
      <c r="Y36" s="78"/>
      <c r="Z36" s="78"/>
      <c r="AA36" s="78"/>
      <c r="AB36" s="78"/>
      <c r="AC36" s="78"/>
      <c r="AD36" s="78"/>
      <c r="AE36" s="78"/>
      <c r="AF36" s="78"/>
      <c r="AG36" s="78"/>
      <c r="AH36" s="78"/>
      <c r="AI36" s="78"/>
      <c r="AJ36" s="78"/>
      <c r="AK36" s="78"/>
      <c r="AL36" s="78"/>
      <c r="AM36" s="78"/>
      <c r="AN36" s="258"/>
      <c r="AO36" s="258"/>
      <c r="AP36" s="258"/>
      <c r="AQ36" s="258"/>
      <c r="AR36" s="258"/>
      <c r="AS36" s="258"/>
      <c r="AT36" s="258"/>
      <c r="AU36" s="258"/>
      <c r="AV36" s="122"/>
      <c r="AW36" s="122"/>
      <c r="AX36" s="122"/>
      <c r="AY36" s="122"/>
      <c r="AZ36" s="122"/>
      <c r="BA36" s="258"/>
      <c r="BB36" s="258"/>
      <c r="BC36" s="258"/>
      <c r="BD36" s="258"/>
      <c r="BE36" s="258"/>
      <c r="BF36" s="258"/>
      <c r="BG36" s="258"/>
      <c r="BH36" s="258"/>
      <c r="BI36" s="78"/>
      <c r="BJ36" s="78"/>
      <c r="BK36" s="78"/>
      <c r="BL36" s="78"/>
      <c r="BM36" s="78"/>
      <c r="BN36" s="78"/>
      <c r="BO36" s="78"/>
      <c r="BP36" s="78"/>
      <c r="BQ36" s="78"/>
      <c r="BR36" s="78"/>
      <c r="BS36" s="78"/>
      <c r="BT36" s="78"/>
      <c r="BU36" s="78"/>
      <c r="BV36" s="78"/>
      <c r="BW36" s="78"/>
      <c r="BX36" s="78"/>
      <c r="BY36" s="78"/>
      <c r="BZ36" s="78"/>
      <c r="CA36" s="78"/>
      <c r="CB36" s="78"/>
      <c r="CC36" s="78"/>
      <c r="CD36" s="78"/>
      <c r="CE36" s="78"/>
      <c r="CF36" s="78"/>
      <c r="CG36" s="78"/>
      <c r="CH36" s="78"/>
      <c r="CI36" s="78"/>
      <c r="CJ36" s="78"/>
      <c r="CK36" s="78"/>
      <c r="CL36" s="78"/>
      <c r="CM36" s="78"/>
      <c r="CN36" s="78"/>
      <c r="CO36" s="78"/>
      <c r="CP36" s="78"/>
      <c r="CQ36" s="78"/>
      <c r="CR36" s="78"/>
      <c r="CS36" s="78"/>
      <c r="CT36" s="78"/>
      <c r="CU36" s="78"/>
      <c r="CV36" s="78"/>
      <c r="CW36" s="120"/>
      <c r="CX36" s="120"/>
      <c r="CY36" s="120"/>
      <c r="CZ36" s="120"/>
      <c r="DA36" s="120"/>
      <c r="DB36" s="120"/>
      <c r="DK36" s="77">
        <v>36</v>
      </c>
      <c r="DL36" s="77" t="str">
        <f>MapReference!Q39</f>
        <v>Alberta</v>
      </c>
      <c r="DM36" s="77" t="str">
        <f>MapReference!E39</f>
        <v>Locked</v>
      </c>
      <c r="DN36" s="77" t="str">
        <f>MapReference!O39</f>
        <v>Grey</v>
      </c>
      <c r="EE36" s="120"/>
      <c r="EF36" s="120"/>
    </row>
    <row r="37" spans="2:136" ht="13.5" customHeight="1" x14ac:dyDescent="0.25">
      <c r="B37" s="78"/>
      <c r="C37" s="78"/>
      <c r="D37" s="263"/>
      <c r="E37" s="263"/>
      <c r="F37" s="263"/>
      <c r="G37" s="263"/>
      <c r="H37" s="263"/>
      <c r="I37" s="263"/>
      <c r="J37" s="263"/>
      <c r="K37" s="263"/>
      <c r="L37" s="263"/>
      <c r="M37" s="263"/>
      <c r="N37" s="263"/>
      <c r="O37" s="263"/>
      <c r="P37" s="263"/>
      <c r="Q37" s="78"/>
      <c r="R37" s="78"/>
      <c r="S37" s="78"/>
      <c r="T37" s="78"/>
      <c r="U37" s="78"/>
      <c r="V37" s="78"/>
      <c r="W37" s="78"/>
      <c r="X37" s="78"/>
      <c r="Y37" s="78"/>
      <c r="Z37" s="78"/>
      <c r="AA37" s="78"/>
      <c r="AB37" s="258" t="str">
        <f>MapReference!Y48</f>
        <v>Brazil</v>
      </c>
      <c r="AC37" s="258"/>
      <c r="AD37" s="258"/>
      <c r="AE37" s="258"/>
      <c r="AF37" s="258"/>
      <c r="AG37" s="258"/>
      <c r="AH37" s="258"/>
      <c r="AI37" s="258"/>
      <c r="AJ37" s="78"/>
      <c r="AK37" s="78"/>
      <c r="AL37" s="78"/>
      <c r="AM37" s="78"/>
      <c r="AN37" s="78"/>
      <c r="AO37" s="122"/>
      <c r="AP37" s="122"/>
      <c r="AQ37" s="122"/>
      <c r="AR37" s="122"/>
      <c r="AS37" s="122"/>
      <c r="AT37" s="122"/>
      <c r="AU37" s="122"/>
      <c r="AV37" s="122"/>
      <c r="AW37" s="122"/>
      <c r="AX37" s="122"/>
      <c r="AY37" s="122"/>
      <c r="AZ37" s="122"/>
      <c r="BA37" s="258"/>
      <c r="BB37" s="258"/>
      <c r="BC37" s="258"/>
      <c r="BD37" s="258"/>
      <c r="BE37" s="258"/>
      <c r="BF37" s="258"/>
      <c r="BG37" s="258"/>
      <c r="BH37" s="258"/>
      <c r="BI37" s="78"/>
      <c r="BJ37" s="78"/>
      <c r="BK37" s="78"/>
      <c r="BL37" s="78"/>
      <c r="BM37" s="78"/>
      <c r="BN37" s="78"/>
      <c r="BO37" s="78"/>
      <c r="BP37" s="78"/>
      <c r="BQ37" s="78"/>
      <c r="BR37" s="78"/>
      <c r="BS37" s="78"/>
      <c r="BT37" s="78"/>
      <c r="BU37" s="78"/>
      <c r="BV37" s="78"/>
      <c r="BW37" s="78"/>
      <c r="BX37" s="78"/>
      <c r="BY37" s="78"/>
      <c r="BZ37" s="78"/>
      <c r="CA37" s="78"/>
      <c r="CB37" s="78"/>
      <c r="CC37" s="78"/>
      <c r="CD37" s="78"/>
      <c r="CE37" s="78"/>
      <c r="CF37" s="78"/>
      <c r="CG37" s="78"/>
      <c r="CH37" s="78"/>
      <c r="CI37" s="258" t="str">
        <f>MapReference!Y29</f>
        <v>New Guinea</v>
      </c>
      <c r="CJ37" s="258"/>
      <c r="CK37" s="258"/>
      <c r="CL37" s="258"/>
      <c r="CM37" s="258"/>
      <c r="CN37" s="258"/>
      <c r="CO37" s="258"/>
      <c r="CP37" s="258"/>
      <c r="CQ37" s="78"/>
      <c r="CR37" s="78"/>
      <c r="CS37" s="78"/>
      <c r="CT37" s="78"/>
      <c r="CU37" s="78"/>
      <c r="CV37" s="78"/>
      <c r="CW37" s="120"/>
      <c r="CX37" s="120"/>
      <c r="CY37" s="120"/>
      <c r="CZ37" s="120"/>
      <c r="DA37" s="120"/>
      <c r="DB37" s="120"/>
      <c r="DK37" s="77">
        <v>37</v>
      </c>
      <c r="DL37" s="77" t="str">
        <f>MapReference!Q40</f>
        <v>Central America</v>
      </c>
      <c r="DM37" s="77" t="str">
        <f>MapReference!E40</f>
        <v>Locked</v>
      </c>
      <c r="DN37" s="77" t="str">
        <f>MapReference!O40</f>
        <v>Grey</v>
      </c>
      <c r="EE37" s="120"/>
      <c r="EF37" s="120"/>
    </row>
    <row r="38" spans="2:136" ht="13.5" customHeight="1" x14ac:dyDescent="0.25">
      <c r="B38" s="78"/>
      <c r="C38" s="78"/>
      <c r="D38" s="263" t="str">
        <f>DE22</f>
        <v/>
      </c>
      <c r="E38" s="263"/>
      <c r="F38" s="263"/>
      <c r="G38" s="263"/>
      <c r="H38" s="263"/>
      <c r="I38" s="263"/>
      <c r="J38" s="263"/>
      <c r="K38" s="263"/>
      <c r="L38" s="263"/>
      <c r="M38" s="263"/>
      <c r="N38" s="263"/>
      <c r="O38" s="263"/>
      <c r="P38" s="263"/>
      <c r="Q38" s="78"/>
      <c r="R38" s="78"/>
      <c r="S38" s="78"/>
      <c r="T38" s="78"/>
      <c r="U38" s="78"/>
      <c r="V38" s="78"/>
      <c r="W38" s="78"/>
      <c r="X38" s="78"/>
      <c r="Y38" s="78"/>
      <c r="Z38" s="78"/>
      <c r="AA38" s="78"/>
      <c r="AB38" s="258"/>
      <c r="AC38" s="258"/>
      <c r="AD38" s="258"/>
      <c r="AE38" s="258"/>
      <c r="AF38" s="258"/>
      <c r="AG38" s="258"/>
      <c r="AH38" s="258"/>
      <c r="AI38" s="258"/>
      <c r="AJ38" s="78"/>
      <c r="AK38" s="78"/>
      <c r="AL38" s="78"/>
      <c r="AM38" s="78"/>
      <c r="AN38" s="78"/>
      <c r="AO38" s="122"/>
      <c r="AP38" s="122"/>
      <c r="AQ38" s="122"/>
      <c r="AR38" s="122"/>
      <c r="AS38" s="122"/>
      <c r="AT38" s="122"/>
      <c r="AU38" s="122"/>
      <c r="AV38" s="122"/>
      <c r="AW38" s="122"/>
      <c r="AX38" s="122"/>
      <c r="AY38" s="122"/>
      <c r="AZ38" s="122"/>
      <c r="BA38" s="122"/>
      <c r="BB38" s="78"/>
      <c r="BC38" s="78"/>
      <c r="BD38" s="78"/>
      <c r="BE38" s="78"/>
      <c r="BF38" s="78"/>
      <c r="BG38" s="78"/>
      <c r="BH38" s="78"/>
      <c r="BI38" s="78"/>
      <c r="BJ38" s="78"/>
      <c r="BK38" s="78"/>
      <c r="BL38" s="78"/>
      <c r="BM38" s="78"/>
      <c r="BN38" s="78"/>
      <c r="BO38" s="78"/>
      <c r="BP38" s="78"/>
      <c r="BQ38" s="78"/>
      <c r="BR38" s="78"/>
      <c r="BS38" s="78"/>
      <c r="BT38" s="78"/>
      <c r="BU38" s="78"/>
      <c r="BV38" s="78"/>
      <c r="BW38" s="78"/>
      <c r="BX38" s="258" t="str">
        <f>MapReference!Y28</f>
        <v>Indonesia</v>
      </c>
      <c r="BY38" s="258"/>
      <c r="BZ38" s="258"/>
      <c r="CA38" s="258"/>
      <c r="CB38" s="258"/>
      <c r="CC38" s="258"/>
      <c r="CD38" s="258"/>
      <c r="CE38" s="258"/>
      <c r="CF38" s="78"/>
      <c r="CG38" s="78"/>
      <c r="CH38" s="78"/>
      <c r="CI38" s="258"/>
      <c r="CJ38" s="258"/>
      <c r="CK38" s="258"/>
      <c r="CL38" s="258"/>
      <c r="CM38" s="258"/>
      <c r="CN38" s="258"/>
      <c r="CO38" s="258"/>
      <c r="CP38" s="258"/>
      <c r="CQ38" s="78"/>
      <c r="CR38" s="78"/>
      <c r="CS38" s="78"/>
      <c r="CT38" s="78"/>
      <c r="CU38" s="78"/>
      <c r="CV38" s="78"/>
      <c r="CW38" s="120"/>
      <c r="CX38" s="120"/>
      <c r="CY38" s="120"/>
      <c r="CZ38" s="120"/>
      <c r="DA38" s="120"/>
      <c r="DB38" s="120"/>
      <c r="DK38" s="77">
        <v>38</v>
      </c>
      <c r="DL38" s="77" t="str">
        <f>MapReference!Q41</f>
        <v>Eastern USA</v>
      </c>
      <c r="DM38" s="77" t="str">
        <f>MapReference!E41</f>
        <v>Locked</v>
      </c>
      <c r="DN38" s="77" t="str">
        <f>MapReference!O41</f>
        <v>Grey</v>
      </c>
      <c r="EE38" s="120"/>
      <c r="EF38" s="120"/>
    </row>
    <row r="39" spans="2:136" ht="13.5" customHeight="1" x14ac:dyDescent="0.25">
      <c r="B39" s="78"/>
      <c r="C39" s="78"/>
      <c r="D39" s="263"/>
      <c r="E39" s="263"/>
      <c r="F39" s="263"/>
      <c r="G39" s="263"/>
      <c r="H39" s="263"/>
      <c r="I39" s="263"/>
      <c r="J39" s="263"/>
      <c r="K39" s="263"/>
      <c r="L39" s="263"/>
      <c r="M39" s="263"/>
      <c r="N39" s="263"/>
      <c r="O39" s="263"/>
      <c r="P39" s="263"/>
      <c r="Q39" s="78"/>
      <c r="R39" s="78"/>
      <c r="S39" s="258" t="str">
        <f>MapReference!Y49</f>
        <v>Peru</v>
      </c>
      <c r="T39" s="258"/>
      <c r="U39" s="258"/>
      <c r="V39" s="258"/>
      <c r="W39" s="258"/>
      <c r="X39" s="258"/>
      <c r="Y39" s="258"/>
      <c r="Z39" s="258"/>
      <c r="AA39" s="78"/>
      <c r="AB39" s="258"/>
      <c r="AC39" s="258"/>
      <c r="AD39" s="258"/>
      <c r="AE39" s="258"/>
      <c r="AF39" s="258"/>
      <c r="AG39" s="258"/>
      <c r="AH39" s="258"/>
      <c r="AI39" s="258"/>
      <c r="AJ39" s="78"/>
      <c r="AK39" s="78"/>
      <c r="AL39" s="78"/>
      <c r="AM39" s="78"/>
      <c r="AN39" s="78"/>
      <c r="AO39" s="122"/>
      <c r="AP39" s="122"/>
      <c r="AQ39" s="122"/>
      <c r="AR39" s="122"/>
      <c r="AS39" s="122"/>
      <c r="AT39" s="122"/>
      <c r="AU39" s="122"/>
      <c r="AV39" s="122"/>
      <c r="AW39" s="122"/>
      <c r="AX39" s="122"/>
      <c r="AY39" s="122"/>
      <c r="AZ39" s="122"/>
      <c r="BA39" s="122"/>
      <c r="BB39" s="78"/>
      <c r="BC39" s="78"/>
      <c r="BD39" s="78"/>
      <c r="BE39" s="78"/>
      <c r="BF39" s="78"/>
      <c r="BG39" s="78"/>
      <c r="BH39" s="78"/>
      <c r="BI39" s="78"/>
      <c r="BJ39" s="78"/>
      <c r="BK39" s="78"/>
      <c r="BL39" s="78"/>
      <c r="BM39" s="78"/>
      <c r="BN39" s="78"/>
      <c r="BO39" s="78"/>
      <c r="BP39" s="78"/>
      <c r="BQ39" s="78"/>
      <c r="BR39" s="78"/>
      <c r="BS39" s="78"/>
      <c r="BT39" s="78"/>
      <c r="BU39" s="78"/>
      <c r="BV39" s="78"/>
      <c r="BW39" s="78"/>
      <c r="BX39" s="258"/>
      <c r="BY39" s="258"/>
      <c r="BZ39" s="258"/>
      <c r="CA39" s="258"/>
      <c r="CB39" s="258"/>
      <c r="CC39" s="258"/>
      <c r="CD39" s="258"/>
      <c r="CE39" s="258"/>
      <c r="CF39" s="78"/>
      <c r="CG39" s="78"/>
      <c r="CH39" s="78"/>
      <c r="CI39" s="258"/>
      <c r="CJ39" s="258"/>
      <c r="CK39" s="258"/>
      <c r="CL39" s="258"/>
      <c r="CM39" s="258"/>
      <c r="CN39" s="258"/>
      <c r="CO39" s="258"/>
      <c r="CP39" s="258"/>
      <c r="CQ39" s="78"/>
      <c r="CR39" s="78"/>
      <c r="CS39" s="78"/>
      <c r="CT39" s="78"/>
      <c r="CU39" s="78"/>
      <c r="CV39" s="78"/>
      <c r="CW39" s="120"/>
      <c r="CX39" s="120"/>
      <c r="CY39" s="120"/>
      <c r="CZ39" s="120"/>
      <c r="DA39" s="120"/>
      <c r="DB39" s="120"/>
      <c r="DK39" s="77">
        <v>39</v>
      </c>
      <c r="DL39" s="77" t="str">
        <f>MapReference!Q42</f>
        <v>Greenland</v>
      </c>
      <c r="DM39" s="77" t="str">
        <f>MapReference!E42</f>
        <v>Locked</v>
      </c>
      <c r="DN39" s="77" t="str">
        <f>MapReference!O42</f>
        <v>Grey</v>
      </c>
      <c r="EE39" s="120"/>
      <c r="EF39" s="120"/>
    </row>
    <row r="40" spans="2:136" ht="13.5" customHeight="1" x14ac:dyDescent="0.25">
      <c r="B40" s="78"/>
      <c r="C40" s="78"/>
      <c r="D40" s="263"/>
      <c r="E40" s="263"/>
      <c r="F40" s="263"/>
      <c r="G40" s="263"/>
      <c r="H40" s="263"/>
      <c r="I40" s="263"/>
      <c r="J40" s="263"/>
      <c r="K40" s="263"/>
      <c r="L40" s="263"/>
      <c r="M40" s="263"/>
      <c r="N40" s="263"/>
      <c r="O40" s="263"/>
      <c r="P40" s="263"/>
      <c r="Q40" s="78"/>
      <c r="R40" s="78"/>
      <c r="S40" s="258"/>
      <c r="T40" s="258"/>
      <c r="U40" s="258"/>
      <c r="V40" s="258"/>
      <c r="W40" s="258"/>
      <c r="X40" s="258"/>
      <c r="Y40" s="258"/>
      <c r="Z40" s="258"/>
      <c r="AA40" s="78"/>
      <c r="AB40" s="78"/>
      <c r="AC40" s="78"/>
      <c r="AD40" s="78"/>
      <c r="AE40" s="78"/>
      <c r="AF40" s="78"/>
      <c r="AG40" s="78"/>
      <c r="AH40" s="78"/>
      <c r="AI40" s="78"/>
      <c r="AJ40" s="78"/>
      <c r="AK40" s="78"/>
      <c r="AL40" s="78"/>
      <c r="AM40" s="78"/>
      <c r="AN40" s="78"/>
      <c r="AO40" s="78"/>
      <c r="AP40" s="78"/>
      <c r="AQ40" s="78"/>
      <c r="AR40" s="78"/>
      <c r="AS40" s="78"/>
      <c r="AT40" s="258" t="str">
        <f>MapReference!Y9</f>
        <v>Congo</v>
      </c>
      <c r="AU40" s="258"/>
      <c r="AV40" s="258"/>
      <c r="AW40" s="258"/>
      <c r="AX40" s="258"/>
      <c r="AY40" s="258"/>
      <c r="AZ40" s="258"/>
      <c r="BA40" s="258"/>
      <c r="BB40" s="78"/>
      <c r="BC40" s="78"/>
      <c r="BD40" s="78"/>
      <c r="BE40" s="78"/>
      <c r="BF40" s="78"/>
      <c r="BG40" s="78"/>
      <c r="BH40" s="78"/>
      <c r="BI40" s="78"/>
      <c r="BJ40" s="78"/>
      <c r="BK40" s="78"/>
      <c r="BL40" s="78"/>
      <c r="BM40" s="78"/>
      <c r="BN40" s="78"/>
      <c r="BO40" s="78"/>
      <c r="BP40" s="78"/>
      <c r="BQ40" s="78"/>
      <c r="BR40" s="78"/>
      <c r="BS40" s="78"/>
      <c r="BT40" s="78"/>
      <c r="BU40" s="78"/>
      <c r="BV40" s="78"/>
      <c r="BW40" s="78"/>
      <c r="BX40" s="258"/>
      <c r="BY40" s="258"/>
      <c r="BZ40" s="258"/>
      <c r="CA40" s="258"/>
      <c r="CB40" s="258"/>
      <c r="CC40" s="258"/>
      <c r="CD40" s="258"/>
      <c r="CE40" s="258"/>
      <c r="CF40" s="78"/>
      <c r="CG40" s="78"/>
      <c r="CH40" s="78"/>
      <c r="CI40" s="78"/>
      <c r="CJ40" s="78"/>
      <c r="CK40" s="78"/>
      <c r="CL40" s="78"/>
      <c r="CM40" s="78"/>
      <c r="CN40" s="78"/>
      <c r="CO40" s="78"/>
      <c r="CP40" s="78"/>
      <c r="CQ40" s="78"/>
      <c r="CR40" s="78"/>
      <c r="CS40" s="78"/>
      <c r="CT40" s="78"/>
      <c r="CU40" s="78"/>
      <c r="CV40" s="78"/>
      <c r="CW40" s="120"/>
      <c r="CX40" s="120"/>
      <c r="CY40" s="120"/>
      <c r="CZ40" s="120"/>
      <c r="DA40" s="120"/>
      <c r="DB40" s="120"/>
      <c r="DK40" s="77">
        <v>40</v>
      </c>
      <c r="DL40" s="77" t="str">
        <f>MapReference!Q43</f>
        <v>Northwest Territory</v>
      </c>
      <c r="DM40" s="77" t="str">
        <f>MapReference!E43</f>
        <v>Locked</v>
      </c>
      <c r="DN40" s="77" t="str">
        <f>MapReference!O43</f>
        <v>Grey</v>
      </c>
      <c r="EE40" s="120"/>
      <c r="EF40" s="120"/>
    </row>
    <row r="41" spans="2:136" ht="13.5" customHeight="1" x14ac:dyDescent="0.25">
      <c r="B41" s="78"/>
      <c r="C41" s="78"/>
      <c r="D41" s="263" t="str">
        <f>DE23</f>
        <v/>
      </c>
      <c r="E41" s="263"/>
      <c r="F41" s="263"/>
      <c r="G41" s="263"/>
      <c r="H41" s="263"/>
      <c r="I41" s="263"/>
      <c r="J41" s="263"/>
      <c r="K41" s="263"/>
      <c r="L41" s="263"/>
      <c r="M41" s="263"/>
      <c r="N41" s="263"/>
      <c r="O41" s="263"/>
      <c r="P41" s="263"/>
      <c r="Q41" s="78"/>
      <c r="R41" s="78"/>
      <c r="S41" s="258"/>
      <c r="T41" s="258"/>
      <c r="U41" s="258"/>
      <c r="V41" s="258"/>
      <c r="W41" s="258"/>
      <c r="X41" s="258"/>
      <c r="Y41" s="258"/>
      <c r="Z41" s="258"/>
      <c r="AA41" s="78"/>
      <c r="AB41" s="78"/>
      <c r="AC41" s="78"/>
      <c r="AD41" s="78"/>
      <c r="AE41" s="78"/>
      <c r="AF41" s="78"/>
      <c r="AG41" s="78"/>
      <c r="AH41" s="78"/>
      <c r="AI41" s="78"/>
      <c r="AJ41" s="78"/>
      <c r="AK41" s="78"/>
      <c r="AL41" s="78"/>
      <c r="AM41" s="78"/>
      <c r="AN41" s="78"/>
      <c r="AO41" s="78"/>
      <c r="AP41" s="78"/>
      <c r="AQ41" s="78"/>
      <c r="AR41" s="78"/>
      <c r="AS41" s="78"/>
      <c r="AT41" s="258"/>
      <c r="AU41" s="258"/>
      <c r="AV41" s="258"/>
      <c r="AW41" s="258"/>
      <c r="AX41" s="258"/>
      <c r="AY41" s="258"/>
      <c r="AZ41" s="258"/>
      <c r="BA41" s="258"/>
      <c r="BB41" s="78"/>
      <c r="BC41" s="78"/>
      <c r="BD41" s="78"/>
      <c r="BE41" s="78"/>
      <c r="BF41" s="78"/>
      <c r="BG41" s="78"/>
      <c r="BH41" s="78"/>
      <c r="BI41" s="78"/>
      <c r="BJ41" s="78"/>
      <c r="BK41" s="78"/>
      <c r="BL41" s="78"/>
      <c r="BM41" s="78"/>
      <c r="BN41" s="78"/>
      <c r="BO41" s="78"/>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78"/>
      <c r="CQ41" s="78"/>
      <c r="CR41" s="78"/>
      <c r="CS41" s="78"/>
      <c r="CT41" s="78"/>
      <c r="CU41" s="78"/>
      <c r="CV41" s="78"/>
      <c r="CW41" s="120"/>
      <c r="CX41" s="120"/>
      <c r="CY41" s="120"/>
      <c r="CZ41" s="120"/>
      <c r="DA41" s="120"/>
      <c r="DB41" s="120"/>
      <c r="DK41" s="77">
        <v>41</v>
      </c>
      <c r="DL41" s="77" t="str">
        <f>MapReference!Q44</f>
        <v>Ontario</v>
      </c>
      <c r="DM41" s="77" t="str">
        <f>MapReference!E44</f>
        <v>Locked</v>
      </c>
      <c r="DN41" s="77" t="str">
        <f>MapReference!O44</f>
        <v>Grey</v>
      </c>
      <c r="EE41" s="120"/>
      <c r="EF41" s="120"/>
    </row>
    <row r="42" spans="2:136" ht="13.5" customHeight="1" x14ac:dyDescent="0.25">
      <c r="B42" s="78"/>
      <c r="C42" s="78"/>
      <c r="D42" s="263"/>
      <c r="E42" s="263"/>
      <c r="F42" s="263"/>
      <c r="G42" s="263"/>
      <c r="H42" s="263"/>
      <c r="I42" s="263"/>
      <c r="J42" s="263"/>
      <c r="K42" s="263"/>
      <c r="L42" s="263"/>
      <c r="M42" s="263"/>
      <c r="N42" s="263"/>
      <c r="O42" s="263"/>
      <c r="P42" s="263"/>
      <c r="Q42" s="78"/>
      <c r="R42" s="78"/>
      <c r="S42" s="78"/>
      <c r="T42" s="78"/>
      <c r="U42" s="78"/>
      <c r="V42" s="78"/>
      <c r="W42" s="78"/>
      <c r="X42" s="78"/>
      <c r="Y42" s="78"/>
      <c r="Z42" s="78"/>
      <c r="AA42" s="78"/>
      <c r="AB42" s="78"/>
      <c r="AC42" s="78"/>
      <c r="AD42" s="78"/>
      <c r="AE42" s="78"/>
      <c r="AF42" s="78"/>
      <c r="AG42" s="78"/>
      <c r="AH42" s="78"/>
      <c r="AI42" s="78"/>
      <c r="AJ42" s="78"/>
      <c r="AK42" s="78"/>
      <c r="AL42" s="78"/>
      <c r="AM42" s="78"/>
      <c r="AN42" s="78"/>
      <c r="AO42" s="78"/>
      <c r="AP42" s="78"/>
      <c r="AQ42" s="78"/>
      <c r="AR42" s="78"/>
      <c r="AS42" s="78"/>
      <c r="AT42" s="258"/>
      <c r="AU42" s="258"/>
      <c r="AV42" s="258"/>
      <c r="AW42" s="258"/>
      <c r="AX42" s="258"/>
      <c r="AY42" s="258"/>
      <c r="AZ42" s="258"/>
      <c r="BA42" s="258"/>
      <c r="BB42" s="78"/>
      <c r="BC42" s="78"/>
      <c r="BD42" s="78"/>
      <c r="BE42" s="78"/>
      <c r="BF42" s="78"/>
      <c r="BG42" s="78"/>
      <c r="BH42" s="78"/>
      <c r="BI42" s="78"/>
      <c r="BJ42" s="78"/>
      <c r="BK42" s="78"/>
      <c r="BL42" s="78"/>
      <c r="BM42" s="78"/>
      <c r="BN42" s="78"/>
      <c r="BO42" s="78"/>
      <c r="BP42" s="78"/>
      <c r="BQ42" s="78"/>
      <c r="BR42" s="78"/>
      <c r="BS42" s="78"/>
      <c r="BT42" s="78"/>
      <c r="BU42" s="78"/>
      <c r="BV42" s="78"/>
      <c r="BW42" s="78"/>
      <c r="BX42" s="78"/>
      <c r="BY42" s="78"/>
      <c r="BZ42" s="78"/>
      <c r="CA42" s="78"/>
      <c r="CB42" s="78"/>
      <c r="CC42" s="78"/>
      <c r="CD42" s="78"/>
      <c r="CE42" s="78"/>
      <c r="CF42" s="78"/>
      <c r="CG42" s="78"/>
      <c r="CH42" s="78"/>
      <c r="CI42" s="78"/>
      <c r="CJ42" s="78"/>
      <c r="CK42" s="78"/>
      <c r="CL42" s="78"/>
      <c r="CM42" s="78"/>
      <c r="CN42" s="78"/>
      <c r="CO42" s="78"/>
      <c r="CP42" s="78"/>
      <c r="CQ42" s="78"/>
      <c r="CR42" s="78"/>
      <c r="CS42" s="78"/>
      <c r="CT42" s="78"/>
      <c r="CU42" s="78"/>
      <c r="CV42" s="78"/>
      <c r="CW42" s="120"/>
      <c r="CX42" s="120"/>
      <c r="CY42" s="120"/>
      <c r="CZ42" s="120"/>
      <c r="DA42" s="120"/>
      <c r="DB42" s="120"/>
      <c r="DK42" s="77">
        <v>42</v>
      </c>
      <c r="DL42" s="77" t="str">
        <f>MapReference!Q45</f>
        <v>Quebec</v>
      </c>
      <c r="DM42" s="77" t="str">
        <f>MapReference!E45</f>
        <v>Locked</v>
      </c>
      <c r="DN42" s="77" t="str">
        <f>MapReference!O45</f>
        <v>Grey</v>
      </c>
      <c r="EE42" s="120"/>
      <c r="EF42" s="120"/>
    </row>
    <row r="43" spans="2:136" ht="13.5" customHeight="1" x14ac:dyDescent="0.25">
      <c r="B43" s="78"/>
      <c r="C43" s="78"/>
      <c r="D43" s="263"/>
      <c r="E43" s="263"/>
      <c r="F43" s="263"/>
      <c r="G43" s="263"/>
      <c r="H43" s="263"/>
      <c r="I43" s="263"/>
      <c r="J43" s="263"/>
      <c r="K43" s="263"/>
      <c r="L43" s="263"/>
      <c r="M43" s="263"/>
      <c r="N43" s="263"/>
      <c r="O43" s="263"/>
      <c r="P43" s="263"/>
      <c r="Q43" s="78"/>
      <c r="R43" s="78"/>
      <c r="S43" s="78"/>
      <c r="T43" s="78"/>
      <c r="U43" s="78"/>
      <c r="V43" s="78"/>
      <c r="W43" s="78"/>
      <c r="X43" s="78"/>
      <c r="Y43" s="78"/>
      <c r="Z43" s="78"/>
      <c r="AA43" s="78"/>
      <c r="AB43" s="78"/>
      <c r="AC43" s="78"/>
      <c r="AD43" s="78"/>
      <c r="AE43" s="78"/>
      <c r="AF43" s="78"/>
      <c r="AG43" s="78"/>
      <c r="AH43" s="78"/>
      <c r="AI43" s="78"/>
      <c r="AJ43" s="78"/>
      <c r="AK43" s="78"/>
      <c r="AL43" s="78"/>
      <c r="AM43" s="78"/>
      <c r="AN43" s="78"/>
      <c r="AO43" s="78"/>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8"/>
      <c r="BO43" s="78"/>
      <c r="BP43" s="78"/>
      <c r="BQ43" s="78"/>
      <c r="BR43" s="78"/>
      <c r="BS43" s="78"/>
      <c r="BT43" s="78"/>
      <c r="BU43" s="78"/>
      <c r="BV43" s="78"/>
      <c r="BW43" s="78"/>
      <c r="BX43" s="78"/>
      <c r="BY43" s="78"/>
      <c r="BZ43" s="78"/>
      <c r="CA43" s="78"/>
      <c r="CB43" s="78"/>
      <c r="CC43" s="78"/>
      <c r="CD43" s="78"/>
      <c r="CE43" s="78"/>
      <c r="CF43" s="78"/>
      <c r="CG43" s="78"/>
      <c r="CH43" s="78"/>
      <c r="CI43" s="78"/>
      <c r="CJ43" s="78"/>
      <c r="CK43" s="78"/>
      <c r="CL43" s="78"/>
      <c r="CM43" s="78"/>
      <c r="CN43" s="78"/>
      <c r="CO43" s="78"/>
      <c r="CP43" s="78"/>
      <c r="CQ43" s="78"/>
      <c r="CR43" s="78"/>
      <c r="CS43" s="78"/>
      <c r="CT43" s="78"/>
      <c r="CU43" s="78"/>
      <c r="CV43" s="78"/>
      <c r="CW43" s="120"/>
      <c r="CX43" s="120"/>
      <c r="CY43" s="120"/>
      <c r="CZ43" s="120"/>
      <c r="DA43" s="120"/>
      <c r="DB43" s="120"/>
      <c r="DK43" s="77">
        <v>43</v>
      </c>
      <c r="DL43" s="77" t="str">
        <f>MapReference!Q46</f>
        <v>Western USA</v>
      </c>
      <c r="DM43" s="77" t="str">
        <f>MapReference!E46</f>
        <v>Locked</v>
      </c>
      <c r="DN43" s="77" t="str">
        <f>MapReference!O46</f>
        <v>Grey</v>
      </c>
      <c r="EE43" s="120"/>
      <c r="EF43" s="120"/>
    </row>
    <row r="44" spans="2:136" ht="13.5" customHeight="1" x14ac:dyDescent="0.25">
      <c r="B44" s="78"/>
      <c r="C44" s="78"/>
      <c r="D44" s="78"/>
      <c r="E44" s="78"/>
      <c r="F44" s="78"/>
      <c r="G44" s="78"/>
      <c r="H44" s="78"/>
      <c r="I44" s="78"/>
      <c r="J44" s="78"/>
      <c r="K44" s="78"/>
      <c r="L44" s="78"/>
      <c r="M44" s="78"/>
      <c r="N44" s="78"/>
      <c r="O44" s="78"/>
      <c r="P44" s="78"/>
      <c r="Q44" s="78"/>
      <c r="R44" s="78"/>
      <c r="S44" s="78"/>
      <c r="T44" s="78"/>
      <c r="U44" s="78"/>
      <c r="V44" s="78"/>
      <c r="W44" s="78"/>
      <c r="X44" s="78"/>
      <c r="Y44" s="78"/>
      <c r="Z44" s="78"/>
      <c r="AA44" s="78"/>
      <c r="AB44" s="78"/>
      <c r="AC44" s="78"/>
      <c r="AD44" s="78"/>
      <c r="AE44" s="78"/>
      <c r="AF44" s="78"/>
      <c r="AG44" s="78"/>
      <c r="AH44" s="78"/>
      <c r="AI44" s="78"/>
      <c r="AJ44" s="78"/>
      <c r="AK44" s="78"/>
      <c r="AL44" s="78"/>
      <c r="AM44" s="78"/>
      <c r="AN44" s="78"/>
      <c r="AO44" s="78"/>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8"/>
      <c r="BO44" s="78"/>
      <c r="BP44" s="78"/>
      <c r="BQ44" s="78"/>
      <c r="BR44" s="78"/>
      <c r="BS44" s="78"/>
      <c r="BT44" s="78"/>
      <c r="BU44" s="78"/>
      <c r="BV44" s="78"/>
      <c r="BW44" s="78"/>
      <c r="BX44" s="78"/>
      <c r="BY44" s="78"/>
      <c r="BZ44" s="78"/>
      <c r="CA44" s="78"/>
      <c r="CB44" s="78"/>
      <c r="CC44" s="78"/>
      <c r="CD44" s="78"/>
      <c r="CE44" s="78"/>
      <c r="CF44" s="78"/>
      <c r="CG44" s="78"/>
      <c r="CH44" s="78"/>
      <c r="CI44" s="258" t="str">
        <f>MapReference!Y27</f>
        <v>Eastern Australia</v>
      </c>
      <c r="CJ44" s="258"/>
      <c r="CK44" s="258"/>
      <c r="CL44" s="258"/>
      <c r="CM44" s="258"/>
      <c r="CN44" s="258"/>
      <c r="CO44" s="258"/>
      <c r="CP44" s="258"/>
      <c r="CQ44" s="78"/>
      <c r="CR44" s="78"/>
      <c r="CS44" s="78"/>
      <c r="CT44" s="78"/>
      <c r="CU44" s="78"/>
      <c r="CV44" s="78"/>
      <c r="CW44" s="120"/>
      <c r="CX44" s="120"/>
      <c r="CY44" s="120"/>
      <c r="CZ44" s="120"/>
      <c r="DA44" s="120"/>
      <c r="DB44" s="120"/>
      <c r="DK44" s="77">
        <v>44</v>
      </c>
      <c r="DL44" s="77" t="str">
        <f>MapReference!Q47</f>
        <v>Argentina</v>
      </c>
      <c r="DM44" s="77" t="str">
        <f>MapReference!E47</f>
        <v>Locked</v>
      </c>
      <c r="DN44" s="77" t="str">
        <f>MapReference!O47</f>
        <v>Grey</v>
      </c>
      <c r="EE44" s="120"/>
      <c r="EF44" s="120"/>
    </row>
    <row r="45" spans="2:136" ht="13.5" customHeight="1" x14ac:dyDescent="0.25">
      <c r="B45" s="78"/>
      <c r="C45" s="79"/>
      <c r="D45" s="79"/>
      <c r="E45" s="79"/>
      <c r="F45" s="79"/>
      <c r="G45" s="79"/>
      <c r="H45" s="79"/>
      <c r="I45" s="79"/>
      <c r="J45" s="79"/>
      <c r="K45" s="79"/>
      <c r="L45" s="79"/>
      <c r="M45" s="79"/>
      <c r="N45" s="79"/>
      <c r="O45" s="79"/>
      <c r="P45" s="79"/>
      <c r="Q45" s="79"/>
      <c r="R45" s="78"/>
      <c r="S45" s="78"/>
      <c r="T45" s="78"/>
      <c r="U45" s="78"/>
      <c r="V45" s="78"/>
      <c r="W45" s="78"/>
      <c r="X45" s="78"/>
      <c r="Y45" s="78"/>
      <c r="Z45" s="78"/>
      <c r="AA45" s="78"/>
      <c r="AB45" s="78"/>
      <c r="AC45" s="78"/>
      <c r="AD45" s="78"/>
      <c r="AE45" s="78"/>
      <c r="AF45" s="78"/>
      <c r="AG45" s="78"/>
      <c r="AH45" s="78"/>
      <c r="AI45" s="78"/>
      <c r="AJ45" s="78"/>
      <c r="AK45" s="78"/>
      <c r="AL45" s="78"/>
      <c r="AM45" s="78"/>
      <c r="AN45" s="78"/>
      <c r="AO45" s="78"/>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8"/>
      <c r="BO45" s="78"/>
      <c r="BP45" s="78"/>
      <c r="BQ45" s="78"/>
      <c r="BR45" s="78"/>
      <c r="BS45" s="78"/>
      <c r="BT45" s="78"/>
      <c r="BU45" s="78"/>
      <c r="BV45" s="78"/>
      <c r="BW45" s="78"/>
      <c r="BX45" s="78"/>
      <c r="BY45" s="78"/>
      <c r="BZ45" s="78"/>
      <c r="CA45" s="78"/>
      <c r="CB45" s="78"/>
      <c r="CC45" s="78"/>
      <c r="CD45" s="78"/>
      <c r="CE45" s="78"/>
      <c r="CF45" s="78"/>
      <c r="CG45" s="78"/>
      <c r="CH45" s="78"/>
      <c r="CI45" s="258"/>
      <c r="CJ45" s="258"/>
      <c r="CK45" s="258"/>
      <c r="CL45" s="258"/>
      <c r="CM45" s="258"/>
      <c r="CN45" s="258"/>
      <c r="CO45" s="258"/>
      <c r="CP45" s="258"/>
      <c r="CQ45" s="78"/>
      <c r="CR45" s="78"/>
      <c r="CS45" s="78"/>
      <c r="CT45" s="78"/>
      <c r="CU45" s="78"/>
      <c r="CV45" s="78"/>
      <c r="CW45" s="120"/>
      <c r="CX45" s="120"/>
      <c r="CY45" s="120"/>
      <c r="CZ45" s="120"/>
      <c r="DA45" s="120"/>
      <c r="DB45" s="120"/>
      <c r="DK45" s="77">
        <v>45</v>
      </c>
      <c r="DL45" s="77" t="str">
        <f>MapReference!Q48</f>
        <v>Brazil</v>
      </c>
      <c r="DM45" s="77" t="str">
        <f>MapReference!E48</f>
        <v>Locked</v>
      </c>
      <c r="DN45" s="77" t="str">
        <f>MapReference!O48</f>
        <v>Grey</v>
      </c>
      <c r="EE45" s="120"/>
      <c r="EF45" s="120"/>
    </row>
    <row r="46" spans="2:136" ht="13.5" customHeight="1" x14ac:dyDescent="0.25">
      <c r="B46" s="78"/>
      <c r="C46" s="78"/>
      <c r="D46" s="78"/>
      <c r="E46" s="78"/>
      <c r="F46" s="78"/>
      <c r="G46" s="78"/>
      <c r="H46" s="78"/>
      <c r="I46" s="78"/>
      <c r="J46" s="78"/>
      <c r="K46" s="78"/>
      <c r="L46" s="78"/>
      <c r="M46" s="78"/>
      <c r="N46" s="78"/>
      <c r="O46" s="78"/>
      <c r="P46" s="78"/>
      <c r="Q46" s="78"/>
      <c r="R46" s="78"/>
      <c r="S46" s="78"/>
      <c r="T46" s="78"/>
      <c r="U46" s="78"/>
      <c r="V46" s="78"/>
      <c r="W46" s="78"/>
      <c r="X46" s="78"/>
      <c r="Y46" s="78"/>
      <c r="Z46" s="78"/>
      <c r="AA46" s="78"/>
      <c r="AB46" s="78"/>
      <c r="AC46" s="78"/>
      <c r="AD46" s="78"/>
      <c r="AE46" s="78"/>
      <c r="AF46" s="78"/>
      <c r="AG46" s="78"/>
      <c r="AH46" s="78"/>
      <c r="AI46" s="78"/>
      <c r="AJ46" s="78"/>
      <c r="AK46" s="78"/>
      <c r="AL46" s="78"/>
      <c r="AM46" s="78"/>
      <c r="AN46" s="78"/>
      <c r="AO46" s="78"/>
      <c r="AP46" s="78"/>
      <c r="AQ46" s="78"/>
      <c r="AR46" s="78"/>
      <c r="AS46" s="78"/>
      <c r="AT46" s="78"/>
      <c r="AU46" s="78"/>
      <c r="AV46" s="78"/>
      <c r="AW46" s="78"/>
      <c r="AX46" s="78"/>
      <c r="AY46" s="78"/>
      <c r="AZ46" s="78"/>
      <c r="BA46" s="78"/>
      <c r="BB46" s="78"/>
      <c r="BC46" s="78"/>
      <c r="BD46" s="78"/>
      <c r="BE46" s="258" t="str">
        <f>MapReference!Y12</f>
        <v>Madagascar</v>
      </c>
      <c r="BF46" s="258"/>
      <c r="BG46" s="258"/>
      <c r="BH46" s="258"/>
      <c r="BI46" s="258"/>
      <c r="BJ46" s="258"/>
      <c r="BK46" s="258"/>
      <c r="BL46" s="258"/>
      <c r="BM46" s="78"/>
      <c r="BN46" s="78"/>
      <c r="BO46" s="78"/>
      <c r="BP46" s="78"/>
      <c r="BQ46" s="78"/>
      <c r="BR46" s="78"/>
      <c r="BS46" s="78"/>
      <c r="BT46" s="78"/>
      <c r="BU46" s="78"/>
      <c r="BV46" s="78"/>
      <c r="BW46" s="78"/>
      <c r="BX46" s="78"/>
      <c r="BY46" s="78"/>
      <c r="BZ46" s="78"/>
      <c r="CA46" s="78"/>
      <c r="CB46" s="78"/>
      <c r="CC46" s="78"/>
      <c r="CD46" s="78"/>
      <c r="CE46" s="78"/>
      <c r="CF46" s="78"/>
      <c r="CG46" s="78"/>
      <c r="CH46" s="78"/>
      <c r="CI46" s="258"/>
      <c r="CJ46" s="258"/>
      <c r="CK46" s="258"/>
      <c r="CL46" s="258"/>
      <c r="CM46" s="258"/>
      <c r="CN46" s="258"/>
      <c r="CO46" s="258"/>
      <c r="CP46" s="258"/>
      <c r="CQ46" s="78"/>
      <c r="CR46" s="78"/>
      <c r="CS46" s="78"/>
      <c r="CT46" s="78"/>
      <c r="CU46" s="78"/>
      <c r="CV46" s="78"/>
      <c r="CW46" s="120"/>
      <c r="CX46" s="120"/>
      <c r="CY46" s="120"/>
      <c r="CZ46" s="120"/>
      <c r="DA46" s="120"/>
      <c r="DB46" s="120"/>
      <c r="DK46" s="77">
        <v>46</v>
      </c>
      <c r="DL46" s="77" t="str">
        <f>MapReference!Q49</f>
        <v>Peru</v>
      </c>
      <c r="DM46" s="77" t="str">
        <f>MapReference!E49</f>
        <v>Locked</v>
      </c>
      <c r="DN46" s="77" t="str">
        <f>MapReference!O49</f>
        <v>Grey</v>
      </c>
      <c r="EE46" s="120"/>
      <c r="EF46" s="120"/>
    </row>
    <row r="47" spans="2:136" ht="13.5" customHeight="1" x14ac:dyDescent="0.25">
      <c r="B47" s="78"/>
      <c r="C47" s="78"/>
      <c r="D47" s="262" t="str">
        <f t="shared" ref="D47:D52" si="0">IF(DE25=0,"",DD25&amp;": "&amp;DE25)</f>
        <v/>
      </c>
      <c r="E47" s="262"/>
      <c r="F47" s="262"/>
      <c r="G47" s="262"/>
      <c r="H47" s="262"/>
      <c r="I47" s="262"/>
      <c r="J47" s="262"/>
      <c r="K47" s="262"/>
      <c r="L47" s="262"/>
      <c r="M47" s="262"/>
      <c r="N47" s="262"/>
      <c r="O47" s="262"/>
      <c r="P47" s="262"/>
      <c r="Q47" s="78"/>
      <c r="R47" s="78"/>
      <c r="S47" s="78"/>
      <c r="T47" s="78"/>
      <c r="U47" s="78"/>
      <c r="V47" s="78"/>
      <c r="W47" s="78"/>
      <c r="X47" s="78"/>
      <c r="Y47" s="78"/>
      <c r="Z47" s="78"/>
      <c r="AA47" s="78"/>
      <c r="AB47" s="78"/>
      <c r="AC47" s="78"/>
      <c r="AD47" s="78"/>
      <c r="AE47" s="78"/>
      <c r="AF47" s="78"/>
      <c r="AG47" s="78"/>
      <c r="AH47" s="78"/>
      <c r="AI47" s="78"/>
      <c r="AJ47" s="78"/>
      <c r="AK47" s="78"/>
      <c r="AL47" s="78"/>
      <c r="AM47" s="78"/>
      <c r="AN47" s="78"/>
      <c r="AO47" s="78"/>
      <c r="AP47" s="78"/>
      <c r="AQ47" s="78"/>
      <c r="AR47" s="78"/>
      <c r="AS47" s="78"/>
      <c r="AT47" s="258" t="str">
        <f>MapReference!Y14</f>
        <v>South Africa</v>
      </c>
      <c r="AU47" s="258"/>
      <c r="AV47" s="258"/>
      <c r="AW47" s="258"/>
      <c r="AX47" s="258"/>
      <c r="AY47" s="258"/>
      <c r="AZ47" s="258"/>
      <c r="BA47" s="258"/>
      <c r="BB47" s="78"/>
      <c r="BC47" s="78"/>
      <c r="BD47" s="78"/>
      <c r="BE47" s="258"/>
      <c r="BF47" s="258"/>
      <c r="BG47" s="258"/>
      <c r="BH47" s="258"/>
      <c r="BI47" s="258"/>
      <c r="BJ47" s="258"/>
      <c r="BK47" s="258"/>
      <c r="BL47" s="258"/>
      <c r="BM47" s="78"/>
      <c r="BN47" s="78"/>
      <c r="BO47" s="78"/>
      <c r="BP47" s="78"/>
      <c r="BQ47" s="78"/>
      <c r="BR47" s="78"/>
      <c r="BS47" s="78"/>
      <c r="BT47" s="78"/>
      <c r="BU47" s="78"/>
      <c r="BV47" s="78"/>
      <c r="BW47" s="78"/>
      <c r="BX47" s="258" t="str">
        <f>MapReference!Y30</f>
        <v>Western Australia</v>
      </c>
      <c r="BY47" s="258"/>
      <c r="BZ47" s="258"/>
      <c r="CA47" s="258"/>
      <c r="CB47" s="258"/>
      <c r="CC47" s="258"/>
      <c r="CD47" s="258"/>
      <c r="CE47" s="258"/>
      <c r="CF47" s="78"/>
      <c r="CG47" s="78"/>
      <c r="CH47" s="78"/>
      <c r="CI47" s="78"/>
      <c r="CJ47" s="78"/>
      <c r="CK47" s="78"/>
      <c r="CL47" s="78"/>
      <c r="CM47" s="78"/>
      <c r="CN47" s="78"/>
      <c r="CO47" s="78"/>
      <c r="CP47" s="78"/>
      <c r="CQ47" s="78"/>
      <c r="CR47" s="78"/>
      <c r="CS47" s="78"/>
      <c r="CT47" s="78"/>
      <c r="CU47" s="78"/>
      <c r="CV47" s="78"/>
      <c r="CW47" s="120"/>
      <c r="CX47" s="120"/>
      <c r="CY47" s="120"/>
      <c r="CZ47" s="120"/>
      <c r="DA47" s="120"/>
      <c r="DB47" s="120"/>
      <c r="DK47" s="77">
        <v>47</v>
      </c>
      <c r="DL47" s="77" t="str">
        <f>MapReference!Q50</f>
        <v>Veneseulea</v>
      </c>
      <c r="DM47" s="77" t="str">
        <f>MapReference!E50</f>
        <v>Locked</v>
      </c>
      <c r="DN47" s="77" t="str">
        <f>MapReference!O50</f>
        <v>Grey</v>
      </c>
      <c r="EE47" s="120"/>
      <c r="EF47" s="120"/>
    </row>
    <row r="48" spans="2:136" ht="13.5" customHeight="1" x14ac:dyDescent="0.25">
      <c r="B48" s="78"/>
      <c r="C48" s="78"/>
      <c r="D48" s="262" t="str">
        <f t="shared" si="0"/>
        <v/>
      </c>
      <c r="E48" s="262"/>
      <c r="F48" s="262"/>
      <c r="G48" s="262"/>
      <c r="H48" s="262"/>
      <c r="I48" s="262"/>
      <c r="J48" s="262"/>
      <c r="K48" s="262"/>
      <c r="L48" s="262"/>
      <c r="M48" s="262"/>
      <c r="N48" s="262"/>
      <c r="O48" s="262"/>
      <c r="P48" s="262"/>
      <c r="Q48" s="78"/>
      <c r="R48" s="78"/>
      <c r="S48" s="78"/>
      <c r="T48" s="78"/>
      <c r="U48" s="78"/>
      <c r="V48" s="78"/>
      <c r="W48" s="78"/>
      <c r="X48" s="78"/>
      <c r="Y48" s="78"/>
      <c r="Z48" s="78"/>
      <c r="AA48" s="78"/>
      <c r="AB48" s="78"/>
      <c r="AC48" s="78"/>
      <c r="AD48" s="78"/>
      <c r="AE48" s="78"/>
      <c r="AF48" s="78"/>
      <c r="AG48" s="78"/>
      <c r="AH48" s="78"/>
      <c r="AI48" s="78"/>
      <c r="AJ48" s="78"/>
      <c r="AK48" s="78"/>
      <c r="AL48" s="78"/>
      <c r="AM48" s="78"/>
      <c r="AN48" s="78"/>
      <c r="AO48" s="78"/>
      <c r="AP48" s="78"/>
      <c r="AQ48" s="78"/>
      <c r="AR48" s="78"/>
      <c r="AS48" s="78"/>
      <c r="AT48" s="258"/>
      <c r="AU48" s="258"/>
      <c r="AV48" s="258"/>
      <c r="AW48" s="258"/>
      <c r="AX48" s="258"/>
      <c r="AY48" s="258"/>
      <c r="AZ48" s="258"/>
      <c r="BA48" s="258"/>
      <c r="BB48" s="78"/>
      <c r="BC48" s="78"/>
      <c r="BD48" s="78"/>
      <c r="BE48" s="258"/>
      <c r="BF48" s="258"/>
      <c r="BG48" s="258"/>
      <c r="BH48" s="258"/>
      <c r="BI48" s="258"/>
      <c r="BJ48" s="258"/>
      <c r="BK48" s="258"/>
      <c r="BL48" s="258"/>
      <c r="BM48" s="78"/>
      <c r="BN48" s="78"/>
      <c r="BO48" s="78"/>
      <c r="BP48" s="78"/>
      <c r="BQ48" s="78"/>
      <c r="BR48" s="78"/>
      <c r="BS48" s="78"/>
      <c r="BT48" s="78"/>
      <c r="BU48" s="78"/>
      <c r="BV48" s="78"/>
      <c r="BW48" s="78"/>
      <c r="BX48" s="258"/>
      <c r="BY48" s="258"/>
      <c r="BZ48" s="258"/>
      <c r="CA48" s="258"/>
      <c r="CB48" s="258"/>
      <c r="CC48" s="258"/>
      <c r="CD48" s="258"/>
      <c r="CE48" s="258"/>
      <c r="CF48" s="78"/>
      <c r="CG48" s="78"/>
      <c r="CH48" s="78"/>
      <c r="CI48" s="78"/>
      <c r="CJ48" s="78"/>
      <c r="CK48" s="78"/>
      <c r="CL48" s="78"/>
      <c r="CM48" s="78"/>
      <c r="CN48" s="78"/>
      <c r="CO48" s="78"/>
      <c r="CP48" s="78"/>
      <c r="CQ48" s="78"/>
      <c r="CR48" s="78"/>
      <c r="CS48" s="78"/>
      <c r="CT48" s="78"/>
      <c r="CU48" s="78"/>
      <c r="CV48" s="78"/>
      <c r="CW48" s="120"/>
      <c r="CX48" s="120"/>
      <c r="CY48" s="120"/>
      <c r="CZ48" s="120"/>
      <c r="DA48" s="120"/>
      <c r="DB48" s="120"/>
      <c r="EE48" s="120"/>
      <c r="EF48" s="120"/>
    </row>
    <row r="49" spans="2:136" ht="13.5" customHeight="1" x14ac:dyDescent="0.25">
      <c r="B49" s="78"/>
      <c r="C49" s="78"/>
      <c r="D49" s="262" t="str">
        <f t="shared" si="0"/>
        <v/>
      </c>
      <c r="E49" s="262"/>
      <c r="F49" s="262"/>
      <c r="G49" s="262"/>
      <c r="H49" s="262"/>
      <c r="I49" s="262"/>
      <c r="J49" s="262"/>
      <c r="K49" s="262"/>
      <c r="L49" s="262"/>
      <c r="M49" s="262"/>
      <c r="N49" s="262"/>
      <c r="O49" s="262"/>
      <c r="P49" s="262"/>
      <c r="Q49" s="78"/>
      <c r="R49" s="78"/>
      <c r="S49" s="78"/>
      <c r="T49" s="78"/>
      <c r="U49" s="78"/>
      <c r="V49" s="78"/>
      <c r="W49" s="258" t="str">
        <f>MapReference!Y47</f>
        <v>Argentina</v>
      </c>
      <c r="X49" s="258"/>
      <c r="Y49" s="258"/>
      <c r="Z49" s="258"/>
      <c r="AA49" s="258"/>
      <c r="AB49" s="258"/>
      <c r="AC49" s="258"/>
      <c r="AD49" s="258"/>
      <c r="AE49" s="78"/>
      <c r="AF49" s="78"/>
      <c r="AG49" s="78"/>
      <c r="AH49" s="78"/>
      <c r="AI49" s="78"/>
      <c r="AJ49" s="78"/>
      <c r="AK49" s="78"/>
      <c r="AL49" s="78"/>
      <c r="AM49" s="78"/>
      <c r="AN49" s="78"/>
      <c r="AO49" s="78"/>
      <c r="AP49" s="78"/>
      <c r="AQ49" s="78"/>
      <c r="AR49" s="78"/>
      <c r="AS49" s="78"/>
      <c r="AT49" s="258"/>
      <c r="AU49" s="258"/>
      <c r="AV49" s="258"/>
      <c r="AW49" s="258"/>
      <c r="AX49" s="258"/>
      <c r="AY49" s="258"/>
      <c r="AZ49" s="258"/>
      <c r="BA49" s="258"/>
      <c r="BB49" s="78"/>
      <c r="BC49" s="78"/>
      <c r="BD49" s="78"/>
      <c r="BE49" s="78"/>
      <c r="BF49" s="78"/>
      <c r="BG49" s="78"/>
      <c r="BH49" s="78"/>
      <c r="BI49" s="78"/>
      <c r="BJ49" s="78"/>
      <c r="BK49" s="78"/>
      <c r="BL49" s="78"/>
      <c r="BM49" s="78"/>
      <c r="BN49" s="78"/>
      <c r="BO49" s="78"/>
      <c r="BP49" s="78"/>
      <c r="BQ49" s="78"/>
      <c r="BR49" s="78"/>
      <c r="BS49" s="78"/>
      <c r="BT49" s="78"/>
      <c r="BU49" s="78"/>
      <c r="BV49" s="78"/>
      <c r="BW49" s="78"/>
      <c r="BX49" s="258"/>
      <c r="BY49" s="258"/>
      <c r="BZ49" s="258"/>
      <c r="CA49" s="258"/>
      <c r="CB49" s="258"/>
      <c r="CC49" s="258"/>
      <c r="CD49" s="258"/>
      <c r="CE49" s="258"/>
      <c r="CF49" s="78"/>
      <c r="CG49" s="78"/>
      <c r="CH49" s="78"/>
      <c r="CI49" s="78"/>
      <c r="CJ49" s="78"/>
      <c r="CK49" s="78"/>
      <c r="CL49" s="78"/>
      <c r="CM49" s="78"/>
      <c r="CN49" s="78"/>
      <c r="CO49" s="78"/>
      <c r="CP49" s="78"/>
      <c r="CQ49" s="78"/>
      <c r="CR49" s="78"/>
      <c r="CS49" s="78"/>
      <c r="CT49" s="78"/>
      <c r="CU49" s="78"/>
      <c r="CV49" s="78"/>
      <c r="CW49" s="120"/>
      <c r="CX49" s="120"/>
      <c r="CY49" s="120"/>
      <c r="CZ49" s="120"/>
      <c r="DA49" s="120"/>
      <c r="DB49" s="120"/>
      <c r="EE49" s="120"/>
      <c r="EF49" s="120"/>
    </row>
    <row r="50" spans="2:136" ht="13.5" customHeight="1" x14ac:dyDescent="0.25">
      <c r="B50" s="78"/>
      <c r="C50" s="78"/>
      <c r="D50" s="262" t="str">
        <f t="shared" si="0"/>
        <v/>
      </c>
      <c r="E50" s="262"/>
      <c r="F50" s="262"/>
      <c r="G50" s="262"/>
      <c r="H50" s="262"/>
      <c r="I50" s="262"/>
      <c r="J50" s="262"/>
      <c r="K50" s="262"/>
      <c r="L50" s="262"/>
      <c r="M50" s="262"/>
      <c r="N50" s="262"/>
      <c r="O50" s="262"/>
      <c r="P50" s="262"/>
      <c r="Q50" s="78"/>
      <c r="R50" s="78"/>
      <c r="S50" s="78"/>
      <c r="T50" s="78"/>
      <c r="U50" s="78"/>
      <c r="V50" s="78"/>
      <c r="W50" s="258"/>
      <c r="X50" s="258"/>
      <c r="Y50" s="258"/>
      <c r="Z50" s="258"/>
      <c r="AA50" s="258"/>
      <c r="AB50" s="258"/>
      <c r="AC50" s="258"/>
      <c r="AD50" s="258"/>
      <c r="AE50" s="78"/>
      <c r="AF50" s="78"/>
      <c r="AG50" s="78"/>
      <c r="AH50" s="78"/>
      <c r="AI50" s="78"/>
      <c r="AJ50" s="78"/>
      <c r="AK50" s="78"/>
      <c r="AL50" s="78"/>
      <c r="AM50" s="78"/>
      <c r="AN50" s="78"/>
      <c r="AO50" s="78"/>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8"/>
      <c r="BO50" s="78"/>
      <c r="BP50" s="78"/>
      <c r="BQ50" s="78"/>
      <c r="BR50" s="78"/>
      <c r="BS50" s="78"/>
      <c r="BT50" s="78"/>
      <c r="BU50" s="78"/>
      <c r="BV50" s="78"/>
      <c r="BW50" s="78"/>
      <c r="BX50" s="78"/>
      <c r="BY50" s="78"/>
      <c r="BZ50" s="78"/>
      <c r="CA50" s="78"/>
      <c r="CB50" s="78"/>
      <c r="CC50" s="78"/>
      <c r="CD50" s="78"/>
      <c r="CE50" s="78"/>
      <c r="CF50" s="78"/>
      <c r="CG50" s="78"/>
      <c r="CH50" s="78"/>
      <c r="CI50" s="78"/>
      <c r="CJ50" s="78"/>
      <c r="CK50" s="78"/>
      <c r="CL50" s="78"/>
      <c r="CM50" s="78"/>
      <c r="CN50" s="78"/>
      <c r="CO50" s="78"/>
      <c r="CP50" s="78"/>
      <c r="CQ50" s="78"/>
      <c r="CR50" s="78"/>
      <c r="CS50" s="78"/>
      <c r="CT50" s="78"/>
      <c r="CU50" s="78"/>
      <c r="CV50" s="78"/>
      <c r="CW50" s="120"/>
      <c r="CX50" s="120"/>
      <c r="CY50" s="120"/>
      <c r="CZ50" s="120"/>
      <c r="DA50" s="120"/>
      <c r="DB50" s="120"/>
      <c r="EE50" s="120"/>
      <c r="EF50" s="120"/>
    </row>
    <row r="51" spans="2:136" ht="13.5" customHeight="1" x14ac:dyDescent="0.25">
      <c r="B51" s="78"/>
      <c r="C51" s="78"/>
      <c r="D51" s="262" t="str">
        <f t="shared" si="0"/>
        <v/>
      </c>
      <c r="E51" s="262"/>
      <c r="F51" s="262"/>
      <c r="G51" s="262"/>
      <c r="H51" s="262"/>
      <c r="I51" s="262"/>
      <c r="J51" s="262"/>
      <c r="K51" s="262"/>
      <c r="L51" s="262"/>
      <c r="M51" s="262"/>
      <c r="N51" s="262"/>
      <c r="O51" s="262"/>
      <c r="P51" s="262"/>
      <c r="Q51" s="78"/>
      <c r="R51" s="78"/>
      <c r="S51" s="78"/>
      <c r="T51" s="78"/>
      <c r="U51" s="78"/>
      <c r="V51" s="78"/>
      <c r="W51" s="258"/>
      <c r="X51" s="258"/>
      <c r="Y51" s="258"/>
      <c r="Z51" s="258"/>
      <c r="AA51" s="258"/>
      <c r="AB51" s="258"/>
      <c r="AC51" s="258"/>
      <c r="AD51" s="258"/>
      <c r="AE51" s="78"/>
      <c r="AF51" s="78"/>
      <c r="AG51" s="78"/>
      <c r="AH51" s="78"/>
      <c r="AI51" s="78"/>
      <c r="AJ51" s="78"/>
      <c r="AK51" s="78"/>
      <c r="AL51" s="78"/>
      <c r="AM51" s="78"/>
      <c r="AN51" s="78"/>
      <c r="AO51" s="78"/>
      <c r="AP51" s="78"/>
      <c r="AQ51" s="78"/>
      <c r="AR51" s="78"/>
      <c r="AS51" s="78"/>
      <c r="AT51" s="78"/>
      <c r="AU51" s="78"/>
      <c r="AV51" s="78"/>
      <c r="AW51" s="78"/>
      <c r="AX51" s="78"/>
      <c r="AY51" s="78"/>
      <c r="AZ51" s="78"/>
      <c r="BA51" s="78"/>
      <c r="BB51" s="78"/>
      <c r="BC51" s="78"/>
      <c r="BD51" s="78"/>
      <c r="BE51" s="78"/>
      <c r="BF51" s="78"/>
      <c r="BG51" s="78"/>
      <c r="BH51" s="78"/>
      <c r="BI51" s="261" t="str">
        <f>IF(DE7="Attack",IF(Drop!D3="AttackDropOk",IF(Setup!AC35="AttackDropConfirm","Confirm Drop","Attack Drop"),""),IF(DE7="Drop",IF(VLOOKUP(Drop!D12,Drop!D9:G10,4,0)=5,"Force Drop",""),""))</f>
        <v/>
      </c>
      <c r="BJ51" s="261"/>
      <c r="BK51" s="261"/>
      <c r="BL51" s="261"/>
      <c r="BM51" s="261"/>
      <c r="BN51" s="261"/>
      <c r="BO51" s="261"/>
      <c r="BP51" s="261"/>
      <c r="BQ51" s="261"/>
      <c r="BR51" s="261"/>
      <c r="BS51" s="261"/>
      <c r="BT51" s="261"/>
      <c r="BU51" s="261"/>
      <c r="BV51" s="261"/>
      <c r="BW51" s="261"/>
      <c r="BX51" s="261"/>
      <c r="BY51" s="261"/>
      <c r="BZ51" s="261"/>
      <c r="CA51" s="261"/>
      <c r="CB51" s="261"/>
      <c r="CC51" s="78"/>
      <c r="CD51" s="78"/>
      <c r="CE51" s="78"/>
      <c r="CF51" s="78"/>
      <c r="CG51" s="78"/>
      <c r="CH51" s="78"/>
      <c r="CI51" s="78"/>
      <c r="CJ51" s="78"/>
      <c r="CK51" s="78"/>
      <c r="CL51" s="78"/>
      <c r="CM51" s="78"/>
      <c r="CN51" s="78"/>
      <c r="CO51" s="78"/>
      <c r="CP51" s="78"/>
      <c r="CQ51" s="260" t="str">
        <f>IF(DE7="Drop",Setup!AA36,"")</f>
        <v/>
      </c>
      <c r="CR51" s="260"/>
      <c r="CS51" s="260"/>
      <c r="CT51" s="260"/>
      <c r="CU51" s="260"/>
      <c r="CV51" s="260"/>
      <c r="CW51" s="120"/>
      <c r="CX51" s="120"/>
      <c r="CY51" s="120"/>
      <c r="CZ51" s="120"/>
      <c r="DA51" s="120"/>
      <c r="DB51" s="120"/>
      <c r="EE51" s="120"/>
      <c r="EF51" s="120"/>
    </row>
    <row r="52" spans="2:136" ht="13.5" customHeight="1" x14ac:dyDescent="0.25">
      <c r="B52" s="78"/>
      <c r="C52" s="78"/>
      <c r="D52" s="262" t="str">
        <f t="shared" si="0"/>
        <v/>
      </c>
      <c r="E52" s="262"/>
      <c r="F52" s="262"/>
      <c r="G52" s="262"/>
      <c r="H52" s="262"/>
      <c r="I52" s="262"/>
      <c r="J52" s="262"/>
      <c r="K52" s="262"/>
      <c r="L52" s="262"/>
      <c r="M52" s="262"/>
      <c r="N52" s="262"/>
      <c r="O52" s="262"/>
      <c r="P52" s="262"/>
      <c r="Q52" s="78"/>
      <c r="R52" s="78"/>
      <c r="S52" s="78"/>
      <c r="T52" s="78"/>
      <c r="U52" s="78"/>
      <c r="V52" s="78"/>
      <c r="W52" s="78"/>
      <c r="X52" s="78"/>
      <c r="Y52" s="78"/>
      <c r="Z52" s="78"/>
      <c r="AA52" s="78"/>
      <c r="AB52" s="78"/>
      <c r="AC52" s="78"/>
      <c r="AD52" s="78"/>
      <c r="AE52" s="78"/>
      <c r="AF52" s="78"/>
      <c r="AG52" s="78"/>
      <c r="AH52" s="78"/>
      <c r="AI52" s="78"/>
      <c r="AJ52" s="78"/>
      <c r="AK52" s="78"/>
      <c r="AL52" s="78"/>
      <c r="AM52" s="78"/>
      <c r="AN52" s="78"/>
      <c r="AO52" s="78"/>
      <c r="AP52" s="78"/>
      <c r="AQ52" s="78"/>
      <c r="AR52" s="78"/>
      <c r="AS52" s="78"/>
      <c r="AT52" s="78"/>
      <c r="AU52" s="78"/>
      <c r="AV52" s="78"/>
      <c r="AW52" s="78"/>
      <c r="AX52" s="78"/>
      <c r="AY52" s="78"/>
      <c r="AZ52" s="78"/>
      <c r="BA52" s="78"/>
      <c r="BB52" s="78"/>
      <c r="BC52" s="78"/>
      <c r="BD52" s="78"/>
      <c r="BE52" s="78"/>
      <c r="BF52" s="78"/>
      <c r="BG52" s="78"/>
      <c r="BH52" s="78"/>
      <c r="BI52" s="261"/>
      <c r="BJ52" s="261"/>
      <c r="BK52" s="261"/>
      <c r="BL52" s="261"/>
      <c r="BM52" s="261"/>
      <c r="BN52" s="261"/>
      <c r="BO52" s="261"/>
      <c r="BP52" s="261"/>
      <c r="BQ52" s="261"/>
      <c r="BR52" s="261"/>
      <c r="BS52" s="261"/>
      <c r="BT52" s="261"/>
      <c r="BU52" s="261"/>
      <c r="BV52" s="261"/>
      <c r="BW52" s="261"/>
      <c r="BX52" s="261"/>
      <c r="BY52" s="261"/>
      <c r="BZ52" s="261"/>
      <c r="CA52" s="261"/>
      <c r="CB52" s="261"/>
      <c r="CC52" s="78"/>
      <c r="CD52" s="78"/>
      <c r="CE52" s="78"/>
      <c r="CF52" s="78"/>
      <c r="CG52" s="78"/>
      <c r="CH52" s="78"/>
      <c r="CI52" s="78"/>
      <c r="CJ52" s="78"/>
      <c r="CK52" s="78"/>
      <c r="CL52" s="78"/>
      <c r="CM52" s="78"/>
      <c r="CN52" s="78"/>
      <c r="CO52" s="78"/>
      <c r="CP52" s="78"/>
      <c r="CQ52" s="260"/>
      <c r="CR52" s="260"/>
      <c r="CS52" s="260"/>
      <c r="CT52" s="260"/>
      <c r="CU52" s="260"/>
      <c r="CV52" s="260"/>
      <c r="CW52" s="120"/>
      <c r="CX52" s="120"/>
      <c r="CY52" s="120"/>
      <c r="CZ52" s="120"/>
      <c r="DA52" s="120"/>
      <c r="DB52" s="120"/>
      <c r="EE52" s="120"/>
      <c r="EF52" s="120"/>
    </row>
    <row r="53" spans="2:136" ht="13.5" customHeight="1" x14ac:dyDescent="0.25">
      <c r="B53" s="78"/>
      <c r="C53" s="78"/>
      <c r="D53" s="262" t="str">
        <f>IF(DE31=0,"",DD31)</f>
        <v/>
      </c>
      <c r="E53" s="262"/>
      <c r="F53" s="262"/>
      <c r="G53" s="262"/>
      <c r="H53" s="262"/>
      <c r="I53" s="262"/>
      <c r="J53" s="262"/>
      <c r="K53" s="262"/>
      <c r="L53" s="262"/>
      <c r="M53" s="262"/>
      <c r="N53" s="262"/>
      <c r="O53" s="262"/>
      <c r="P53" s="262"/>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261"/>
      <c r="BJ53" s="261"/>
      <c r="BK53" s="261"/>
      <c r="BL53" s="261"/>
      <c r="BM53" s="261"/>
      <c r="BN53" s="261"/>
      <c r="BO53" s="261"/>
      <c r="BP53" s="261"/>
      <c r="BQ53" s="261"/>
      <c r="BR53" s="261"/>
      <c r="BS53" s="261"/>
      <c r="BT53" s="261"/>
      <c r="BU53" s="261"/>
      <c r="BV53" s="261"/>
      <c r="BW53" s="261"/>
      <c r="BX53" s="261"/>
      <c r="BY53" s="261"/>
      <c r="BZ53" s="261"/>
      <c r="CA53" s="261"/>
      <c r="CB53" s="261"/>
      <c r="CC53" s="78"/>
      <c r="CD53" s="78"/>
      <c r="CE53" s="78"/>
      <c r="CF53" s="78"/>
      <c r="CG53" s="78"/>
      <c r="CH53" s="78"/>
      <c r="CI53" s="78"/>
      <c r="CJ53" s="78"/>
      <c r="CK53" s="78"/>
      <c r="CL53" s="78"/>
      <c r="CM53" s="78"/>
      <c r="CN53" s="78"/>
      <c r="CO53" s="78"/>
      <c r="CP53" s="78"/>
      <c r="CQ53" s="260"/>
      <c r="CR53" s="260"/>
      <c r="CS53" s="260"/>
      <c r="CT53" s="260"/>
      <c r="CU53" s="260"/>
      <c r="CV53" s="260"/>
      <c r="CW53" s="120"/>
      <c r="CX53" s="120"/>
      <c r="CY53" s="120"/>
      <c r="CZ53" s="120"/>
      <c r="DA53" s="120"/>
      <c r="DB53" s="120"/>
      <c r="EE53" s="120"/>
      <c r="EF53" s="120"/>
    </row>
    <row r="54" spans="2:136" ht="13.5" customHeight="1" x14ac:dyDescent="0.25">
      <c r="B54" s="78"/>
      <c r="C54" s="78"/>
      <c r="D54" s="78"/>
      <c r="E54" s="78"/>
      <c r="F54" s="78"/>
      <c r="G54" s="78"/>
      <c r="H54" s="78"/>
      <c r="I54" s="78"/>
      <c r="J54" s="78"/>
      <c r="K54" s="78"/>
      <c r="L54" s="78"/>
      <c r="M54" s="78"/>
      <c r="N54" s="78"/>
      <c r="O54" s="78"/>
      <c r="P54" s="78"/>
      <c r="Q54" s="78"/>
      <c r="R54" s="78"/>
      <c r="S54" s="78"/>
      <c r="T54" s="78"/>
      <c r="U54" s="78"/>
      <c r="V54" s="78"/>
      <c r="W54" s="78"/>
      <c r="X54" s="78"/>
      <c r="Y54" s="78"/>
      <c r="Z54" s="78"/>
      <c r="AA54" s="78"/>
      <c r="AB54" s="78"/>
      <c r="AC54" s="78"/>
      <c r="AD54" s="78"/>
      <c r="AE54" s="78"/>
      <c r="AF54" s="78"/>
      <c r="AG54" s="78"/>
      <c r="AH54" s="78"/>
      <c r="AI54" s="78"/>
      <c r="AJ54" s="78"/>
      <c r="AK54" s="78"/>
      <c r="AL54" s="78"/>
      <c r="AM54" s="78"/>
      <c r="AN54" s="78"/>
      <c r="AO54" s="78"/>
      <c r="AP54" s="78"/>
      <c r="AQ54" s="78"/>
      <c r="AR54" s="78"/>
      <c r="AS54" s="78"/>
      <c r="AT54" s="78"/>
      <c r="AU54" s="78"/>
      <c r="AV54" s="78"/>
      <c r="AW54" s="78"/>
      <c r="AX54" s="78"/>
      <c r="AY54" s="78"/>
      <c r="AZ54" s="78"/>
      <c r="BA54" s="78"/>
      <c r="BB54" s="78"/>
      <c r="BC54" s="78"/>
      <c r="BD54" s="78"/>
      <c r="BE54" s="78"/>
      <c r="BF54" s="78"/>
      <c r="BG54" s="78"/>
      <c r="BH54" s="78"/>
      <c r="BI54" s="261"/>
      <c r="BJ54" s="261"/>
      <c r="BK54" s="261"/>
      <c r="BL54" s="261"/>
      <c r="BM54" s="261"/>
      <c r="BN54" s="261"/>
      <c r="BO54" s="261"/>
      <c r="BP54" s="261"/>
      <c r="BQ54" s="261"/>
      <c r="BR54" s="261"/>
      <c r="BS54" s="261"/>
      <c r="BT54" s="261"/>
      <c r="BU54" s="261"/>
      <c r="BV54" s="261"/>
      <c r="BW54" s="261"/>
      <c r="BX54" s="261"/>
      <c r="BY54" s="261"/>
      <c r="BZ54" s="261"/>
      <c r="CA54" s="261"/>
      <c r="CB54" s="261"/>
      <c r="CC54" s="78"/>
      <c r="CD54" s="78"/>
      <c r="CE54" s="78"/>
      <c r="CF54" s="78"/>
      <c r="CG54" s="78"/>
      <c r="CH54" s="78"/>
      <c r="CI54" s="78"/>
      <c r="CJ54" s="78"/>
      <c r="CK54" s="78"/>
      <c r="CL54" s="78"/>
      <c r="CM54" s="78"/>
      <c r="CN54" s="78"/>
      <c r="CO54" s="78"/>
      <c r="CP54" s="78"/>
      <c r="CQ54" s="260"/>
      <c r="CR54" s="260"/>
      <c r="CS54" s="260"/>
      <c r="CT54" s="260"/>
      <c r="CU54" s="260"/>
      <c r="CV54" s="260"/>
      <c r="CW54" s="120"/>
      <c r="CX54" s="120"/>
      <c r="CY54" s="120"/>
      <c r="CZ54" s="120"/>
      <c r="DA54" s="120"/>
      <c r="DB54" s="120"/>
      <c r="EE54" s="120"/>
      <c r="EF54" s="120"/>
    </row>
    <row r="55" spans="2:136" ht="13.5" customHeight="1" x14ac:dyDescent="0.25">
      <c r="B55" s="78"/>
      <c r="C55" s="78"/>
      <c r="D55" s="78"/>
      <c r="E55" s="78"/>
      <c r="F55" s="78"/>
      <c r="G55" s="78"/>
      <c r="H55" s="78"/>
      <c r="I55" s="78"/>
      <c r="J55" s="78"/>
      <c r="K55" s="78"/>
      <c r="L55" s="78"/>
      <c r="M55" s="78"/>
      <c r="N55" s="78"/>
      <c r="O55" s="78"/>
      <c r="P55" s="78"/>
      <c r="Q55" s="78"/>
      <c r="R55" s="78"/>
      <c r="S55" s="78"/>
      <c r="T55" s="78"/>
      <c r="U55" s="78"/>
      <c r="V55" s="78"/>
      <c r="W55" s="78"/>
      <c r="X55" s="78"/>
      <c r="Y55" s="78"/>
      <c r="Z55" s="78"/>
      <c r="AA55" s="78"/>
      <c r="AB55" s="78"/>
      <c r="AC55" s="78"/>
      <c r="AD55" s="78"/>
      <c r="AE55" s="78"/>
      <c r="AF55" s="78"/>
      <c r="AG55" s="78"/>
      <c r="AH55" s="78"/>
      <c r="AI55" s="78"/>
      <c r="AJ55" s="78"/>
      <c r="AK55" s="78"/>
      <c r="AL55" s="78"/>
      <c r="AM55" s="78"/>
      <c r="AN55" s="78"/>
      <c r="AO55" s="78"/>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8"/>
      <c r="BO55" s="78"/>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260"/>
      <c r="CR55" s="260"/>
      <c r="CS55" s="260"/>
      <c r="CT55" s="260"/>
      <c r="CU55" s="260"/>
      <c r="CV55" s="260"/>
      <c r="CW55" s="120"/>
      <c r="CX55" s="120"/>
      <c r="CY55" s="120"/>
      <c r="CZ55" s="120"/>
      <c r="DA55" s="120"/>
      <c r="DB55" s="120"/>
      <c r="EE55" s="120"/>
      <c r="EF55" s="120"/>
    </row>
    <row r="56" spans="2:136" ht="35.25" customHeight="1" x14ac:dyDescent="0.25">
      <c r="B56" s="120"/>
      <c r="C56" s="120"/>
      <c r="D56" s="120"/>
      <c r="E56" s="120"/>
      <c r="F56" s="120"/>
      <c r="G56" s="120"/>
      <c r="H56" s="120"/>
      <c r="I56" s="120"/>
      <c r="J56" s="120"/>
      <c r="K56" s="120"/>
      <c r="L56" s="120"/>
      <c r="M56" s="120"/>
      <c r="N56" s="120"/>
      <c r="O56" s="120"/>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20"/>
      <c r="AM56" s="120"/>
      <c r="AN56" s="120"/>
      <c r="AO56" s="120"/>
      <c r="AP56" s="120"/>
      <c r="AQ56" s="120"/>
      <c r="AR56" s="120"/>
      <c r="AS56" s="120"/>
      <c r="AT56" s="120"/>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EE56" s="120"/>
      <c r="EF56" s="120"/>
    </row>
    <row r="57" spans="2:136" ht="13.5" customHeight="1" x14ac:dyDescent="0.25">
      <c r="B57" s="120"/>
      <c r="C57" s="120"/>
      <c r="D57" s="120"/>
      <c r="E57" s="120"/>
      <c r="F57" s="120"/>
      <c r="G57" s="120"/>
      <c r="H57" s="120"/>
      <c r="I57" s="120"/>
      <c r="J57" s="120"/>
      <c r="K57" s="120"/>
      <c r="L57" s="120"/>
      <c r="M57" s="120"/>
      <c r="N57" s="120"/>
      <c r="O57" s="120"/>
      <c r="P57" s="120"/>
      <c r="Q57" s="120"/>
      <c r="R57" s="120"/>
      <c r="S57" s="120"/>
      <c r="T57" s="120"/>
      <c r="U57" s="120"/>
      <c r="V57" s="120"/>
      <c r="W57" s="120"/>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20"/>
      <c r="AY57" s="120"/>
      <c r="AZ57" s="120"/>
      <c r="BA57" s="120"/>
      <c r="BB57" s="120"/>
      <c r="BC57" s="120"/>
      <c r="BD57" s="120"/>
      <c r="BE57" s="120"/>
      <c r="BF57" s="120"/>
      <c r="BG57" s="120"/>
      <c r="BH57" s="120"/>
      <c r="BI57" s="120"/>
      <c r="BJ57" s="120"/>
      <c r="BK57" s="120"/>
      <c r="BL57" s="120"/>
      <c r="BM57" s="120"/>
      <c r="BN57" s="120"/>
      <c r="BO57" s="120"/>
      <c r="BP57" s="120"/>
      <c r="BQ57" s="120"/>
      <c r="BR57" s="120"/>
      <c r="BS57" s="120"/>
      <c r="BT57" s="120"/>
      <c r="BU57" s="120"/>
      <c r="BV57" s="120"/>
      <c r="BW57" s="120"/>
      <c r="BX57" s="120"/>
      <c r="BY57" s="120"/>
      <c r="BZ57" s="120"/>
      <c r="CA57" s="120"/>
      <c r="CB57" s="120"/>
      <c r="CC57" s="120"/>
      <c r="CD57" s="120"/>
      <c r="CE57" s="120"/>
      <c r="CF57" s="120"/>
      <c r="CG57" s="120"/>
      <c r="CH57" s="120"/>
      <c r="CI57" s="120"/>
      <c r="CJ57" s="120"/>
      <c r="CK57" s="120"/>
      <c r="CL57" s="120"/>
      <c r="CM57" s="120"/>
      <c r="CN57" s="120"/>
      <c r="CO57" s="120"/>
      <c r="CP57" s="120"/>
      <c r="CQ57" s="120"/>
      <c r="CR57" s="120"/>
      <c r="CS57" s="120"/>
      <c r="CT57" s="120"/>
      <c r="CU57" s="120"/>
      <c r="CV57" s="120"/>
      <c r="CW57" s="120"/>
      <c r="CX57" s="120"/>
      <c r="CY57" s="120"/>
      <c r="CZ57" s="120"/>
      <c r="DA57" s="120"/>
      <c r="DB57" s="120"/>
      <c r="EE57" s="120"/>
      <c r="EF57" s="120"/>
    </row>
    <row r="58" spans="2:136" ht="13.5" customHeight="1" x14ac:dyDescent="0.25">
      <c r="Q58" s="120"/>
      <c r="R58" s="120"/>
      <c r="S58" s="120"/>
      <c r="T58" s="120"/>
      <c r="U58" s="120"/>
      <c r="V58" s="120"/>
      <c r="W58" s="120"/>
      <c r="X58" s="120"/>
      <c r="Y58" s="120"/>
      <c r="Z58" s="120"/>
      <c r="AA58" s="120"/>
      <c r="AB58" s="120"/>
      <c r="AC58" s="120"/>
      <c r="AD58" s="120"/>
      <c r="AE58" s="120"/>
      <c r="AF58" s="120"/>
      <c r="AG58" s="120"/>
      <c r="AH58" s="120"/>
      <c r="AI58" s="120"/>
      <c r="AJ58" s="120"/>
      <c r="AK58" s="120"/>
      <c r="AL58" s="120"/>
      <c r="AM58" s="120"/>
      <c r="AN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EE58" s="120"/>
      <c r="EF58" s="120"/>
    </row>
    <row r="59" spans="2:136" ht="13.5" customHeight="1" x14ac:dyDescent="0.25">
      <c r="W59" s="120"/>
      <c r="X59" s="120"/>
      <c r="Y59" s="120"/>
      <c r="Z59" s="120"/>
      <c r="AA59" s="120"/>
      <c r="AB59" s="120"/>
      <c r="AC59" s="120"/>
      <c r="AD59" s="120"/>
      <c r="AE59" s="120"/>
      <c r="AF59" s="120"/>
      <c r="AG59" s="120"/>
      <c r="AH59" s="120"/>
      <c r="AI59" s="120"/>
      <c r="AJ59" s="120"/>
      <c r="AK59" s="120"/>
      <c r="AL59" s="120"/>
      <c r="AM59" s="120"/>
      <c r="AN59" s="120"/>
      <c r="AV59" s="120"/>
      <c r="AW59" s="120"/>
      <c r="AX59" s="120"/>
      <c r="AY59" s="120"/>
      <c r="AZ59" s="120"/>
      <c r="BA59" s="120"/>
      <c r="BB59" s="120"/>
      <c r="BC59" s="120"/>
      <c r="BD59" s="120"/>
      <c r="BE59" s="120"/>
      <c r="BF59" s="120"/>
      <c r="BG59" s="120"/>
      <c r="BH59" s="120"/>
      <c r="BI59" s="120"/>
      <c r="BJ59" s="120"/>
      <c r="BK59" s="120"/>
      <c r="BL59" s="120"/>
      <c r="BM59" s="120"/>
      <c r="BN59" s="120"/>
      <c r="BO59" s="120"/>
      <c r="BP59" s="120"/>
      <c r="BQ59" s="120"/>
      <c r="BR59" s="120"/>
      <c r="BS59" s="120"/>
      <c r="BT59" s="120"/>
      <c r="BU59" s="120"/>
      <c r="BV59" s="120"/>
      <c r="BW59" s="120"/>
      <c r="BX59" s="120"/>
      <c r="BY59" s="120"/>
      <c r="BZ59" s="120"/>
      <c r="CA59" s="120"/>
      <c r="CB59" s="120"/>
      <c r="CC59" s="120"/>
      <c r="CD59" s="120"/>
      <c r="CE59" s="120"/>
      <c r="CF59" s="120"/>
      <c r="CG59" s="120"/>
      <c r="CH59" s="120"/>
      <c r="CI59" s="120"/>
      <c r="CJ59" s="120"/>
      <c r="CK59" s="120"/>
      <c r="CL59" s="120"/>
      <c r="CM59" s="120"/>
      <c r="CN59" s="120"/>
      <c r="CO59" s="120"/>
      <c r="CP59" s="120"/>
      <c r="CQ59" s="120"/>
      <c r="CR59" s="120"/>
      <c r="CS59" s="120"/>
      <c r="CT59" s="120"/>
      <c r="CU59" s="120"/>
      <c r="CV59" s="120"/>
      <c r="CW59" s="120"/>
      <c r="CX59" s="120"/>
      <c r="CY59" s="120"/>
      <c r="CZ59" s="120"/>
      <c r="DA59" s="120"/>
      <c r="DB59" s="120"/>
      <c r="EE59" s="120"/>
      <c r="EF59" s="120"/>
    </row>
    <row r="60" spans="2:136" ht="13.5" customHeight="1" x14ac:dyDescent="0.25">
      <c r="AF60" s="120"/>
      <c r="AG60" s="120"/>
      <c r="AH60" s="120"/>
      <c r="AI60" s="120"/>
      <c r="AJ60" s="120"/>
      <c r="AK60" s="120"/>
      <c r="AL60" s="120"/>
      <c r="AV60" s="120"/>
      <c r="AW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3"/>
      <c r="CO60" s="123"/>
      <c r="CP60" s="123"/>
      <c r="CQ60" s="123"/>
      <c r="CR60" s="123"/>
      <c r="CS60" s="123"/>
      <c r="CT60" s="123"/>
      <c r="CU60" s="123"/>
      <c r="CV60" s="123"/>
      <c r="CW60" s="123"/>
      <c r="CX60" s="123"/>
      <c r="CY60" s="123"/>
      <c r="CZ60" s="123"/>
      <c r="DA60" s="120"/>
      <c r="DB60" s="120"/>
      <c r="EE60" s="120"/>
      <c r="EF60" s="120"/>
    </row>
    <row r="61" spans="2:136" ht="13.5" customHeight="1" x14ac:dyDescent="0.25">
      <c r="AF61" s="120"/>
      <c r="AG61" s="120"/>
      <c r="AH61" s="120"/>
      <c r="AI61" s="120"/>
      <c r="AJ61" s="120"/>
      <c r="AK61" s="120"/>
      <c r="AL61" s="120"/>
      <c r="AU61" s="120"/>
      <c r="AV61" s="120"/>
      <c r="AW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3"/>
      <c r="CO61" s="123"/>
      <c r="CP61" s="123"/>
      <c r="CQ61" s="123"/>
      <c r="CR61" s="123"/>
      <c r="CS61" s="123"/>
      <c r="CT61" s="123"/>
      <c r="CU61" s="123"/>
      <c r="CV61" s="123"/>
      <c r="CW61" s="123"/>
      <c r="CX61" s="123"/>
      <c r="CY61" s="123"/>
      <c r="CZ61" s="123"/>
      <c r="DA61" s="120"/>
      <c r="DB61" s="120"/>
      <c r="EE61" s="120"/>
      <c r="EF61" s="120"/>
    </row>
    <row r="62" spans="2:136" ht="13.5" customHeight="1" x14ac:dyDescent="0.25">
      <c r="AF62" s="120"/>
      <c r="AG62" s="120"/>
      <c r="AH62" s="120"/>
      <c r="AI62" s="120"/>
      <c r="AJ62" s="120"/>
      <c r="AK62" s="120"/>
      <c r="AL62" s="120"/>
      <c r="AU62" s="120"/>
      <c r="AV62" s="120"/>
      <c r="AW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3"/>
      <c r="CO62" s="123"/>
      <c r="CP62" s="123"/>
      <c r="CQ62" s="123"/>
      <c r="CR62" s="123"/>
      <c r="CS62" s="123"/>
      <c r="CT62" s="123"/>
      <c r="CU62" s="123"/>
      <c r="CV62" s="123"/>
      <c r="CW62" s="123"/>
      <c r="CX62" s="123"/>
      <c r="CY62" s="123"/>
      <c r="CZ62" s="123"/>
      <c r="DA62" s="120"/>
      <c r="DB62" s="120"/>
      <c r="EE62" s="120"/>
      <c r="EF62" s="120"/>
    </row>
    <row r="63" spans="2:136" ht="13.5" customHeight="1" x14ac:dyDescent="0.25">
      <c r="R63" s="120"/>
      <c r="S63" s="120"/>
      <c r="T63" s="120"/>
      <c r="U63" s="120"/>
      <c r="V63" s="120"/>
      <c r="W63" s="120"/>
      <c r="X63" s="120"/>
      <c r="Y63" s="120"/>
      <c r="Z63" s="120"/>
      <c r="AA63" s="120"/>
      <c r="AB63" s="120"/>
      <c r="AC63" s="120"/>
      <c r="AD63" s="120"/>
      <c r="AE63" s="120"/>
      <c r="AF63" s="120"/>
      <c r="AG63" s="120"/>
      <c r="AH63" s="120"/>
      <c r="AI63" s="120"/>
      <c r="AJ63" s="120"/>
      <c r="AK63" s="120"/>
      <c r="AL63" s="120"/>
      <c r="AM63" s="120"/>
      <c r="AN63" s="120"/>
      <c r="AO63" s="120"/>
      <c r="AP63" s="120"/>
      <c r="AQ63" s="120"/>
      <c r="AR63" s="120"/>
      <c r="AS63" s="120"/>
      <c r="AT63" s="120"/>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3"/>
      <c r="CO63" s="123"/>
      <c r="CP63" s="123"/>
      <c r="CQ63" s="123"/>
      <c r="CR63" s="123"/>
      <c r="CS63" s="123"/>
      <c r="CT63" s="123"/>
      <c r="CU63" s="123"/>
      <c r="CV63" s="123"/>
      <c r="CW63" s="123"/>
      <c r="CX63" s="123"/>
      <c r="CY63" s="123"/>
      <c r="CZ63" s="123"/>
      <c r="DA63" s="120"/>
      <c r="DB63" s="120"/>
      <c r="EE63" s="120"/>
      <c r="EF63" s="120"/>
    </row>
    <row r="64" spans="2:136" ht="13.5" customHeight="1" x14ac:dyDescent="0.25">
      <c r="R64" s="120"/>
      <c r="S64" s="120"/>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c r="BN64" s="120"/>
      <c r="BO64" s="120"/>
      <c r="BP64" s="120"/>
      <c r="BQ64" s="120"/>
      <c r="BR64" s="120"/>
      <c r="BS64" s="120"/>
      <c r="BT64" s="120"/>
      <c r="BU64" s="120"/>
      <c r="BV64" s="120"/>
      <c r="BW64" s="120"/>
      <c r="BX64" s="120"/>
      <c r="BY64" s="120"/>
      <c r="BZ64" s="120"/>
      <c r="CA64" s="120"/>
      <c r="CB64" s="120"/>
      <c r="CC64" s="120"/>
      <c r="CD64" s="120"/>
      <c r="CE64" s="120"/>
      <c r="CF64" s="120"/>
      <c r="CG64" s="120"/>
      <c r="CH64" s="120"/>
      <c r="CI64" s="120"/>
      <c r="CJ64" s="120"/>
      <c r="CK64" s="120"/>
      <c r="CL64" s="120"/>
      <c r="CM64" s="120"/>
      <c r="CN64" s="123"/>
      <c r="CO64" s="123"/>
      <c r="CP64" s="123"/>
      <c r="CQ64" s="123"/>
      <c r="CR64" s="123"/>
      <c r="CS64" s="123"/>
      <c r="CT64" s="123"/>
      <c r="CU64" s="123"/>
      <c r="CV64" s="123"/>
      <c r="CW64" s="123"/>
      <c r="CX64" s="123"/>
      <c r="CY64" s="123"/>
      <c r="CZ64" s="123"/>
      <c r="DA64" s="120"/>
      <c r="DB64" s="120"/>
      <c r="EE64" s="120"/>
      <c r="EF64" s="120"/>
    </row>
    <row r="65" spans="2:136" ht="13.5" customHeight="1" x14ac:dyDescent="0.25">
      <c r="R65" s="120"/>
      <c r="S65" s="120"/>
      <c r="T65" s="120"/>
      <c r="U65" s="120"/>
      <c r="V65" s="120"/>
      <c r="W65" s="120"/>
      <c r="X65" s="120"/>
      <c r="Y65" s="120"/>
      <c r="Z65" s="120"/>
      <c r="AA65" s="120"/>
      <c r="AB65" s="120"/>
      <c r="AC65" s="120"/>
      <c r="AD65" s="120"/>
      <c r="AE65" s="120"/>
      <c r="AF65" s="120"/>
      <c r="AG65" s="120"/>
      <c r="AH65" s="120"/>
      <c r="AI65" s="120"/>
      <c r="AJ65" s="120"/>
      <c r="AK65" s="120"/>
      <c r="AL65" s="120"/>
      <c r="AM65" s="120"/>
      <c r="AN65" s="120"/>
      <c r="AO65" s="120"/>
      <c r="AP65" s="120"/>
      <c r="AQ65" s="120"/>
      <c r="AR65" s="120"/>
      <c r="AS65" s="120"/>
      <c r="AT65" s="120"/>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EE65" s="120"/>
      <c r="EF65" s="120"/>
    </row>
    <row r="66" spans="2:136" ht="13.5" customHeight="1" x14ac:dyDescent="0.25">
      <c r="R66" s="120"/>
      <c r="S66" s="120"/>
      <c r="T66" s="120"/>
      <c r="U66" s="120"/>
      <c r="V66" s="120"/>
      <c r="W66" s="120"/>
      <c r="X66" s="120"/>
      <c r="Y66" s="120"/>
      <c r="Z66" s="120"/>
      <c r="AA66" s="120"/>
      <c r="AB66" s="120"/>
      <c r="AC66" s="120"/>
      <c r="AD66" s="120"/>
      <c r="AE66" s="120"/>
      <c r="AF66" s="120"/>
      <c r="AG66" s="120"/>
      <c r="AH66" s="120"/>
      <c r="AI66" s="120"/>
      <c r="AJ66" s="120"/>
      <c r="AK66" s="120"/>
      <c r="AL66" s="120"/>
      <c r="AM66" s="120"/>
      <c r="AN66" s="120"/>
      <c r="AO66" s="120"/>
      <c r="AP66" s="120"/>
      <c r="AQ66" s="120"/>
      <c r="AR66" s="120"/>
      <c r="AS66" s="120"/>
      <c r="AT66" s="120"/>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EE66" s="120"/>
      <c r="EF66" s="120"/>
    </row>
    <row r="67" spans="2:136" ht="13.5" customHeight="1" x14ac:dyDescent="0.25">
      <c r="R67" s="120"/>
      <c r="S67" s="120"/>
      <c r="T67" s="120"/>
      <c r="U67" s="120"/>
      <c r="V67" s="120"/>
      <c r="W67" s="120"/>
      <c r="X67" s="120"/>
      <c r="Y67" s="120"/>
      <c r="Z67" s="120"/>
      <c r="AA67" s="120"/>
      <c r="AB67" s="120"/>
      <c r="AC67" s="120"/>
      <c r="AD67" s="120"/>
      <c r="AE67" s="120"/>
      <c r="AF67" s="120"/>
      <c r="AG67" s="120"/>
      <c r="AH67" s="120"/>
      <c r="AI67" s="120"/>
      <c r="AJ67" s="120"/>
      <c r="AK67" s="120"/>
      <c r="AL67" s="120"/>
      <c r="AM67" s="120"/>
      <c r="AN67" s="120"/>
      <c r="AO67" s="120"/>
      <c r="AP67" s="120"/>
      <c r="AQ67" s="120"/>
      <c r="AR67" s="120"/>
      <c r="AS67" s="120"/>
      <c r="AT67" s="120"/>
      <c r="AU67" s="120"/>
      <c r="AV67" s="120"/>
      <c r="AW67" s="120"/>
      <c r="AX67" s="120"/>
      <c r="AY67" s="120"/>
      <c r="AZ67" s="120"/>
      <c r="BA67" s="120"/>
      <c r="BB67" s="120"/>
      <c r="BC67" s="120"/>
      <c r="BD67" s="120"/>
      <c r="BE67" s="120"/>
      <c r="BF67" s="120"/>
      <c r="BG67" s="120"/>
      <c r="BH67" s="120"/>
      <c r="BI67" s="120"/>
      <c r="BJ67" s="120"/>
      <c r="BK67" s="120"/>
      <c r="BL67" s="120"/>
      <c r="BM67" s="120"/>
      <c r="BN67" s="120"/>
      <c r="BO67" s="120"/>
      <c r="BP67" s="120"/>
      <c r="BQ67" s="120"/>
      <c r="BR67" s="120"/>
      <c r="BS67" s="120"/>
      <c r="BT67" s="120"/>
      <c r="BU67" s="120"/>
      <c r="BV67" s="120"/>
      <c r="BW67" s="120"/>
      <c r="BX67" s="120"/>
      <c r="BY67" s="120"/>
      <c r="BZ67" s="120"/>
      <c r="CA67" s="120"/>
      <c r="CB67" s="120"/>
      <c r="CC67" s="120"/>
      <c r="CD67" s="120"/>
      <c r="CE67" s="120"/>
      <c r="CF67" s="120"/>
      <c r="CG67" s="120"/>
      <c r="CH67" s="120"/>
      <c r="CI67" s="120"/>
      <c r="CJ67" s="120"/>
      <c r="CK67" s="120"/>
      <c r="CL67" s="120"/>
      <c r="CM67" s="120"/>
      <c r="CN67" s="120"/>
      <c r="CO67" s="120"/>
      <c r="CP67" s="120"/>
      <c r="CQ67" s="120"/>
      <c r="CR67" s="120"/>
      <c r="CS67" s="120"/>
      <c r="CT67" s="120"/>
      <c r="CU67" s="120"/>
      <c r="CV67" s="120"/>
      <c r="CW67" s="120"/>
      <c r="CX67" s="120"/>
      <c r="CY67" s="120"/>
      <c r="CZ67" s="120"/>
      <c r="DA67" s="120"/>
      <c r="DB67" s="120"/>
      <c r="EE67" s="120"/>
      <c r="EF67" s="120"/>
    </row>
    <row r="68" spans="2:136" ht="13.5" customHeight="1" x14ac:dyDescent="0.25">
      <c r="R68" s="120"/>
      <c r="S68" s="120"/>
      <c r="T68" s="120"/>
      <c r="U68" s="120"/>
      <c r="V68" s="120"/>
      <c r="W68" s="120"/>
      <c r="X68" s="120"/>
      <c r="Y68" s="120"/>
      <c r="Z68" s="120"/>
      <c r="AA68" s="120"/>
      <c r="AB68" s="120"/>
      <c r="AC68" s="120"/>
      <c r="AD68" s="120"/>
      <c r="AE68" s="120"/>
      <c r="AF68" s="120"/>
      <c r="AG68" s="120"/>
      <c r="AH68" s="120"/>
      <c r="AI68" s="120"/>
      <c r="AJ68" s="120"/>
      <c r="AK68" s="120"/>
      <c r="AL68" s="120"/>
      <c r="AM68" s="120"/>
      <c r="AN68" s="120"/>
      <c r="AO68" s="120"/>
      <c r="AP68" s="120"/>
      <c r="AQ68" s="120"/>
      <c r="AR68" s="120"/>
      <c r="AS68" s="120"/>
      <c r="AT68" s="120"/>
      <c r="AU68" s="120"/>
      <c r="AV68" s="120"/>
      <c r="AW68" s="120"/>
      <c r="AX68" s="120"/>
      <c r="AY68" s="120"/>
      <c r="AZ68" s="120"/>
      <c r="BA68" s="120"/>
      <c r="BB68" s="120"/>
      <c r="BC68" s="120"/>
      <c r="BD68" s="120"/>
      <c r="BE68" s="120"/>
      <c r="BF68" s="120"/>
      <c r="BG68" s="120"/>
      <c r="BH68" s="120"/>
      <c r="BI68" s="120"/>
      <c r="BJ68" s="120"/>
      <c r="BK68" s="120"/>
      <c r="BL68" s="120"/>
      <c r="BM68" s="120"/>
      <c r="BN68" s="120"/>
      <c r="BO68" s="120"/>
      <c r="BP68" s="120"/>
      <c r="BQ68" s="120"/>
      <c r="BR68" s="120"/>
      <c r="BS68" s="120"/>
      <c r="BT68" s="120"/>
      <c r="BU68" s="120"/>
      <c r="BV68" s="120"/>
      <c r="BW68" s="120"/>
      <c r="BX68" s="120"/>
      <c r="BY68" s="120"/>
      <c r="BZ68" s="120"/>
      <c r="CA68" s="120"/>
      <c r="CB68" s="120"/>
      <c r="CC68" s="120"/>
      <c r="CD68" s="120"/>
      <c r="CE68" s="120"/>
      <c r="CF68" s="120"/>
      <c r="CG68" s="120"/>
      <c r="CH68" s="120"/>
      <c r="CI68" s="120"/>
      <c r="CJ68" s="120"/>
      <c r="CK68" s="120"/>
      <c r="CL68" s="120"/>
      <c r="CM68" s="120"/>
      <c r="CN68" s="120"/>
      <c r="CO68" s="120"/>
      <c r="CP68" s="120"/>
      <c r="CQ68" s="120"/>
      <c r="CR68" s="120"/>
      <c r="CS68" s="120"/>
      <c r="CT68" s="120"/>
      <c r="CU68" s="120"/>
      <c r="CV68" s="120"/>
      <c r="CW68" s="120"/>
      <c r="CX68" s="120"/>
      <c r="CY68" s="120"/>
      <c r="CZ68" s="120"/>
      <c r="DA68" s="120"/>
      <c r="DB68" s="120"/>
      <c r="EE68" s="120"/>
      <c r="EF68" s="120"/>
    </row>
    <row r="69" spans="2:136" ht="13.5" customHeight="1" x14ac:dyDescent="0.25">
      <c r="R69" s="120"/>
      <c r="S69" s="120"/>
      <c r="T69" s="120"/>
      <c r="U69" s="120"/>
      <c r="V69" s="120"/>
      <c r="W69" s="120"/>
      <c r="X69" s="120"/>
      <c r="Y69" s="120"/>
      <c r="Z69" s="120"/>
      <c r="AA69" s="120"/>
      <c r="AB69" s="120"/>
      <c r="AC69" s="120"/>
      <c r="AD69" s="120"/>
      <c r="AE69" s="120"/>
      <c r="AF69" s="120"/>
      <c r="AG69" s="120"/>
      <c r="AH69" s="120"/>
      <c r="AI69" s="120"/>
      <c r="AJ69" s="120"/>
      <c r="AK69" s="120"/>
      <c r="AL69" s="120"/>
      <c r="AM69" s="120"/>
      <c r="AN69" s="120"/>
      <c r="AO69" s="120"/>
      <c r="AP69" s="120"/>
      <c r="AQ69" s="120"/>
      <c r="AR69" s="120"/>
      <c r="AS69" s="120"/>
      <c r="AT69" s="120"/>
      <c r="AU69" s="123"/>
      <c r="AV69" s="123"/>
      <c r="AW69" s="123"/>
      <c r="AX69" s="123"/>
      <c r="AY69" s="123"/>
      <c r="AZ69" s="123"/>
      <c r="BA69" s="123"/>
      <c r="BB69" s="123"/>
      <c r="BC69" s="123"/>
      <c r="BD69" s="123"/>
      <c r="BE69" s="123"/>
      <c r="BF69" s="123"/>
      <c r="BG69" s="123"/>
      <c r="BH69" s="123"/>
      <c r="BI69" s="123"/>
      <c r="BJ69" s="123"/>
      <c r="BK69" s="123"/>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EE69" s="120"/>
      <c r="EF69" s="120"/>
    </row>
    <row r="70" spans="2:136" ht="13.5" customHeight="1" x14ac:dyDescent="0.25">
      <c r="R70" s="120"/>
      <c r="S70" s="120"/>
      <c r="T70" s="120"/>
      <c r="U70" s="120"/>
      <c r="V70" s="120"/>
      <c r="W70" s="120"/>
      <c r="X70" s="120"/>
      <c r="Y70" s="120"/>
      <c r="Z70" s="120"/>
      <c r="AA70" s="120"/>
      <c r="AB70" s="120"/>
      <c r="AC70" s="120"/>
      <c r="AD70" s="120"/>
      <c r="AE70" s="120"/>
      <c r="AF70" s="120"/>
      <c r="AG70" s="120"/>
      <c r="AH70" s="120"/>
      <c r="AI70" s="120"/>
      <c r="AJ70" s="120"/>
      <c r="AK70" s="120"/>
      <c r="AL70" s="120"/>
      <c r="AM70" s="120"/>
      <c r="AN70" s="120"/>
      <c r="AO70" s="120"/>
      <c r="AP70" s="120"/>
      <c r="AQ70" s="120"/>
      <c r="AR70" s="120"/>
      <c r="AS70" s="120"/>
      <c r="AT70" s="120"/>
      <c r="AU70" s="123"/>
      <c r="AV70" s="123"/>
      <c r="AW70" s="123"/>
      <c r="AX70" s="123"/>
      <c r="AY70" s="123"/>
      <c r="AZ70" s="123"/>
      <c r="BA70" s="123"/>
      <c r="BB70" s="123"/>
      <c r="BC70" s="123"/>
      <c r="BD70" s="123"/>
      <c r="BE70" s="123"/>
      <c r="BF70" s="123"/>
      <c r="BG70" s="123"/>
      <c r="BH70" s="123"/>
      <c r="BI70" s="123"/>
      <c r="BJ70" s="123"/>
      <c r="BK70" s="123"/>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EE70" s="120"/>
      <c r="EF70" s="120"/>
    </row>
    <row r="71" spans="2:136" ht="13.5" customHeight="1" x14ac:dyDescent="0.25">
      <c r="R71" s="120"/>
      <c r="S71" s="120"/>
      <c r="T71" s="120"/>
      <c r="U71" s="120"/>
      <c r="V71" s="120"/>
      <c r="W71" s="120"/>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c r="AT71" s="120"/>
      <c r="AU71" s="123"/>
      <c r="AV71" s="123"/>
      <c r="AW71" s="123"/>
      <c r="AX71" s="123"/>
      <c r="AY71" s="123"/>
      <c r="AZ71" s="123"/>
      <c r="BA71" s="123"/>
      <c r="BB71" s="123"/>
      <c r="BC71" s="123"/>
      <c r="BD71" s="123"/>
      <c r="BE71" s="123"/>
      <c r="BF71" s="123"/>
      <c r="BG71" s="123"/>
      <c r="BH71" s="123"/>
      <c r="BI71" s="123"/>
      <c r="BJ71" s="123"/>
      <c r="BK71" s="123"/>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EE71" s="120"/>
      <c r="EF71" s="120"/>
    </row>
    <row r="72" spans="2:136" ht="13.5" customHeight="1" x14ac:dyDescent="0.25">
      <c r="R72" s="120"/>
      <c r="S72" s="120"/>
      <c r="T72" s="120"/>
      <c r="U72" s="120"/>
      <c r="V72" s="120"/>
      <c r="W72" s="120"/>
      <c r="X72" s="120"/>
      <c r="Y72" s="120"/>
      <c r="Z72" s="120"/>
      <c r="AA72" s="120"/>
      <c r="AB72" s="120"/>
      <c r="AC72" s="120"/>
      <c r="AD72" s="120"/>
      <c r="AE72" s="120"/>
      <c r="AF72" s="120"/>
      <c r="AG72" s="120"/>
      <c r="AH72" s="120"/>
      <c r="AI72" s="120"/>
      <c r="AJ72" s="120"/>
      <c r="AK72" s="120"/>
      <c r="AL72" s="120"/>
      <c r="AM72" s="120"/>
      <c r="AN72" s="120"/>
      <c r="AO72" s="120"/>
      <c r="AP72" s="120"/>
      <c r="AQ72" s="120"/>
      <c r="AR72" s="120"/>
      <c r="AS72" s="120"/>
      <c r="AT72" s="120"/>
      <c r="AU72" s="123"/>
      <c r="AV72" s="123"/>
      <c r="AW72" s="123"/>
      <c r="AX72" s="123"/>
      <c r="AY72" s="123"/>
      <c r="AZ72" s="123"/>
      <c r="BA72" s="123"/>
      <c r="BB72" s="123"/>
      <c r="BC72" s="123"/>
      <c r="BD72" s="123"/>
      <c r="BE72" s="123"/>
      <c r="BF72" s="123"/>
      <c r="BG72" s="123"/>
      <c r="BH72" s="123"/>
      <c r="BI72" s="123"/>
      <c r="BJ72" s="123"/>
      <c r="BK72" s="123"/>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EE72" s="120"/>
      <c r="EF72" s="120"/>
    </row>
    <row r="73" spans="2:136" ht="13.5" customHeight="1" x14ac:dyDescent="0.25">
      <c r="R73" s="120"/>
      <c r="S73" s="120"/>
      <c r="T73" s="120"/>
      <c r="U73" s="120"/>
      <c r="V73" s="120"/>
      <c r="W73" s="120"/>
      <c r="X73" s="120"/>
      <c r="Y73" s="120"/>
      <c r="Z73" s="120"/>
      <c r="AA73" s="120"/>
      <c r="AB73" s="120"/>
      <c r="AC73" s="120"/>
      <c r="AD73" s="120"/>
      <c r="AE73" s="120"/>
      <c r="AF73" s="120"/>
      <c r="AG73" s="120"/>
      <c r="AH73" s="120"/>
      <c r="AI73" s="120"/>
      <c r="AJ73" s="120"/>
      <c r="AK73" s="120"/>
      <c r="AL73" s="120"/>
      <c r="AM73" s="120"/>
      <c r="AN73" s="120"/>
      <c r="AO73" s="120"/>
      <c r="AP73" s="120"/>
      <c r="AQ73" s="120"/>
      <c r="AR73" s="120"/>
      <c r="AS73" s="120"/>
      <c r="AT73" s="120"/>
      <c r="AU73" s="123"/>
      <c r="AV73" s="123"/>
      <c r="AW73" s="123"/>
      <c r="AX73" s="123"/>
      <c r="AY73" s="123"/>
      <c r="AZ73" s="123"/>
      <c r="BA73" s="123"/>
      <c r="BB73" s="123"/>
      <c r="BC73" s="123"/>
      <c r="BD73" s="123"/>
      <c r="BE73" s="123"/>
      <c r="BF73" s="123"/>
      <c r="BG73" s="123"/>
      <c r="BH73" s="123"/>
      <c r="BI73" s="123"/>
      <c r="BJ73" s="123"/>
      <c r="BK73" s="123"/>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EE73" s="120"/>
      <c r="EF73" s="120"/>
    </row>
    <row r="74" spans="2:136" ht="13.5" customHeight="1" x14ac:dyDescent="0.25">
      <c r="R74" s="120"/>
      <c r="S74" s="120"/>
      <c r="T74" s="120"/>
      <c r="U74" s="120"/>
      <c r="V74" s="120"/>
      <c r="W74" s="120"/>
      <c r="X74" s="120"/>
      <c r="Y74" s="120"/>
      <c r="Z74" s="120"/>
      <c r="AA74" s="120"/>
      <c r="AB74" s="120"/>
      <c r="AC74" s="120"/>
      <c r="AD74" s="120"/>
      <c r="AE74" s="120"/>
      <c r="AF74" s="120"/>
      <c r="AG74" s="120"/>
      <c r="AH74" s="120"/>
      <c r="AI74" s="120"/>
      <c r="AJ74" s="120"/>
      <c r="AK74" s="120"/>
      <c r="AL74" s="120"/>
      <c r="AM74" s="120"/>
      <c r="AN74" s="120"/>
      <c r="AO74" s="120"/>
      <c r="AP74" s="120"/>
      <c r="AQ74" s="120"/>
      <c r="AR74" s="120"/>
      <c r="AS74" s="120"/>
      <c r="AT74" s="120"/>
      <c r="AU74" s="123"/>
      <c r="AV74" s="123"/>
      <c r="AW74" s="123"/>
      <c r="AX74" s="123"/>
      <c r="AY74" s="123"/>
      <c r="AZ74" s="123"/>
      <c r="BA74" s="123"/>
      <c r="BB74" s="123"/>
      <c r="BC74" s="123"/>
      <c r="BD74" s="123"/>
      <c r="BE74" s="123"/>
      <c r="BF74" s="123"/>
      <c r="BG74" s="123"/>
      <c r="BH74" s="123"/>
      <c r="BI74" s="123"/>
      <c r="BJ74" s="123"/>
      <c r="BK74" s="123"/>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EE74" s="120"/>
      <c r="EF74" s="120"/>
    </row>
    <row r="75" spans="2:136" ht="13.5" customHeight="1" x14ac:dyDescent="0.25">
      <c r="R75" s="120"/>
      <c r="S75" s="120"/>
      <c r="T75" s="120"/>
      <c r="U75" s="120"/>
      <c r="V75" s="120"/>
      <c r="W75" s="120"/>
      <c r="X75" s="120"/>
      <c r="Y75" s="120"/>
      <c r="Z75" s="120"/>
      <c r="AA75" s="120"/>
      <c r="AB75" s="120"/>
      <c r="AC75" s="120"/>
      <c r="AD75" s="120"/>
      <c r="AE75" s="120"/>
      <c r="AF75" s="120"/>
      <c r="AG75" s="120"/>
      <c r="AH75" s="120"/>
      <c r="AI75" s="120"/>
      <c r="AJ75" s="120"/>
      <c r="AK75" s="120"/>
      <c r="AL75" s="120"/>
      <c r="AM75" s="120"/>
      <c r="AN75" s="120"/>
      <c r="AO75" s="120"/>
      <c r="AP75" s="120"/>
      <c r="AQ75" s="120"/>
      <c r="AR75" s="120"/>
      <c r="AS75" s="120"/>
      <c r="AT75" s="120"/>
      <c r="AU75" s="120"/>
      <c r="AV75" s="120"/>
      <c r="AW75" s="120"/>
      <c r="AX75" s="120"/>
      <c r="AY75" s="120"/>
      <c r="AZ75" s="120"/>
      <c r="BA75" s="120"/>
      <c r="BB75" s="120"/>
      <c r="BC75" s="120"/>
      <c r="BD75" s="120"/>
      <c r="BE75" s="120"/>
      <c r="BF75" s="120"/>
      <c r="BG75" s="120"/>
      <c r="BH75" s="120"/>
      <c r="BI75" s="120"/>
      <c r="BJ75" s="120"/>
      <c r="BK75" s="120"/>
      <c r="BL75" s="120"/>
      <c r="BM75" s="120"/>
      <c r="BN75" s="120"/>
      <c r="BO75" s="120"/>
      <c r="BP75" s="120"/>
      <c r="BQ75" s="120"/>
      <c r="BR75" s="120"/>
      <c r="BS75" s="120"/>
      <c r="BT75" s="120"/>
      <c r="BU75" s="120"/>
      <c r="BV75" s="120"/>
      <c r="BW75" s="120"/>
      <c r="BX75" s="120"/>
      <c r="BY75" s="120"/>
      <c r="BZ75" s="120"/>
      <c r="CA75" s="120"/>
      <c r="CB75" s="120"/>
      <c r="CC75" s="120"/>
      <c r="CD75" s="120"/>
      <c r="CE75" s="120"/>
      <c r="CF75" s="120"/>
      <c r="CG75" s="120"/>
      <c r="CH75" s="120"/>
      <c r="CI75" s="120"/>
      <c r="CJ75" s="120"/>
      <c r="CK75" s="120"/>
      <c r="CL75" s="120"/>
      <c r="CM75" s="120"/>
      <c r="CN75" s="120"/>
      <c r="CO75" s="120"/>
      <c r="CP75" s="120"/>
      <c r="CQ75" s="120"/>
      <c r="CR75" s="120"/>
      <c r="CS75" s="120"/>
      <c r="CT75" s="120"/>
      <c r="CU75" s="120"/>
      <c r="CV75" s="120"/>
      <c r="CW75" s="120"/>
      <c r="CX75" s="120"/>
      <c r="CY75" s="120"/>
      <c r="CZ75" s="120"/>
      <c r="DA75" s="120"/>
      <c r="DB75" s="120"/>
      <c r="EE75" s="120"/>
      <c r="EF75" s="120"/>
    </row>
    <row r="76" spans="2:136" ht="13.5" customHeight="1" x14ac:dyDescent="0.25">
      <c r="R76" s="120"/>
      <c r="S76" s="120"/>
      <c r="T76" s="120"/>
      <c r="U76" s="120"/>
      <c r="V76" s="120"/>
      <c r="W76" s="120"/>
      <c r="X76" s="120"/>
      <c r="Y76" s="120"/>
      <c r="Z76" s="120"/>
      <c r="AA76" s="120"/>
      <c r="AB76" s="120"/>
      <c r="AC76" s="120"/>
      <c r="AD76" s="120"/>
      <c r="AE76" s="120"/>
      <c r="AF76" s="120"/>
      <c r="AG76" s="120"/>
      <c r="AH76" s="120"/>
      <c r="AI76" s="120"/>
      <c r="AJ76" s="120"/>
      <c r="AK76" s="120"/>
      <c r="AL76" s="120"/>
      <c r="AM76" s="120"/>
      <c r="AN76" s="120"/>
      <c r="AO76" s="120"/>
      <c r="AP76" s="120"/>
      <c r="AQ76" s="120"/>
      <c r="AR76" s="120"/>
      <c r="AS76" s="120"/>
      <c r="AT76" s="120"/>
      <c r="AU76" s="120"/>
      <c r="AV76" s="120"/>
      <c r="AW76" s="120"/>
      <c r="AX76" s="120"/>
      <c r="AY76" s="120"/>
      <c r="AZ76" s="120"/>
      <c r="BA76" s="120"/>
      <c r="BB76" s="120"/>
      <c r="BC76" s="120"/>
      <c r="BD76" s="120"/>
      <c r="BE76" s="120"/>
      <c r="BF76" s="120"/>
      <c r="BG76" s="120"/>
      <c r="BH76" s="120"/>
      <c r="BI76" s="120"/>
      <c r="BJ76" s="120"/>
      <c r="BK76" s="120"/>
      <c r="BL76" s="120"/>
      <c r="BM76" s="120"/>
      <c r="BN76" s="120"/>
      <c r="BO76" s="120"/>
      <c r="BP76" s="120"/>
      <c r="BQ76" s="120"/>
      <c r="BR76" s="120"/>
      <c r="BS76" s="120"/>
      <c r="BT76" s="120"/>
      <c r="BU76" s="120"/>
      <c r="BV76" s="120"/>
      <c r="BW76" s="120"/>
      <c r="BX76" s="120"/>
      <c r="BY76" s="120"/>
      <c r="BZ76" s="120"/>
      <c r="CA76" s="120"/>
      <c r="CB76" s="120"/>
      <c r="CC76" s="120"/>
      <c r="CD76" s="120"/>
      <c r="CE76" s="120"/>
      <c r="CF76" s="120"/>
      <c r="CG76" s="120"/>
      <c r="CH76" s="120"/>
      <c r="CI76" s="120"/>
      <c r="CJ76" s="120"/>
      <c r="CK76" s="120"/>
      <c r="CL76" s="120"/>
      <c r="CM76" s="120"/>
      <c r="CN76" s="120"/>
      <c r="CO76" s="120"/>
      <c r="CP76" s="120"/>
      <c r="CQ76" s="120"/>
      <c r="CR76" s="120"/>
      <c r="CS76" s="120"/>
      <c r="CT76" s="120"/>
      <c r="CU76" s="120"/>
      <c r="CV76" s="120"/>
      <c r="CW76" s="120"/>
      <c r="CX76" s="120"/>
      <c r="CY76" s="120"/>
      <c r="CZ76" s="120"/>
      <c r="DA76" s="120"/>
      <c r="DB76" s="120"/>
      <c r="EE76" s="120"/>
      <c r="EF76" s="120"/>
    </row>
    <row r="77" spans="2:136" ht="13.5" customHeight="1" x14ac:dyDescent="0.25">
      <c r="B77" s="120"/>
      <c r="R77" s="120"/>
      <c r="S77" s="120"/>
      <c r="T77" s="120"/>
      <c r="U77" s="120"/>
      <c r="V77" s="120"/>
      <c r="W77" s="120"/>
      <c r="X77" s="120"/>
      <c r="Y77" s="120"/>
      <c r="Z77" s="120"/>
      <c r="AA77" s="120"/>
      <c r="AB77" s="120"/>
      <c r="AC77" s="120"/>
      <c r="AD77" s="120"/>
      <c r="AE77" s="120"/>
      <c r="AF77" s="120"/>
      <c r="AG77" s="120"/>
      <c r="AH77" s="120"/>
      <c r="AI77" s="120"/>
      <c r="AJ77" s="120"/>
      <c r="AK77" s="120"/>
      <c r="AL77" s="120"/>
      <c r="AM77" s="120"/>
      <c r="AN77" s="120"/>
      <c r="AO77" s="120"/>
      <c r="AP77" s="120"/>
      <c r="AQ77" s="120"/>
      <c r="AR77" s="120"/>
      <c r="AS77" s="120"/>
      <c r="AT77" s="120"/>
      <c r="AU77" s="120"/>
      <c r="AV77" s="120"/>
      <c r="AW77" s="120"/>
      <c r="AX77" s="120"/>
      <c r="AY77" s="120"/>
      <c r="AZ77" s="120"/>
      <c r="BA77" s="120"/>
      <c r="BB77" s="120"/>
      <c r="BC77" s="120"/>
      <c r="BD77" s="120"/>
      <c r="BE77" s="120"/>
      <c r="BF77" s="120"/>
      <c r="BG77" s="120"/>
      <c r="BH77" s="120"/>
      <c r="BI77" s="120"/>
      <c r="BJ77" s="120"/>
      <c r="BK77" s="120"/>
      <c r="BL77" s="120"/>
      <c r="BM77" s="120"/>
      <c r="BN77" s="120"/>
      <c r="BO77" s="120"/>
      <c r="BP77" s="120"/>
      <c r="BQ77" s="120"/>
      <c r="BR77" s="120"/>
      <c r="BS77" s="120"/>
      <c r="BT77" s="120"/>
      <c r="BU77" s="120"/>
      <c r="BV77" s="120"/>
      <c r="BW77" s="120"/>
      <c r="BX77" s="120"/>
      <c r="BY77" s="120"/>
      <c r="BZ77" s="120"/>
      <c r="CA77" s="120"/>
      <c r="CB77" s="120"/>
      <c r="CC77" s="120"/>
      <c r="CD77" s="120"/>
      <c r="CE77" s="120"/>
      <c r="CF77" s="120"/>
      <c r="CG77" s="120"/>
      <c r="CH77" s="120"/>
      <c r="CI77" s="120"/>
      <c r="CJ77" s="120"/>
      <c r="CK77" s="120"/>
      <c r="CL77" s="120"/>
      <c r="CM77" s="120"/>
      <c r="CN77" s="120"/>
      <c r="CO77" s="120"/>
      <c r="CP77" s="120"/>
      <c r="CQ77" s="120"/>
      <c r="CR77" s="120"/>
      <c r="CS77" s="120"/>
      <c r="CT77" s="120"/>
      <c r="CU77" s="120"/>
      <c r="CV77" s="120"/>
      <c r="CW77" s="120"/>
      <c r="CX77" s="120"/>
      <c r="CY77" s="120"/>
      <c r="CZ77" s="120"/>
      <c r="DA77" s="120"/>
      <c r="DB77" s="120"/>
      <c r="EE77" s="120"/>
      <c r="EF77" s="120"/>
    </row>
    <row r="78" spans="2:136" ht="13.5" customHeight="1" x14ac:dyDescent="0.25">
      <c r="B78" s="120"/>
      <c r="C78" s="120"/>
      <c r="D78" s="120"/>
      <c r="E78" s="120"/>
      <c r="F78" s="120"/>
      <c r="G78" s="120"/>
      <c r="H78" s="120"/>
      <c r="I78" s="120"/>
      <c r="J78" s="120"/>
      <c r="K78" s="120"/>
      <c r="L78" s="120"/>
      <c r="M78" s="120"/>
      <c r="N78" s="120"/>
      <c r="O78" s="120"/>
      <c r="P78" s="120"/>
      <c r="Q78" s="120"/>
      <c r="R78" s="120"/>
      <c r="S78" s="120"/>
      <c r="T78" s="120"/>
      <c r="U78" s="120"/>
      <c r="V78" s="120"/>
      <c r="W78" s="120"/>
      <c r="X78" s="120"/>
      <c r="Y78" s="120"/>
      <c r="Z78" s="120"/>
      <c r="AA78" s="120"/>
      <c r="AB78" s="120"/>
      <c r="AC78" s="120"/>
      <c r="AD78" s="120"/>
      <c r="AE78" s="120"/>
      <c r="AF78" s="120"/>
      <c r="AG78" s="120"/>
      <c r="AH78" s="120"/>
      <c r="AI78" s="120"/>
      <c r="AJ78" s="120"/>
      <c r="AK78" s="120"/>
      <c r="AL78" s="120"/>
      <c r="AM78" s="120"/>
      <c r="AN78" s="120"/>
      <c r="AO78" s="120"/>
      <c r="AP78" s="120"/>
      <c r="AQ78" s="120"/>
      <c r="AR78" s="120"/>
      <c r="AS78" s="120"/>
      <c r="AT78" s="120"/>
      <c r="AU78" s="120"/>
      <c r="AV78" s="120"/>
      <c r="AW78" s="120"/>
      <c r="AX78" s="120"/>
      <c r="AY78" s="120"/>
      <c r="AZ78" s="120"/>
      <c r="BA78" s="120"/>
      <c r="BB78" s="120"/>
      <c r="BC78" s="120"/>
      <c r="BD78" s="120"/>
      <c r="BE78" s="120"/>
      <c r="BF78" s="120"/>
      <c r="BG78" s="120"/>
      <c r="BH78" s="120"/>
      <c r="BI78" s="120"/>
      <c r="BJ78" s="120"/>
      <c r="BK78" s="120"/>
      <c r="BL78" s="120"/>
      <c r="BM78" s="120"/>
      <c r="BN78" s="120"/>
      <c r="BO78" s="120"/>
      <c r="BP78" s="120"/>
      <c r="BQ78" s="120"/>
      <c r="BR78" s="120"/>
      <c r="BS78" s="120"/>
      <c r="BT78" s="120"/>
      <c r="BU78" s="120"/>
      <c r="BV78" s="120"/>
      <c r="BW78" s="120"/>
      <c r="BX78" s="120"/>
      <c r="BY78" s="120"/>
      <c r="BZ78" s="120"/>
      <c r="CA78" s="120"/>
      <c r="CB78" s="120"/>
      <c r="CC78" s="120"/>
      <c r="CD78" s="120"/>
      <c r="CE78" s="120"/>
      <c r="CF78" s="120"/>
      <c r="CG78" s="120"/>
      <c r="CH78" s="120"/>
      <c r="CI78" s="120"/>
      <c r="CJ78" s="120"/>
      <c r="CK78" s="120"/>
      <c r="CL78" s="120"/>
      <c r="CM78" s="120"/>
      <c r="CN78" s="120"/>
      <c r="CO78" s="120"/>
      <c r="CP78" s="120"/>
      <c r="CQ78" s="120"/>
      <c r="CR78" s="120"/>
      <c r="CS78" s="120"/>
      <c r="CT78" s="120"/>
      <c r="CU78" s="120"/>
      <c r="CV78" s="120"/>
      <c r="CW78" s="120"/>
      <c r="CX78" s="120"/>
      <c r="CY78" s="120"/>
      <c r="CZ78" s="120"/>
      <c r="DA78" s="120"/>
      <c r="DB78" s="120"/>
      <c r="EE78" s="120"/>
      <c r="EF78" s="120"/>
    </row>
    <row r="79" spans="2:136" ht="8.25" customHeight="1" x14ac:dyDescent="0.25">
      <c r="B79" s="120"/>
      <c r="C79" s="120"/>
      <c r="D79" s="120"/>
      <c r="E79" s="120"/>
      <c r="F79" s="120"/>
      <c r="G79" s="120"/>
      <c r="H79" s="120"/>
      <c r="I79" s="120"/>
      <c r="J79" s="120"/>
      <c r="K79" s="120"/>
      <c r="L79" s="120"/>
      <c r="M79" s="120"/>
      <c r="N79" s="120"/>
      <c r="O79" s="120"/>
      <c r="P79" s="120"/>
      <c r="Q79" s="120"/>
      <c r="R79" s="120"/>
      <c r="S79" s="120"/>
      <c r="T79" s="120"/>
      <c r="U79" s="120"/>
      <c r="V79" s="120"/>
      <c r="W79" s="120"/>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120"/>
      <c r="AT79" s="120"/>
      <c r="AU79" s="120"/>
      <c r="AV79" s="120"/>
      <c r="AW79" s="120"/>
      <c r="AX79" s="120"/>
      <c r="AY79" s="120"/>
      <c r="AZ79" s="120"/>
      <c r="BA79" s="120"/>
      <c r="BB79" s="120"/>
      <c r="BC79" s="120"/>
      <c r="BD79" s="120"/>
      <c r="BE79" s="120"/>
      <c r="BF79" s="120"/>
      <c r="BG79" s="120"/>
      <c r="BH79" s="120"/>
      <c r="BI79" s="120"/>
      <c r="BJ79" s="120"/>
      <c r="BK79" s="120"/>
      <c r="BL79" s="120"/>
      <c r="BM79" s="120"/>
      <c r="BN79" s="120"/>
      <c r="BO79" s="120"/>
      <c r="BP79" s="120"/>
      <c r="BQ79" s="120"/>
      <c r="BR79" s="120"/>
      <c r="BS79" s="120"/>
      <c r="BT79" s="120"/>
      <c r="BU79" s="120"/>
      <c r="BV79" s="120"/>
      <c r="BW79" s="120"/>
      <c r="BX79" s="120"/>
      <c r="BY79" s="120"/>
      <c r="BZ79" s="120"/>
      <c r="CA79" s="120"/>
      <c r="CB79" s="120"/>
      <c r="CC79" s="120"/>
      <c r="CD79" s="120"/>
      <c r="CE79" s="120"/>
      <c r="CF79" s="120"/>
      <c r="CG79" s="120"/>
      <c r="CH79" s="120"/>
      <c r="CI79" s="120"/>
      <c r="CJ79" s="120"/>
      <c r="CK79" s="120"/>
      <c r="CL79" s="120"/>
      <c r="CM79" s="120"/>
      <c r="CN79" s="120"/>
      <c r="CO79" s="120"/>
      <c r="CP79" s="120"/>
      <c r="CQ79" s="120"/>
      <c r="CR79" s="120"/>
      <c r="CS79" s="120"/>
      <c r="CT79" s="120"/>
      <c r="CU79" s="120"/>
      <c r="CV79" s="120"/>
      <c r="CW79" s="120"/>
      <c r="CX79" s="120"/>
      <c r="CY79" s="120"/>
      <c r="CZ79" s="120"/>
      <c r="DA79" s="120"/>
      <c r="DB79" s="120"/>
      <c r="EE79" s="120"/>
      <c r="EF79" s="120"/>
    </row>
    <row r="80" spans="2:136" ht="8.25" customHeight="1" x14ac:dyDescent="0.25">
      <c r="B80" s="120"/>
      <c r="C80" s="120"/>
      <c r="D80" s="120"/>
      <c r="E80" s="120"/>
      <c r="F80" s="120"/>
      <c r="G80" s="120"/>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120"/>
      <c r="AT80" s="120"/>
      <c r="AU80" s="120"/>
      <c r="AV80" s="120"/>
      <c r="AW80" s="120"/>
      <c r="AX80" s="120"/>
      <c r="AY80" s="120"/>
      <c r="AZ80" s="120"/>
      <c r="BA80" s="120"/>
      <c r="BB80" s="120"/>
      <c r="BC80" s="120"/>
      <c r="BD80" s="120"/>
      <c r="BE80" s="120"/>
      <c r="BF80" s="120"/>
      <c r="BG80" s="120"/>
      <c r="BH80" s="120"/>
      <c r="BI80" s="120"/>
      <c r="BJ80" s="120"/>
      <c r="BK80" s="120"/>
      <c r="BL80" s="120"/>
      <c r="BM80" s="120"/>
      <c r="BN80" s="120"/>
      <c r="BO80" s="120"/>
      <c r="BP80" s="120"/>
      <c r="BQ80" s="120"/>
      <c r="BR80" s="120"/>
      <c r="BS80" s="120"/>
      <c r="BT80" s="120"/>
      <c r="BU80" s="120"/>
      <c r="BV80" s="120"/>
      <c r="BW80" s="120"/>
      <c r="BX80" s="120"/>
      <c r="BY80" s="120"/>
      <c r="BZ80" s="120"/>
      <c r="CA80" s="120"/>
      <c r="CB80" s="120"/>
      <c r="CC80" s="120"/>
      <c r="CD80" s="120"/>
      <c r="CE80" s="120"/>
      <c r="CF80" s="120"/>
      <c r="CG80" s="120"/>
      <c r="CH80" s="120"/>
      <c r="CI80" s="120"/>
      <c r="CJ80" s="120"/>
      <c r="CK80" s="120"/>
      <c r="CL80" s="120"/>
      <c r="CM80" s="120"/>
      <c r="CN80" s="120"/>
      <c r="CO80" s="120"/>
      <c r="CP80" s="120"/>
      <c r="CQ80" s="120"/>
      <c r="CR80" s="120"/>
      <c r="CS80" s="120"/>
      <c r="CT80" s="120"/>
      <c r="CU80" s="120"/>
      <c r="CV80" s="120"/>
      <c r="CW80" s="120"/>
      <c r="CX80" s="120"/>
      <c r="CY80" s="120"/>
      <c r="CZ80" s="120"/>
      <c r="DA80" s="120"/>
      <c r="DB80" s="120"/>
      <c r="EE80" s="120"/>
      <c r="EF80" s="120"/>
    </row>
    <row r="81" spans="2:136" ht="8.25" customHeight="1" x14ac:dyDescent="0.25">
      <c r="B81" s="120"/>
      <c r="C81" s="120"/>
      <c r="D81" s="120"/>
      <c r="E81" s="120"/>
      <c r="F81" s="120"/>
      <c r="G81" s="120"/>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120"/>
      <c r="AH81" s="120"/>
      <c r="AI81" s="120"/>
      <c r="AJ81" s="120"/>
      <c r="AK81" s="120"/>
      <c r="AL81" s="120"/>
      <c r="AM81" s="120"/>
      <c r="AN81" s="120"/>
      <c r="AO81" s="120"/>
      <c r="AP81" s="120"/>
      <c r="AQ81" s="120"/>
      <c r="AR81" s="120"/>
      <c r="AS81" s="120"/>
      <c r="AT81" s="120"/>
      <c r="AU81" s="120"/>
      <c r="AV81" s="120"/>
      <c r="AW81" s="120"/>
      <c r="AX81" s="120"/>
      <c r="AY81" s="120"/>
      <c r="AZ81" s="120"/>
      <c r="BA81" s="120"/>
      <c r="BB81" s="120"/>
      <c r="BC81" s="120"/>
      <c r="BD81" s="120"/>
      <c r="BE81" s="120"/>
      <c r="BF81" s="120"/>
      <c r="BG81" s="120"/>
      <c r="BH81" s="120"/>
      <c r="BI81" s="120"/>
      <c r="BJ81" s="120"/>
      <c r="BK81" s="120"/>
      <c r="BL81" s="120"/>
      <c r="BM81" s="120"/>
      <c r="BN81" s="120"/>
      <c r="BO81" s="120"/>
      <c r="BP81" s="120"/>
      <c r="BQ81" s="120"/>
      <c r="BR81" s="120"/>
      <c r="BS81" s="120"/>
      <c r="BT81" s="120"/>
      <c r="BU81" s="120"/>
      <c r="BV81" s="120"/>
      <c r="BW81" s="120"/>
      <c r="BX81" s="120"/>
      <c r="BY81" s="120"/>
      <c r="BZ81" s="120"/>
      <c r="CA81" s="120"/>
      <c r="CB81" s="120"/>
      <c r="CC81" s="120"/>
      <c r="CD81" s="120"/>
      <c r="CE81" s="120"/>
      <c r="CF81" s="120"/>
      <c r="CG81" s="120"/>
      <c r="CH81" s="120"/>
      <c r="CI81" s="120"/>
      <c r="CJ81" s="120"/>
      <c r="CK81" s="120"/>
      <c r="CL81" s="120"/>
      <c r="CM81" s="120"/>
      <c r="CN81" s="120"/>
      <c r="CO81" s="120"/>
      <c r="CP81" s="120"/>
      <c r="CQ81" s="120"/>
      <c r="CR81" s="120"/>
      <c r="CS81" s="120"/>
      <c r="CT81" s="120"/>
      <c r="CU81" s="120"/>
      <c r="CV81" s="120"/>
      <c r="CW81" s="120"/>
      <c r="CX81" s="120"/>
      <c r="CY81" s="120"/>
      <c r="CZ81" s="120"/>
      <c r="DA81" s="120"/>
      <c r="DB81" s="120"/>
      <c r="EE81" s="120"/>
      <c r="EF81" s="120"/>
    </row>
    <row r="82" spans="2:136" ht="8.25" customHeight="1" x14ac:dyDescent="0.25">
      <c r="B82" s="120"/>
      <c r="C82" s="120"/>
      <c r="D82" s="120"/>
      <c r="E82" s="120"/>
      <c r="F82" s="120"/>
      <c r="G82" s="120"/>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120"/>
      <c r="AH82" s="120"/>
      <c r="AI82" s="120"/>
      <c r="AJ82" s="120"/>
      <c r="AK82" s="120"/>
      <c r="AL82" s="120"/>
      <c r="AM82" s="120"/>
      <c r="AN82" s="120"/>
      <c r="AO82" s="120"/>
      <c r="AP82" s="120"/>
      <c r="AQ82" s="120"/>
      <c r="AR82" s="120"/>
      <c r="AS82" s="120"/>
      <c r="AT82" s="120"/>
      <c r="AU82" s="120"/>
      <c r="AV82" s="120"/>
      <c r="AW82" s="120"/>
      <c r="AX82" s="120"/>
      <c r="AY82" s="120"/>
      <c r="AZ82" s="120"/>
      <c r="BA82" s="120"/>
      <c r="BB82" s="120"/>
      <c r="BC82" s="120"/>
      <c r="BD82" s="120"/>
      <c r="BE82" s="120"/>
      <c r="BF82" s="120"/>
      <c r="BG82" s="120"/>
      <c r="BH82" s="120"/>
      <c r="BI82" s="120"/>
      <c r="BJ82" s="120"/>
      <c r="BK82" s="120"/>
      <c r="BL82" s="120"/>
      <c r="BM82" s="120"/>
      <c r="BN82" s="120"/>
      <c r="BO82" s="120"/>
      <c r="BP82" s="120"/>
      <c r="BQ82" s="120"/>
      <c r="BR82" s="120"/>
      <c r="BS82" s="120"/>
      <c r="BT82" s="120"/>
      <c r="BU82" s="120"/>
      <c r="BV82" s="120"/>
      <c r="BW82" s="120"/>
      <c r="BX82" s="120"/>
      <c r="BY82" s="120"/>
      <c r="BZ82" s="120"/>
      <c r="CA82" s="120"/>
      <c r="CB82" s="120"/>
      <c r="CC82" s="120"/>
      <c r="CD82" s="120"/>
      <c r="CE82" s="120"/>
      <c r="CF82" s="120"/>
      <c r="CG82" s="120"/>
      <c r="CH82" s="120"/>
      <c r="CI82" s="120"/>
      <c r="CJ82" s="120"/>
      <c r="CK82" s="120"/>
      <c r="CL82" s="120"/>
      <c r="CM82" s="120"/>
      <c r="CN82" s="120"/>
      <c r="CO82" s="120"/>
      <c r="CP82" s="120"/>
      <c r="CQ82" s="120"/>
      <c r="CR82" s="120"/>
      <c r="CS82" s="120"/>
      <c r="CT82" s="120"/>
      <c r="CU82" s="120"/>
      <c r="CV82" s="120"/>
      <c r="CW82" s="120"/>
      <c r="CX82" s="120"/>
      <c r="CY82" s="120"/>
      <c r="CZ82" s="120"/>
      <c r="DA82" s="120"/>
      <c r="DB82" s="120"/>
      <c r="EE82" s="120"/>
      <c r="EF82" s="120"/>
    </row>
    <row r="83" spans="2:136" ht="8.25" customHeight="1" x14ac:dyDescent="0.25">
      <c r="B83" s="120"/>
      <c r="C83" s="120"/>
      <c r="D83" s="120"/>
      <c r="E83" s="120"/>
      <c r="F83" s="120"/>
      <c r="G83" s="120"/>
      <c r="H83" s="120"/>
      <c r="I83" s="120"/>
      <c r="J83" s="120"/>
      <c r="K83" s="120"/>
      <c r="L83" s="120"/>
      <c r="M83" s="120"/>
      <c r="N83" s="120"/>
      <c r="O83" s="120"/>
      <c r="P83" s="120"/>
      <c r="Q83" s="120"/>
      <c r="R83" s="120"/>
      <c r="S83" s="120"/>
      <c r="T83" s="120"/>
      <c r="U83" s="120"/>
      <c r="V83" s="120"/>
      <c r="W83" s="120"/>
      <c r="X83" s="120"/>
      <c r="Y83" s="120"/>
      <c r="Z83" s="120"/>
      <c r="AA83" s="120"/>
      <c r="AB83" s="120"/>
      <c r="AC83" s="120"/>
      <c r="AD83" s="120"/>
      <c r="AE83" s="120"/>
      <c r="AF83" s="120"/>
      <c r="AG83" s="120"/>
      <c r="AH83" s="120"/>
      <c r="AI83" s="120"/>
      <c r="AJ83" s="120"/>
      <c r="AK83" s="120"/>
      <c r="AL83" s="120"/>
      <c r="AM83" s="120"/>
      <c r="AN83" s="120"/>
      <c r="AO83" s="120"/>
      <c r="AP83" s="120"/>
      <c r="AQ83" s="120"/>
      <c r="AR83" s="120"/>
      <c r="AS83" s="120"/>
      <c r="AT83" s="120"/>
      <c r="AU83" s="120"/>
      <c r="AV83" s="120"/>
      <c r="AW83" s="120"/>
      <c r="AX83" s="120"/>
      <c r="AY83" s="120"/>
      <c r="AZ83" s="120"/>
      <c r="BA83" s="120"/>
      <c r="BB83" s="120"/>
      <c r="BC83" s="120"/>
      <c r="BD83" s="120"/>
      <c r="BE83" s="120"/>
      <c r="BF83" s="120"/>
      <c r="BG83" s="120"/>
      <c r="BH83" s="120"/>
      <c r="BI83" s="120"/>
      <c r="BJ83" s="120"/>
      <c r="BK83" s="120"/>
      <c r="BL83" s="120"/>
      <c r="BM83" s="120"/>
      <c r="BN83" s="120"/>
      <c r="BO83" s="120"/>
      <c r="BP83" s="120"/>
      <c r="BQ83" s="120"/>
      <c r="BR83" s="120"/>
      <c r="BS83" s="120"/>
      <c r="BT83" s="120"/>
      <c r="BU83" s="120"/>
      <c r="BV83" s="120"/>
      <c r="BW83" s="120"/>
      <c r="BX83" s="120"/>
      <c r="BY83" s="120"/>
      <c r="BZ83" s="120"/>
      <c r="CA83" s="120"/>
      <c r="CB83" s="120"/>
      <c r="CC83" s="120"/>
      <c r="CD83" s="120"/>
      <c r="CE83" s="120"/>
      <c r="CF83" s="120"/>
      <c r="CG83" s="120"/>
      <c r="CH83" s="120"/>
      <c r="CI83" s="120"/>
      <c r="CJ83" s="120"/>
      <c r="CK83" s="120"/>
      <c r="CL83" s="120"/>
      <c r="CM83" s="120"/>
      <c r="CN83" s="120"/>
      <c r="CO83" s="120"/>
      <c r="CP83" s="120"/>
      <c r="CQ83" s="120"/>
      <c r="CR83" s="120"/>
      <c r="CS83" s="120"/>
      <c r="CT83" s="120"/>
      <c r="CU83" s="120"/>
      <c r="CV83" s="120"/>
      <c r="CW83" s="120"/>
      <c r="CX83" s="120"/>
      <c r="CY83" s="120"/>
      <c r="CZ83" s="120"/>
      <c r="DA83" s="120"/>
      <c r="DB83" s="120"/>
      <c r="EE83" s="120"/>
      <c r="EF83" s="120"/>
    </row>
    <row r="84" spans="2:136" ht="8.25" customHeight="1" x14ac:dyDescent="0.25">
      <c r="B84" s="120"/>
      <c r="C84" s="120"/>
      <c r="D84" s="120"/>
      <c r="E84" s="120"/>
      <c r="F84" s="120"/>
      <c r="G84" s="120"/>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120"/>
      <c r="AH84" s="120"/>
      <c r="AI84" s="120"/>
      <c r="AJ84" s="120"/>
      <c r="AK84" s="120"/>
      <c r="AL84" s="120"/>
      <c r="AM84" s="120"/>
      <c r="AN84" s="120"/>
      <c r="AO84" s="120"/>
      <c r="AP84" s="120"/>
      <c r="AQ84" s="120"/>
      <c r="AR84" s="120"/>
      <c r="AS84" s="120"/>
      <c r="AT84" s="120"/>
      <c r="AU84" s="120"/>
      <c r="AV84" s="120"/>
      <c r="AW84" s="120"/>
      <c r="AX84" s="120"/>
      <c r="AY84" s="120"/>
      <c r="AZ84" s="120"/>
      <c r="BA84" s="120"/>
      <c r="BB84" s="120"/>
      <c r="BC84" s="120"/>
      <c r="BD84" s="120"/>
      <c r="BE84" s="120"/>
      <c r="BF84" s="120"/>
      <c r="BG84" s="120"/>
      <c r="BH84" s="120"/>
      <c r="BI84" s="120"/>
      <c r="BJ84" s="120"/>
      <c r="BK84" s="120"/>
      <c r="BL84" s="120"/>
      <c r="BM84" s="120"/>
      <c r="BN84" s="120"/>
      <c r="BO84" s="120"/>
      <c r="BP84" s="120"/>
      <c r="BQ84" s="120"/>
      <c r="BR84" s="120"/>
      <c r="BS84" s="120"/>
      <c r="BT84" s="120"/>
      <c r="BU84" s="120"/>
      <c r="BV84" s="120"/>
      <c r="BW84" s="120"/>
      <c r="BX84" s="120"/>
      <c r="BY84" s="120"/>
      <c r="BZ84" s="120"/>
      <c r="CA84" s="120"/>
      <c r="CB84" s="120"/>
      <c r="CC84" s="120"/>
      <c r="CD84" s="120"/>
      <c r="CE84" s="120"/>
      <c r="CF84" s="120"/>
      <c r="CG84" s="120"/>
      <c r="CH84" s="120"/>
      <c r="CI84" s="120"/>
      <c r="CJ84" s="120"/>
      <c r="CK84" s="120"/>
      <c r="CL84" s="120"/>
      <c r="CM84" s="120"/>
      <c r="CN84" s="120"/>
      <c r="CO84" s="120"/>
      <c r="CP84" s="120"/>
      <c r="CQ84" s="120"/>
      <c r="CR84" s="120"/>
      <c r="CS84" s="120"/>
      <c r="CT84" s="120"/>
      <c r="CU84" s="120"/>
      <c r="CV84" s="120"/>
      <c r="CW84" s="120"/>
      <c r="CX84" s="120"/>
      <c r="CY84" s="120"/>
      <c r="CZ84" s="120"/>
      <c r="DA84" s="120"/>
      <c r="DB84" s="120"/>
      <c r="EE84" s="120"/>
      <c r="EF84" s="120"/>
    </row>
    <row r="85" spans="2:136" ht="8.25" customHeight="1" x14ac:dyDescent="0.25">
      <c r="B85" s="120"/>
      <c r="C85" s="120"/>
      <c r="D85" s="120"/>
      <c r="E85" s="120"/>
      <c r="F85" s="120"/>
      <c r="G85" s="120"/>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120"/>
      <c r="AH85" s="120"/>
      <c r="AI85" s="120"/>
      <c r="AJ85" s="120"/>
      <c r="AK85" s="120"/>
      <c r="AL85" s="120"/>
      <c r="AM85" s="120"/>
      <c r="AN85" s="120"/>
      <c r="AO85" s="120"/>
      <c r="AP85" s="120"/>
      <c r="AQ85" s="120"/>
      <c r="AR85" s="120"/>
      <c r="AS85" s="120"/>
      <c r="AT85" s="120"/>
      <c r="AU85" s="120"/>
      <c r="AV85" s="120"/>
      <c r="AW85" s="120"/>
      <c r="AX85" s="120"/>
      <c r="AY85" s="120"/>
      <c r="AZ85" s="120"/>
      <c r="BA85" s="120"/>
      <c r="BB85" s="120"/>
      <c r="BC85" s="120"/>
      <c r="BD85" s="120"/>
      <c r="BE85" s="120"/>
      <c r="BF85" s="120"/>
      <c r="BG85" s="120"/>
      <c r="BH85" s="120"/>
      <c r="BI85" s="120"/>
      <c r="BJ85" s="120"/>
      <c r="BK85" s="120"/>
      <c r="BL85" s="120"/>
      <c r="BM85" s="120"/>
      <c r="BN85" s="120"/>
      <c r="BO85" s="120"/>
      <c r="BP85" s="120"/>
      <c r="BQ85" s="120"/>
      <c r="BR85" s="120"/>
      <c r="BS85" s="120"/>
      <c r="BT85" s="120"/>
      <c r="BU85" s="120"/>
      <c r="BV85" s="120"/>
      <c r="BW85" s="120"/>
      <c r="BX85" s="120"/>
      <c r="BY85" s="120"/>
      <c r="BZ85" s="120"/>
      <c r="CA85" s="120"/>
      <c r="CB85" s="120"/>
      <c r="CC85" s="120"/>
      <c r="CD85" s="120"/>
      <c r="CE85" s="120"/>
      <c r="CF85" s="120"/>
      <c r="CG85" s="120"/>
      <c r="CH85" s="120"/>
      <c r="CI85" s="120"/>
      <c r="CJ85" s="120"/>
      <c r="CK85" s="120"/>
      <c r="CL85" s="120"/>
      <c r="CM85" s="120"/>
      <c r="CN85" s="120"/>
      <c r="CO85" s="120"/>
      <c r="CP85" s="120"/>
      <c r="CQ85" s="120"/>
      <c r="CR85" s="120"/>
      <c r="CS85" s="120"/>
      <c r="CT85" s="120"/>
      <c r="CU85" s="120"/>
      <c r="CV85" s="120"/>
      <c r="CW85" s="120"/>
      <c r="CX85" s="120"/>
      <c r="CY85" s="120"/>
      <c r="CZ85" s="120"/>
      <c r="DA85" s="120"/>
      <c r="DB85" s="120"/>
      <c r="EE85" s="120"/>
      <c r="EF85" s="120"/>
    </row>
    <row r="86" spans="2:136" ht="8.25" customHeight="1" x14ac:dyDescent="0.25">
      <c r="B86" s="120"/>
      <c r="C86" s="120"/>
      <c r="D86" s="120"/>
      <c r="E86" s="120"/>
      <c r="F86" s="120"/>
      <c r="G86" s="120"/>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120"/>
      <c r="AH86" s="120"/>
      <c r="AI86" s="120"/>
      <c r="AJ86" s="120"/>
      <c r="AK86" s="120"/>
      <c r="AL86" s="120"/>
      <c r="AM86" s="120"/>
      <c r="AN86" s="120"/>
      <c r="AO86" s="120"/>
      <c r="AP86" s="120"/>
      <c r="AQ86" s="120"/>
      <c r="AR86" s="120"/>
      <c r="AS86" s="120"/>
      <c r="AT86" s="120"/>
      <c r="AU86" s="120"/>
      <c r="AV86" s="120"/>
      <c r="AW86" s="120"/>
      <c r="AX86" s="120"/>
      <c r="AY86" s="120"/>
      <c r="AZ86" s="120"/>
      <c r="BA86" s="120"/>
      <c r="BB86" s="120"/>
      <c r="BC86" s="120"/>
      <c r="BD86" s="120"/>
      <c r="BE86" s="120"/>
      <c r="BF86" s="120"/>
      <c r="BG86" s="120"/>
      <c r="BH86" s="120"/>
      <c r="BI86" s="120"/>
      <c r="BJ86" s="120"/>
      <c r="BK86" s="120"/>
      <c r="BL86" s="120"/>
      <c r="BM86" s="120"/>
      <c r="BN86" s="120"/>
      <c r="BO86" s="120"/>
      <c r="BP86" s="120"/>
      <c r="BQ86" s="120"/>
      <c r="BR86" s="120"/>
      <c r="BS86" s="120"/>
      <c r="BT86" s="120"/>
      <c r="BU86" s="120"/>
      <c r="BV86" s="120"/>
      <c r="BW86" s="120"/>
      <c r="BX86" s="120"/>
      <c r="BY86" s="120"/>
      <c r="BZ86" s="120"/>
      <c r="CA86" s="120"/>
      <c r="CB86" s="120"/>
      <c r="CC86" s="120"/>
      <c r="CD86" s="120"/>
      <c r="CE86" s="120"/>
      <c r="CF86" s="120"/>
      <c r="CG86" s="120"/>
      <c r="CH86" s="120"/>
      <c r="CI86" s="120"/>
      <c r="CJ86" s="120"/>
      <c r="CK86" s="120"/>
      <c r="CL86" s="120"/>
      <c r="CM86" s="120"/>
      <c r="CN86" s="120"/>
      <c r="CO86" s="120"/>
      <c r="CP86" s="120"/>
      <c r="CQ86" s="120"/>
      <c r="CR86" s="120"/>
      <c r="CS86" s="120"/>
      <c r="CT86" s="120"/>
      <c r="CU86" s="120"/>
      <c r="CV86" s="120"/>
      <c r="CW86" s="120"/>
      <c r="CX86" s="120"/>
      <c r="CY86" s="120"/>
      <c r="CZ86" s="120"/>
      <c r="DA86" s="120"/>
      <c r="DB86" s="120"/>
      <c r="EE86" s="120"/>
      <c r="EF86" s="120"/>
    </row>
    <row r="87" spans="2:136" ht="8.25" customHeight="1" x14ac:dyDescent="0.25">
      <c r="B87" s="120"/>
      <c r="C87" s="120"/>
      <c r="D87" s="120"/>
      <c r="E87" s="120"/>
      <c r="F87" s="120"/>
      <c r="G87" s="120"/>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120"/>
      <c r="AH87" s="120"/>
      <c r="AI87" s="120"/>
      <c r="AJ87" s="120"/>
      <c r="AK87" s="120"/>
      <c r="AL87" s="120"/>
      <c r="AM87" s="120"/>
      <c r="AN87" s="120"/>
      <c r="AO87" s="120"/>
      <c r="AP87" s="120"/>
      <c r="AQ87" s="120"/>
      <c r="AR87" s="120"/>
      <c r="AS87" s="120"/>
      <c r="AT87" s="120"/>
      <c r="AU87" s="120"/>
      <c r="AV87" s="120"/>
      <c r="AW87" s="120"/>
      <c r="AX87" s="120"/>
      <c r="AY87" s="120"/>
      <c r="AZ87" s="120"/>
      <c r="BA87" s="120"/>
      <c r="BB87" s="120"/>
      <c r="BC87" s="120"/>
      <c r="BD87" s="120"/>
      <c r="BE87" s="120"/>
      <c r="BF87" s="120"/>
      <c r="BG87" s="120"/>
      <c r="BH87" s="120"/>
      <c r="BI87" s="120"/>
      <c r="BJ87" s="120"/>
      <c r="BK87" s="120"/>
      <c r="BL87" s="120"/>
      <c r="BM87" s="120"/>
      <c r="BN87" s="120"/>
      <c r="BO87" s="120"/>
      <c r="BP87" s="120"/>
      <c r="BQ87" s="120"/>
      <c r="BR87" s="120"/>
      <c r="BS87" s="120"/>
      <c r="BT87" s="120"/>
      <c r="BU87" s="120"/>
      <c r="BV87" s="120"/>
      <c r="BW87" s="120"/>
      <c r="BX87" s="120"/>
      <c r="BY87" s="120"/>
      <c r="BZ87" s="120"/>
      <c r="CA87" s="120"/>
      <c r="CB87" s="120"/>
      <c r="CC87" s="120"/>
      <c r="CD87" s="120"/>
      <c r="CE87" s="120"/>
      <c r="CF87" s="120"/>
      <c r="CG87" s="120"/>
      <c r="CH87" s="120"/>
      <c r="CI87" s="120"/>
      <c r="CJ87" s="120"/>
      <c r="CK87" s="120"/>
      <c r="CL87" s="120"/>
      <c r="CM87" s="120"/>
      <c r="CN87" s="120"/>
      <c r="CO87" s="120"/>
      <c r="CP87" s="120"/>
      <c r="CQ87" s="120"/>
      <c r="CR87" s="120"/>
      <c r="CS87" s="120"/>
      <c r="CT87" s="120"/>
      <c r="CU87" s="120"/>
      <c r="CV87" s="120"/>
      <c r="CW87" s="120"/>
      <c r="CX87" s="120"/>
      <c r="CY87" s="120"/>
      <c r="CZ87" s="120"/>
      <c r="DA87" s="120"/>
      <c r="DB87" s="120"/>
      <c r="EE87" s="120"/>
      <c r="EF87" s="120"/>
    </row>
    <row r="88" spans="2:136" ht="8.25" customHeight="1" x14ac:dyDescent="0.25">
      <c r="B88" s="120"/>
      <c r="C88" s="120"/>
      <c r="D88" s="120"/>
      <c r="E88" s="120"/>
      <c r="F88" s="120"/>
      <c r="G88" s="120"/>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120"/>
      <c r="AH88" s="120"/>
      <c r="AI88" s="120"/>
      <c r="AJ88" s="120"/>
      <c r="AK88" s="120"/>
      <c r="AL88" s="120"/>
      <c r="AM88" s="120"/>
      <c r="AN88" s="120"/>
      <c r="AO88" s="120"/>
      <c r="AP88" s="120"/>
      <c r="AQ88" s="120"/>
      <c r="AR88" s="120"/>
      <c r="AS88" s="120"/>
      <c r="AT88" s="120"/>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c r="BR88" s="120"/>
      <c r="BS88" s="120"/>
      <c r="BT88" s="120"/>
      <c r="BU88" s="120"/>
      <c r="BV88" s="120"/>
      <c r="BW88" s="120"/>
      <c r="BX88" s="120"/>
      <c r="BY88" s="120"/>
      <c r="BZ88" s="120"/>
      <c r="CA88" s="120"/>
      <c r="CB88" s="120"/>
      <c r="CC88" s="120"/>
      <c r="CD88" s="120"/>
      <c r="CE88" s="120"/>
      <c r="CF88" s="120"/>
      <c r="CG88" s="120"/>
      <c r="CH88" s="120"/>
      <c r="CI88" s="120"/>
      <c r="CJ88" s="120"/>
      <c r="CK88" s="120"/>
      <c r="CL88" s="120"/>
      <c r="CM88" s="120"/>
      <c r="CN88" s="120"/>
      <c r="CO88" s="120"/>
      <c r="CP88" s="120"/>
      <c r="CQ88" s="120"/>
      <c r="CR88" s="120"/>
      <c r="CS88" s="120"/>
      <c r="CT88" s="120"/>
      <c r="CU88" s="120"/>
      <c r="CV88" s="120"/>
      <c r="CW88" s="120"/>
      <c r="CX88" s="120"/>
      <c r="CY88" s="120"/>
      <c r="CZ88" s="120"/>
      <c r="DA88" s="120"/>
      <c r="DB88" s="120"/>
      <c r="EE88" s="120"/>
      <c r="EF88" s="120"/>
    </row>
    <row r="89" spans="2:136" ht="8.25" customHeight="1" x14ac:dyDescent="0.25">
      <c r="B89" s="120"/>
      <c r="C89" s="120"/>
      <c r="D89" s="120"/>
      <c r="E89" s="120"/>
      <c r="F89" s="120"/>
      <c r="G89" s="120"/>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120"/>
      <c r="AH89" s="120"/>
      <c r="AI89" s="120"/>
      <c r="AJ89" s="120"/>
      <c r="AK89" s="120"/>
      <c r="AL89" s="120"/>
      <c r="AM89" s="120"/>
      <c r="AN89" s="120"/>
      <c r="AO89" s="120"/>
      <c r="AP89" s="120"/>
      <c r="AQ89" s="120"/>
      <c r="AR89" s="120"/>
      <c r="AS89" s="120"/>
      <c r="AT89" s="120"/>
      <c r="AU89" s="120"/>
      <c r="AV89" s="120"/>
      <c r="AW89" s="120"/>
      <c r="AX89" s="120"/>
      <c r="AY89" s="120"/>
      <c r="AZ89" s="120"/>
      <c r="BA89" s="120"/>
      <c r="BB89" s="120"/>
      <c r="BC89" s="120"/>
      <c r="BD89" s="120"/>
      <c r="BE89" s="120"/>
      <c r="BF89" s="120"/>
      <c r="BG89" s="120"/>
      <c r="BH89" s="120"/>
      <c r="BI89" s="120"/>
      <c r="BJ89" s="120"/>
      <c r="BK89" s="120"/>
      <c r="BL89" s="120"/>
      <c r="BM89" s="120"/>
      <c r="BN89" s="120"/>
      <c r="BO89" s="120"/>
      <c r="BP89" s="120"/>
      <c r="BQ89" s="120"/>
      <c r="BR89" s="120"/>
      <c r="BS89" s="120"/>
      <c r="BT89" s="120"/>
      <c r="BU89" s="120"/>
      <c r="BV89" s="120"/>
      <c r="BW89" s="120"/>
      <c r="BX89" s="120"/>
      <c r="BY89" s="120"/>
      <c r="BZ89" s="120"/>
      <c r="CA89" s="120"/>
      <c r="CB89" s="120"/>
      <c r="CC89" s="120"/>
      <c r="CD89" s="120"/>
      <c r="CE89" s="120"/>
      <c r="CF89" s="120"/>
      <c r="CG89" s="120"/>
      <c r="CH89" s="120"/>
      <c r="CI89" s="120"/>
      <c r="CJ89" s="120"/>
      <c r="CK89" s="120"/>
      <c r="CL89" s="120"/>
      <c r="CM89" s="120"/>
      <c r="CN89" s="120"/>
      <c r="CO89" s="120"/>
      <c r="CP89" s="120"/>
      <c r="CQ89" s="120"/>
      <c r="CR89" s="120"/>
      <c r="CS89" s="120"/>
      <c r="CT89" s="120"/>
      <c r="CU89" s="120"/>
      <c r="CV89" s="120"/>
      <c r="CW89" s="120"/>
      <c r="CX89" s="120"/>
      <c r="CY89" s="120"/>
      <c r="CZ89" s="120"/>
      <c r="DA89" s="120"/>
      <c r="DB89" s="120"/>
      <c r="EE89" s="120"/>
      <c r="EF89" s="120"/>
    </row>
    <row r="90" spans="2:136" ht="8.25" customHeight="1" x14ac:dyDescent="0.25">
      <c r="B90" s="120"/>
      <c r="C90" s="120"/>
      <c r="D90" s="120"/>
      <c r="E90" s="120"/>
      <c r="F90" s="120"/>
      <c r="G90" s="120"/>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120"/>
      <c r="AH90" s="120"/>
      <c r="AI90" s="120"/>
      <c r="AJ90" s="120"/>
      <c r="AK90" s="120"/>
      <c r="AL90" s="120"/>
      <c r="AM90" s="120"/>
      <c r="AN90" s="120"/>
      <c r="AO90" s="120"/>
      <c r="AP90" s="120"/>
      <c r="AQ90" s="120"/>
      <c r="AR90" s="120"/>
      <c r="AS90" s="120"/>
      <c r="AT90" s="120"/>
      <c r="AU90" s="120"/>
      <c r="AV90" s="120"/>
      <c r="AW90" s="120"/>
      <c r="AX90" s="120"/>
      <c r="AY90" s="120"/>
      <c r="AZ90" s="120"/>
      <c r="BA90" s="120"/>
      <c r="BB90" s="120"/>
      <c r="BC90" s="120"/>
      <c r="BD90" s="120"/>
      <c r="BE90" s="120"/>
      <c r="BF90" s="120"/>
      <c r="BG90" s="120"/>
      <c r="BH90" s="120"/>
      <c r="BI90" s="120"/>
      <c r="BJ90" s="120"/>
      <c r="BK90" s="120"/>
      <c r="BL90" s="120"/>
      <c r="BM90" s="120"/>
      <c r="BN90" s="120"/>
      <c r="BO90" s="120"/>
      <c r="BP90" s="120"/>
      <c r="BQ90" s="120"/>
      <c r="BR90" s="120"/>
      <c r="BS90" s="120"/>
      <c r="BT90" s="120"/>
      <c r="BU90" s="120"/>
      <c r="BV90" s="120"/>
      <c r="BW90" s="120"/>
      <c r="BX90" s="120"/>
      <c r="BY90" s="120"/>
      <c r="BZ90" s="120"/>
      <c r="CA90" s="120"/>
      <c r="CB90" s="120"/>
      <c r="CC90" s="120"/>
      <c r="CD90" s="120"/>
      <c r="CE90" s="120"/>
      <c r="CF90" s="120"/>
      <c r="CG90" s="120"/>
      <c r="CH90" s="120"/>
      <c r="CI90" s="120"/>
      <c r="CJ90" s="120"/>
      <c r="CK90" s="120"/>
      <c r="CL90" s="120"/>
      <c r="CM90" s="120"/>
      <c r="CN90" s="120"/>
      <c r="CO90" s="120"/>
      <c r="CP90" s="120"/>
      <c r="CQ90" s="120"/>
      <c r="CR90" s="120"/>
      <c r="CS90" s="120"/>
      <c r="CT90" s="120"/>
      <c r="CU90" s="120"/>
      <c r="CV90" s="120"/>
      <c r="CW90" s="120"/>
      <c r="CX90" s="120"/>
      <c r="CY90" s="120"/>
      <c r="CZ90" s="120"/>
      <c r="DA90" s="120"/>
      <c r="DB90" s="120"/>
      <c r="EE90" s="120"/>
      <c r="EF90" s="120"/>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sheetData>
  <sheetProtection selectLockedCells="1" selectUnlockedCells="1"/>
  <mergeCells count="59">
    <mergeCell ref="D53:P53"/>
    <mergeCell ref="D52:P52"/>
    <mergeCell ref="D27:P28"/>
    <mergeCell ref="D51:P51"/>
    <mergeCell ref="D50:P50"/>
    <mergeCell ref="D49:P49"/>
    <mergeCell ref="D48:P48"/>
    <mergeCell ref="D47:P47"/>
    <mergeCell ref="D35:P37"/>
    <mergeCell ref="D38:P40"/>
    <mergeCell ref="D41:P43"/>
    <mergeCell ref="D32:P34"/>
    <mergeCell ref="D29:P31"/>
    <mergeCell ref="CQ51:CV55"/>
    <mergeCell ref="BI51:CB54"/>
    <mergeCell ref="B5:F8"/>
    <mergeCell ref="BT25:CA27"/>
    <mergeCell ref="BX31:CE33"/>
    <mergeCell ref="BX38:CE40"/>
    <mergeCell ref="BX47:CE49"/>
    <mergeCell ref="W49:AD51"/>
    <mergeCell ref="AB37:AI39"/>
    <mergeCell ref="AN34:AU36"/>
    <mergeCell ref="AU29:BB31"/>
    <mergeCell ref="AT40:BA42"/>
    <mergeCell ref="AT47:BA49"/>
    <mergeCell ref="BA35:BH37"/>
    <mergeCell ref="BD28:BK30"/>
    <mergeCell ref="C11:J13"/>
    <mergeCell ref="N15:U17"/>
    <mergeCell ref="AF14:AM16"/>
    <mergeCell ref="W16:AD18"/>
    <mergeCell ref="AW9:BD11"/>
    <mergeCell ref="AO13:AV15"/>
    <mergeCell ref="AK18:AR20"/>
    <mergeCell ref="AT19:BA21"/>
    <mergeCell ref="BC15:BJ17"/>
    <mergeCell ref="BJ21:BQ23"/>
    <mergeCell ref="BM16:BT18"/>
    <mergeCell ref="BR12:BY14"/>
    <mergeCell ref="BY16:CF18"/>
    <mergeCell ref="CA20:CH22"/>
    <mergeCell ref="BF6:CU9"/>
    <mergeCell ref="CI44:CP46"/>
    <mergeCell ref="CI37:CP39"/>
    <mergeCell ref="AJ7:AQ9"/>
    <mergeCell ref="BN31:BU33"/>
    <mergeCell ref="O9:V11"/>
    <mergeCell ref="M20:T22"/>
    <mergeCell ref="S27:Z29"/>
    <mergeCell ref="X22:AE24"/>
    <mergeCell ref="AL24:AS26"/>
    <mergeCell ref="AU23:BB25"/>
    <mergeCell ref="CB11:CI13"/>
    <mergeCell ref="U31:AB33"/>
    <mergeCell ref="S39:Z41"/>
    <mergeCell ref="BE46:BL48"/>
    <mergeCell ref="CM12:CT14"/>
    <mergeCell ref="CJ23:CQ25"/>
  </mergeCells>
  <conditionalFormatting sqref="A4:A56 B4:CW4 CW5:CW56 B56:CV56">
    <cfRule type="expression" dxfId="425" priority="407">
      <formula>$DE$5="Yellow"</formula>
    </cfRule>
    <cfRule type="expression" dxfId="424" priority="408">
      <formula>$DE$5="Grey"</formula>
    </cfRule>
    <cfRule type="expression" dxfId="423" priority="409">
      <formula>$DE$5="Green"</formula>
    </cfRule>
    <cfRule type="expression" dxfId="422" priority="410">
      <formula>$DE$5="Gold"</formula>
    </cfRule>
    <cfRule type="expression" dxfId="421" priority="411">
      <formula>$DE$5="Blue"</formula>
    </cfRule>
    <cfRule type="expression" dxfId="420" priority="412">
      <formula>$DE$5="Red"</formula>
    </cfRule>
  </conditionalFormatting>
  <conditionalFormatting sqref="C11:J13">
    <cfRule type="expression" dxfId="419" priority="399">
      <formula>$DN$35="Black"</formula>
    </cfRule>
    <cfRule type="expression" dxfId="418" priority="400">
      <formula>$DN$35="Grey"</formula>
    </cfRule>
    <cfRule type="expression" dxfId="417" priority="401">
      <formula>$DN$35="Gold"</formula>
    </cfRule>
    <cfRule type="expression" dxfId="416" priority="402">
      <formula>$DN$35="Yellow"</formula>
    </cfRule>
    <cfRule type="expression" dxfId="415" priority="403">
      <formula>$DN$35="White"</formula>
    </cfRule>
    <cfRule type="expression" dxfId="414" priority="404">
      <formula>$DN$35="Green"</formula>
    </cfRule>
    <cfRule type="expression" dxfId="413" priority="405">
      <formula>$DN$35="Blue"</formula>
    </cfRule>
    <cfRule type="expression" dxfId="412" priority="406">
      <formula>$DN$35="Red"</formula>
    </cfRule>
  </conditionalFormatting>
  <conditionalFormatting sqref="S39:Z41">
    <cfRule type="expression" dxfId="411" priority="351">
      <formula>$DN$46="Black"</formula>
    </cfRule>
    <cfRule type="expression" dxfId="410" priority="352">
      <formula>$DN$46="Grey"</formula>
    </cfRule>
    <cfRule type="expression" dxfId="409" priority="353">
      <formula>$DN$46="Gold"</formula>
    </cfRule>
    <cfRule type="expression" dxfId="408" priority="354">
      <formula>$DN$46="Yellow"</formula>
    </cfRule>
    <cfRule type="expression" dxfId="407" priority="355">
      <formula>$DN$46="White"</formula>
    </cfRule>
    <cfRule type="expression" dxfId="406" priority="356">
      <formula>$DN$46="Green"</formula>
    </cfRule>
    <cfRule type="expression" dxfId="405" priority="357">
      <formula>$DN$46="Blue"</formula>
    </cfRule>
    <cfRule type="expression" dxfId="404" priority="358">
      <formula>$DN$46="Red"</formula>
    </cfRule>
  </conditionalFormatting>
  <conditionalFormatting sqref="O9:V11">
    <cfRule type="expression" dxfId="403" priority="391">
      <formula>$DN$40="Black"</formula>
    </cfRule>
    <cfRule type="expression" dxfId="402" priority="392">
      <formula>$DN$40="Grey"</formula>
    </cfRule>
    <cfRule type="expression" dxfId="401" priority="393">
      <formula>$DN$40="Gold"</formula>
    </cfRule>
    <cfRule type="expression" dxfId="400" priority="394">
      <formula>$DN$40="Yellow"</formula>
    </cfRule>
    <cfRule type="expression" dxfId="399" priority="395">
      <formula>$DN$40="White"</formula>
    </cfRule>
    <cfRule type="expression" dxfId="398" priority="396">
      <formula>$DN$40="Green"</formula>
    </cfRule>
    <cfRule type="expression" dxfId="397" priority="397">
      <formula>$DN$40="Blue"</formula>
    </cfRule>
    <cfRule type="expression" dxfId="396" priority="398">
      <formula>$DN$40="Red"</formula>
    </cfRule>
  </conditionalFormatting>
  <conditionalFormatting sqref="N15:U17">
    <cfRule type="expression" dxfId="395" priority="383">
      <formula>$DN$36="Black"</formula>
    </cfRule>
    <cfRule type="expression" dxfId="394" priority="384">
      <formula>$DN$36="Grey"</formula>
    </cfRule>
    <cfRule type="expression" dxfId="393" priority="385">
      <formula>$DN$36="Gold"</formula>
    </cfRule>
    <cfRule type="expression" dxfId="392" priority="386">
      <formula>$DN$36="Yellow"</formula>
    </cfRule>
    <cfRule type="expression" dxfId="391" priority="387">
      <formula>$DN$36="White"</formula>
    </cfRule>
    <cfRule type="expression" dxfId="390" priority="388">
      <formula>$DN$36="Green"</formula>
    </cfRule>
    <cfRule type="expression" dxfId="389" priority="389">
      <formula>$DN$36="Blue"</formula>
    </cfRule>
    <cfRule type="expression" dxfId="388" priority="390">
      <formula>$DN$36="Red"</formula>
    </cfRule>
  </conditionalFormatting>
  <conditionalFormatting sqref="M20:T22">
    <cfRule type="expression" dxfId="387" priority="375">
      <formula>$DN$43="Black"</formula>
    </cfRule>
    <cfRule type="expression" dxfId="386" priority="376">
      <formula>$DN$43="Grey"</formula>
    </cfRule>
    <cfRule type="expression" dxfId="385" priority="377">
      <formula>$DN$43="Gold"</formula>
    </cfRule>
    <cfRule type="expression" dxfId="384" priority="378">
      <formula>$DN$43="Yellow"</formula>
    </cfRule>
    <cfRule type="expression" dxfId="383" priority="379">
      <formula>$DN$43="White"</formula>
    </cfRule>
    <cfRule type="expression" dxfId="382" priority="380">
      <formula>$DN$43="Green"</formula>
    </cfRule>
    <cfRule type="expression" dxfId="381" priority="381">
      <formula>$DN$43="Blue"</formula>
    </cfRule>
    <cfRule type="expression" dxfId="380" priority="382">
      <formula>$DN$43="Red"</formula>
    </cfRule>
  </conditionalFormatting>
  <conditionalFormatting sqref="S27:Z29">
    <cfRule type="expression" dxfId="379" priority="367">
      <formula>$DN$37="Black"</formula>
    </cfRule>
    <cfRule type="expression" dxfId="378" priority="368">
      <formula>$DN$37="Grey"</formula>
    </cfRule>
    <cfRule type="expression" dxfId="377" priority="369">
      <formula>$DN$37="Gold"</formula>
    </cfRule>
    <cfRule type="expression" dxfId="376" priority="370">
      <formula>$DN$37="Yellow"</formula>
    </cfRule>
    <cfRule type="expression" dxfId="375" priority="371">
      <formula>$DN$37="White"</formula>
    </cfRule>
    <cfRule type="expression" dxfId="374" priority="372">
      <formula>$DN$37="Green"</formula>
    </cfRule>
    <cfRule type="expression" dxfId="373" priority="373">
      <formula>$DN$37="Blue"</formula>
    </cfRule>
    <cfRule type="expression" dxfId="372" priority="374">
      <formula>$DN$37="Red"</formula>
    </cfRule>
  </conditionalFormatting>
  <conditionalFormatting sqref="U31:AB33">
    <cfRule type="expression" dxfId="371" priority="359">
      <formula>$DN$47="Black"</formula>
    </cfRule>
    <cfRule type="expression" dxfId="370" priority="360">
      <formula>$DN$47="Grey"</formula>
    </cfRule>
    <cfRule type="expression" dxfId="369" priority="361">
      <formula>$DN$47="Gold"</formula>
    </cfRule>
    <cfRule type="expression" dxfId="368" priority="362">
      <formula>$DN$47="Yellow"</formula>
    </cfRule>
    <cfRule type="expression" dxfId="367" priority="363">
      <formula>$DN$47="White"</formula>
    </cfRule>
    <cfRule type="expression" dxfId="366" priority="364">
      <formula>$DN$47="Green"</formula>
    </cfRule>
    <cfRule type="expression" dxfId="365" priority="365">
      <formula>$DN$47="Blue"</formula>
    </cfRule>
    <cfRule type="expression" dxfId="364" priority="366">
      <formula>$DN$47="Red"</formula>
    </cfRule>
  </conditionalFormatting>
  <conditionalFormatting sqref="W49:AD51">
    <cfRule type="expression" dxfId="363" priority="343">
      <formula>$DN$44="Black"</formula>
    </cfRule>
    <cfRule type="expression" dxfId="362" priority="344">
      <formula>$DN$44="Grey"</formula>
    </cfRule>
    <cfRule type="expression" dxfId="361" priority="345">
      <formula>$DN$44="Gold"</formula>
    </cfRule>
    <cfRule type="expression" dxfId="360" priority="346">
      <formula>$DN$44="Yellow"</formula>
    </cfRule>
    <cfRule type="expression" dxfId="359" priority="347">
      <formula>$DN$44="White"</formula>
    </cfRule>
    <cfRule type="expression" dxfId="358" priority="348">
      <formula>$DN$44="Green"</formula>
    </cfRule>
    <cfRule type="expression" dxfId="357" priority="349">
      <formula>$DN$44="Blue"</formula>
    </cfRule>
    <cfRule type="expression" dxfId="356" priority="350">
      <formula>$DN$44="Red"</formula>
    </cfRule>
  </conditionalFormatting>
  <conditionalFormatting sqref="AB37:AI39">
    <cfRule type="expression" dxfId="355" priority="335">
      <formula>$DN$45="Black"</formula>
    </cfRule>
    <cfRule type="expression" dxfId="354" priority="336">
      <formula>$DN$45="Grey"</formula>
    </cfRule>
    <cfRule type="expression" dxfId="353" priority="337">
      <formula>$DN$45="Gold"</formula>
    </cfRule>
    <cfRule type="expression" dxfId="352" priority="338">
      <formula>$DN$45="Yellow"</formula>
    </cfRule>
    <cfRule type="expression" dxfId="351" priority="339">
      <formula>$DN$45="White"</formula>
    </cfRule>
    <cfRule type="expression" dxfId="350" priority="340">
      <formula>$DN$45="Green"</formula>
    </cfRule>
    <cfRule type="expression" dxfId="349" priority="341">
      <formula>$DN$45="Blue"</formula>
    </cfRule>
    <cfRule type="expression" dxfId="348" priority="342">
      <formula>$DN$45="Red"</formula>
    </cfRule>
  </conditionalFormatting>
  <conditionalFormatting sqref="X22:AE24">
    <cfRule type="expression" dxfId="347" priority="327">
      <formula>$DN$38="Black"</formula>
    </cfRule>
    <cfRule type="expression" dxfId="346" priority="328">
      <formula>$DN$38="Grey"</formula>
    </cfRule>
    <cfRule type="expression" dxfId="345" priority="329">
      <formula>$DN$38="Gold"</formula>
    </cfRule>
    <cfRule type="expression" dxfId="344" priority="330">
      <formula>$DN$38="Yellow"</formula>
    </cfRule>
    <cfRule type="expression" dxfId="343" priority="331">
      <formula>$DN$38="White"</formula>
    </cfRule>
    <cfRule type="expression" dxfId="342" priority="332">
      <formula>$DN$38="Green"</formula>
    </cfRule>
    <cfRule type="expression" dxfId="341" priority="333">
      <formula>$DN$38="Blue"</formula>
    </cfRule>
    <cfRule type="expression" dxfId="340" priority="334">
      <formula>$DN$38="Red"</formula>
    </cfRule>
  </conditionalFormatting>
  <conditionalFormatting sqref="W16:AD18">
    <cfRule type="expression" dxfId="339" priority="319">
      <formula>$DN$41="Black"</formula>
    </cfRule>
    <cfRule type="expression" dxfId="338" priority="320">
      <formula>$DN$41="Grey"</formula>
    </cfRule>
    <cfRule type="expression" dxfId="337" priority="321">
      <formula>$DN$41="Gold"</formula>
    </cfRule>
    <cfRule type="expression" dxfId="336" priority="322">
      <formula>$DN$41="Yellow"</formula>
    </cfRule>
    <cfRule type="expression" dxfId="335" priority="323">
      <formula>$DN$41="White"</formula>
    </cfRule>
    <cfRule type="expression" dxfId="334" priority="324">
      <formula>$DN$41="Green"</formula>
    </cfRule>
    <cfRule type="expression" dxfId="333" priority="325">
      <formula>$DN$41="Blue"</formula>
    </cfRule>
    <cfRule type="expression" dxfId="332" priority="326">
      <formula>$DN$41="Red"</formula>
    </cfRule>
  </conditionalFormatting>
  <conditionalFormatting sqref="AF14:AM16">
    <cfRule type="expression" dxfId="331" priority="311">
      <formula>$DN$42="Black"</formula>
    </cfRule>
    <cfRule type="expression" dxfId="330" priority="312">
      <formula>$DN$42="Grey"</formula>
    </cfRule>
    <cfRule type="expression" dxfId="329" priority="313">
      <formula>$DN$42="Gold"</formula>
    </cfRule>
    <cfRule type="expression" dxfId="328" priority="314">
      <formula>$DN$42="Yellow"</formula>
    </cfRule>
    <cfRule type="expression" dxfId="327" priority="315">
      <formula>$DN$42="White"</formula>
    </cfRule>
    <cfRule type="expression" dxfId="326" priority="316">
      <formula>$DN$42="Green"</formula>
    </cfRule>
    <cfRule type="expression" dxfId="325" priority="317">
      <formula>$DN$42="Blue"</formula>
    </cfRule>
    <cfRule type="expression" dxfId="324" priority="318">
      <formula>$DN$42="Red"</formula>
    </cfRule>
  </conditionalFormatting>
  <conditionalFormatting sqref="AJ7:AQ9">
    <cfRule type="expression" dxfId="323" priority="303">
      <formula>$DN$39="Black"</formula>
    </cfRule>
    <cfRule type="expression" dxfId="322" priority="304">
      <formula>$DN$39="Grey"</formula>
    </cfRule>
    <cfRule type="expression" dxfId="321" priority="305">
      <formula>$DN$39="Gold"</formula>
    </cfRule>
    <cfRule type="expression" dxfId="320" priority="306">
      <formula>$DN$39="Yellow"</formula>
    </cfRule>
    <cfRule type="expression" dxfId="319" priority="307">
      <formula>$DN$39="White"</formula>
    </cfRule>
    <cfRule type="expression" dxfId="318" priority="308">
      <formula>$DN$39="Green"</formula>
    </cfRule>
    <cfRule type="expression" dxfId="317" priority="309">
      <formula>$DN$39="Blue"</formula>
    </cfRule>
    <cfRule type="expression" dxfId="316" priority="310">
      <formula>$DN$39="Red"</formula>
    </cfRule>
  </conditionalFormatting>
  <conditionalFormatting sqref="AW9:BD11">
    <cfRule type="expression" dxfId="315" priority="295">
      <formula>$DN$31="Black"</formula>
    </cfRule>
    <cfRule type="expression" dxfId="314" priority="296">
      <formula>$DN$31="Grey"</formula>
    </cfRule>
    <cfRule type="expression" dxfId="313" priority="297">
      <formula>$DN$31="Gold"</formula>
    </cfRule>
    <cfRule type="expression" dxfId="312" priority="298">
      <formula>$DN$31="Yellow"</formula>
    </cfRule>
    <cfRule type="expression" dxfId="311" priority="299">
      <formula>$DN$31="White"</formula>
    </cfRule>
    <cfRule type="expression" dxfId="310" priority="300">
      <formula>$DN$31="Green"</formula>
    </cfRule>
    <cfRule type="expression" dxfId="309" priority="301">
      <formula>$DN$31="Blue"</formula>
    </cfRule>
    <cfRule type="expression" dxfId="308" priority="302">
      <formula>$DN$31="Red"</formula>
    </cfRule>
  </conditionalFormatting>
  <conditionalFormatting sqref="AO13:AV15">
    <cfRule type="expression" dxfId="307" priority="287">
      <formula>$DN$29="Black"</formula>
    </cfRule>
    <cfRule type="expression" dxfId="306" priority="288">
      <formula>$DN$29="Grey"</formula>
    </cfRule>
    <cfRule type="expression" dxfId="305" priority="289">
      <formula>$DN$29="Gold"</formula>
    </cfRule>
    <cfRule type="expression" dxfId="304" priority="290">
      <formula>$DN$29="Yellow"</formula>
    </cfRule>
    <cfRule type="expression" dxfId="303" priority="291">
      <formula>$DN$29="White"</formula>
    </cfRule>
    <cfRule type="expression" dxfId="302" priority="292">
      <formula>$DN$29="Green"</formula>
    </cfRule>
    <cfRule type="expression" dxfId="301" priority="293">
      <formula>$DN$29="Blue"</formula>
    </cfRule>
    <cfRule type="expression" dxfId="300" priority="294">
      <formula>$DN$29="Red"</formula>
    </cfRule>
  </conditionalFormatting>
  <conditionalFormatting sqref="AK18:AR20">
    <cfRule type="expression" dxfId="299" priority="279">
      <formula>$DN$28="Black"</formula>
    </cfRule>
    <cfRule type="expression" dxfId="298" priority="280">
      <formula>$DN$28="Grey"</formula>
    </cfRule>
    <cfRule type="expression" dxfId="297" priority="281">
      <formula>$DN$28="Gold"</formula>
    </cfRule>
    <cfRule type="expression" dxfId="296" priority="282">
      <formula>$DN$28="Yellow"</formula>
    </cfRule>
    <cfRule type="expression" dxfId="295" priority="283">
      <formula>$DN$28="White"</formula>
    </cfRule>
    <cfRule type="expression" dxfId="294" priority="284">
      <formula>$DN$28="Green"</formula>
    </cfRule>
    <cfRule type="expression" dxfId="293" priority="285">
      <formula>$DN$28="Blue"</formula>
    </cfRule>
    <cfRule type="expression" dxfId="292" priority="286">
      <formula>$DN$28="Red"</formula>
    </cfRule>
  </conditionalFormatting>
  <conditionalFormatting sqref="AL24:AS26">
    <cfRule type="expression" dxfId="291" priority="271">
      <formula>$DN$34="Black"</formula>
    </cfRule>
    <cfRule type="expression" dxfId="290" priority="272">
      <formula>$DN$34="Grey"</formula>
    </cfRule>
    <cfRule type="expression" dxfId="289" priority="273">
      <formula>$DN$34="Gold"</formula>
    </cfRule>
    <cfRule type="expression" dxfId="288" priority="274">
      <formula>$DN$34="Yellow"</formula>
    </cfRule>
    <cfRule type="expression" dxfId="287" priority="275">
      <formula>$DN$34="White"</formula>
    </cfRule>
    <cfRule type="expression" dxfId="286" priority="276">
      <formula>$DN$34="Green"</formula>
    </cfRule>
    <cfRule type="expression" dxfId="285" priority="277">
      <formula>$DN$34="Blue"</formula>
    </cfRule>
    <cfRule type="expression" dxfId="284" priority="278">
      <formula>$DN$34="Red"</formula>
    </cfRule>
  </conditionalFormatting>
  <conditionalFormatting sqref="AU23:BB25">
    <cfRule type="expression" dxfId="283" priority="263">
      <formula>$DN$32="Black"</formula>
    </cfRule>
    <cfRule type="expression" dxfId="282" priority="264">
      <formula>$DN$32="Grey"</formula>
    </cfRule>
    <cfRule type="expression" dxfId="281" priority="265">
      <formula>$DN$32="Gold"</formula>
    </cfRule>
    <cfRule type="expression" dxfId="280" priority="266">
      <formula>$DN$32="Yellow"</formula>
    </cfRule>
    <cfRule type="expression" dxfId="279" priority="267">
      <formula>$DN$32="White"</formula>
    </cfRule>
    <cfRule type="expression" dxfId="278" priority="268">
      <formula>$DN$32="Green"</formula>
    </cfRule>
    <cfRule type="expression" dxfId="277" priority="269">
      <formula>$DN$32="Blue"</formula>
    </cfRule>
    <cfRule type="expression" dxfId="276" priority="270">
      <formula>$DN$32="Red"</formula>
    </cfRule>
  </conditionalFormatting>
  <conditionalFormatting sqref="AT19:BA21">
    <cfRule type="expression" dxfId="275" priority="255">
      <formula>$DN$30="Black"</formula>
    </cfRule>
    <cfRule type="expression" dxfId="274" priority="256">
      <formula>$DN$30="Grey"</formula>
    </cfRule>
    <cfRule type="expression" dxfId="273" priority="257">
      <formula>$DN$30="Gold"</formula>
    </cfRule>
    <cfRule type="expression" dxfId="272" priority="258">
      <formula>$DN$30="Yellow"</formula>
    </cfRule>
    <cfRule type="expression" dxfId="271" priority="259">
      <formula>$DN$30="White"</formula>
    </cfRule>
    <cfRule type="expression" dxfId="270" priority="260">
      <formula>$DN$30="Green"</formula>
    </cfRule>
    <cfRule type="expression" dxfId="269" priority="261">
      <formula>$DN$30="Blue"</formula>
    </cfRule>
    <cfRule type="expression" dxfId="268" priority="262">
      <formula>$DN$30="Red"</formula>
    </cfRule>
  </conditionalFormatting>
  <conditionalFormatting sqref="BC15:BJ17">
    <cfRule type="expression" dxfId="267" priority="247">
      <formula>$DN$33="Black"</formula>
    </cfRule>
    <cfRule type="expression" dxfId="266" priority="248">
      <formula>$DN$33="Grey"</formula>
    </cfRule>
    <cfRule type="expression" dxfId="265" priority="249">
      <formula>$DN$33="Gold"</formula>
    </cfRule>
    <cfRule type="expression" dxfId="264" priority="250">
      <formula>$DN$33="Yellow"</formula>
    </cfRule>
    <cfRule type="expression" dxfId="263" priority="251">
      <formula>$DN$33="White"</formula>
    </cfRule>
    <cfRule type="expression" dxfId="262" priority="252">
      <formula>$DN$33="Green"</formula>
    </cfRule>
    <cfRule type="expression" dxfId="261" priority="253">
      <formula>$DN$33="Blue"</formula>
    </cfRule>
    <cfRule type="expression" dxfId="260" priority="254">
      <formula>$DN$33="Red"</formula>
    </cfRule>
  </conditionalFormatting>
  <conditionalFormatting sqref="BM16:BT18">
    <cfRule type="expression" dxfId="259" priority="239">
      <formula>$DN$22="Black"</formula>
    </cfRule>
    <cfRule type="expression" dxfId="258" priority="240">
      <formula>$DN$22="Grey"</formula>
    </cfRule>
    <cfRule type="expression" dxfId="257" priority="241">
      <formula>$DN$22="Gold"</formula>
    </cfRule>
    <cfRule type="expression" dxfId="256" priority="242">
      <formula>$DN$22="Yellow"</formula>
    </cfRule>
    <cfRule type="expression" dxfId="255" priority="243">
      <formula>$DN$22="White"</formula>
    </cfRule>
    <cfRule type="expression" dxfId="254" priority="244">
      <formula>$DN$22="Green"</formula>
    </cfRule>
    <cfRule type="expression" dxfId="253" priority="245">
      <formula>$DN$22="Blue"</formula>
    </cfRule>
    <cfRule type="expression" dxfId="252" priority="246">
      <formula>$DN$22="Red"</formula>
    </cfRule>
  </conditionalFormatting>
  <conditionalFormatting sqref="BR12:BY14">
    <cfRule type="expression" dxfId="251" priority="231">
      <formula>$DN$21="Black"</formula>
    </cfRule>
    <cfRule type="expression" dxfId="250" priority="232">
      <formula>$DN$21="Grey"</formula>
    </cfRule>
    <cfRule type="expression" dxfId="249" priority="233">
      <formula>$DN$21="Gold"</formula>
    </cfRule>
    <cfRule type="expression" dxfId="248" priority="234">
      <formula>$DN$21="Yellow"</formula>
    </cfRule>
    <cfRule type="expression" dxfId="247" priority="235">
      <formula>$DN$21="White"</formula>
    </cfRule>
    <cfRule type="expression" dxfId="246" priority="236">
      <formula>$DN$21="Green"</formula>
    </cfRule>
    <cfRule type="expression" dxfId="245" priority="237">
      <formula>$DN$21="Blue"</formula>
    </cfRule>
    <cfRule type="expression" dxfId="244" priority="238">
      <formula>$DN$21="Red"</formula>
    </cfRule>
  </conditionalFormatting>
  <conditionalFormatting sqref="CB11:CI13">
    <cfRule type="expression" dxfId="243" priority="223">
      <formula>$DN$23="Black"</formula>
    </cfRule>
    <cfRule type="expression" dxfId="242" priority="224">
      <formula>$DN$23="Grey"</formula>
    </cfRule>
    <cfRule type="expression" dxfId="241" priority="225">
      <formula>$DN$23="Gold"</formula>
    </cfRule>
    <cfRule type="expression" dxfId="240" priority="226">
      <formula>$DN$23="Yellow"</formula>
    </cfRule>
    <cfRule type="expression" dxfId="239" priority="227">
      <formula>$DN$23="White"</formula>
    </cfRule>
    <cfRule type="expression" dxfId="238" priority="228">
      <formula>$DN$23="Green"</formula>
    </cfRule>
    <cfRule type="expression" dxfId="237" priority="229">
      <formula>$DN$23="Blue"</formula>
    </cfRule>
    <cfRule type="expression" dxfId="236" priority="230">
      <formula>$DN$23="Red"</formula>
    </cfRule>
  </conditionalFormatting>
  <conditionalFormatting sqref="CM12:CT14">
    <cfRule type="expression" dxfId="235" priority="215">
      <formula>$DN$17="Black"</formula>
    </cfRule>
    <cfRule type="expression" dxfId="234" priority="216">
      <formula>$DN$17="Grey"</formula>
    </cfRule>
    <cfRule type="expression" dxfId="233" priority="217">
      <formula>$DN$17="Gold"</formula>
    </cfRule>
    <cfRule type="expression" dxfId="232" priority="218">
      <formula>$DN$17="Yellow"</formula>
    </cfRule>
    <cfRule type="expression" dxfId="231" priority="219">
      <formula>$DN$17="White"</formula>
    </cfRule>
    <cfRule type="expression" dxfId="230" priority="220">
      <formula>$DN$17="Green"</formula>
    </cfRule>
    <cfRule type="expression" dxfId="229" priority="221">
      <formula>$DN$17="Blue"</formula>
    </cfRule>
    <cfRule type="expression" dxfId="228" priority="222">
      <formula>$DN$17="Red"</formula>
    </cfRule>
  </conditionalFormatting>
  <conditionalFormatting sqref="BY16:CF18">
    <cfRule type="expression" dxfId="227" priority="207">
      <formula>$DN$15="Black"</formula>
    </cfRule>
    <cfRule type="expression" dxfId="226" priority="208">
      <formula>$DN$15="Grey"</formula>
    </cfRule>
    <cfRule type="expression" dxfId="225" priority="209">
      <formula>$DN$15="Gold"</formula>
    </cfRule>
    <cfRule type="expression" dxfId="224" priority="210">
      <formula>$DN$15="Yellow"</formula>
    </cfRule>
    <cfRule type="expression" dxfId="223" priority="211">
      <formula>$DN$15="White"</formula>
    </cfRule>
    <cfRule type="expression" dxfId="222" priority="212">
      <formula>$DN$15="Green"</formula>
    </cfRule>
    <cfRule type="expression" dxfId="221" priority="213">
      <formula>$DN$15="Blue"</formula>
    </cfRule>
    <cfRule type="expression" dxfId="220" priority="214">
      <formula>$DN$15="Red"</formula>
    </cfRule>
  </conditionalFormatting>
  <conditionalFormatting sqref="CA20:CH22">
    <cfRule type="expression" dxfId="219" priority="199">
      <formula>$DN$19="Black"</formula>
    </cfRule>
    <cfRule type="expression" dxfId="218" priority="200">
      <formula>$DN$19="Grey"</formula>
    </cfRule>
    <cfRule type="expression" dxfId="217" priority="201">
      <formula>$DN$19="Gold"</formula>
    </cfRule>
    <cfRule type="expression" dxfId="216" priority="202">
      <formula>$DN$19="Yellow"</formula>
    </cfRule>
    <cfRule type="expression" dxfId="215" priority="203">
      <formula>$DN$19="White"</formula>
    </cfRule>
    <cfRule type="expression" dxfId="214" priority="204">
      <formula>$DN$19="Green"</formula>
    </cfRule>
    <cfRule type="expression" dxfId="213" priority="205">
      <formula>$DN$19="Blue"</formula>
    </cfRule>
    <cfRule type="expression" dxfId="212" priority="206">
      <formula>$DN$19="Red"</formula>
    </cfRule>
  </conditionalFormatting>
  <conditionalFormatting sqref="CJ23:CQ25">
    <cfRule type="expression" dxfId="211" priority="191">
      <formula>$DN$16="Black"</formula>
    </cfRule>
    <cfRule type="expression" dxfId="210" priority="192">
      <formula>$DN$16="Grey"</formula>
    </cfRule>
    <cfRule type="expression" dxfId="209" priority="193">
      <formula>$DN$16="Gold"</formula>
    </cfRule>
    <cfRule type="expression" dxfId="208" priority="194">
      <formula>$DN$16="Yellow"</formula>
    </cfRule>
    <cfRule type="expression" dxfId="207" priority="195">
      <formula>$DN$16="White"</formula>
    </cfRule>
    <cfRule type="expression" dxfId="206" priority="196">
      <formula>$DN$16="Green"</formula>
    </cfRule>
    <cfRule type="expression" dxfId="205" priority="197">
      <formula>$DN$16="Blue"</formula>
    </cfRule>
    <cfRule type="expression" dxfId="204" priority="198">
      <formula>$DN$16="Red"</formula>
    </cfRule>
  </conditionalFormatting>
  <conditionalFormatting sqref="BJ21:BQ23">
    <cfRule type="expression" dxfId="203" priority="183">
      <formula>$DN$12="Black"</formula>
    </cfRule>
    <cfRule type="expression" dxfId="202" priority="184">
      <formula>$DN$12="Grey"</formula>
    </cfRule>
    <cfRule type="expression" dxfId="201" priority="185">
      <formula>$DN$12="Gold"</formula>
    </cfRule>
    <cfRule type="expression" dxfId="200" priority="186">
      <formula>$DN$12="Yellow"</formula>
    </cfRule>
    <cfRule type="expression" dxfId="199" priority="187">
      <formula>$DN$12="White"</formula>
    </cfRule>
    <cfRule type="expression" dxfId="198" priority="188">
      <formula>$DN$12="Green"</formula>
    </cfRule>
    <cfRule type="expression" dxfId="197" priority="189">
      <formula>$DN$12="Blue"</formula>
    </cfRule>
    <cfRule type="expression" dxfId="196" priority="190">
      <formula>$DN$12="Red"</formula>
    </cfRule>
  </conditionalFormatting>
  <conditionalFormatting sqref="BT25:CA27">
    <cfRule type="expression" dxfId="195" priority="175">
      <formula>$DN$13="Black"</formula>
    </cfRule>
    <cfRule type="expression" dxfId="194" priority="176">
      <formula>$DN$13="Grey"</formula>
    </cfRule>
    <cfRule type="expression" dxfId="193" priority="177">
      <formula>$DN$13="Gold"</formula>
    </cfRule>
    <cfRule type="expression" dxfId="192" priority="178">
      <formula>$DN$13="Yellow"</formula>
    </cfRule>
    <cfRule type="expression" dxfId="191" priority="179">
      <formula>$DN$13="White"</formula>
    </cfRule>
    <cfRule type="expression" dxfId="190" priority="180">
      <formula>$DN$13="Green"</formula>
    </cfRule>
    <cfRule type="expression" dxfId="189" priority="181">
      <formula>$DN$13="Blue"</formula>
    </cfRule>
    <cfRule type="expression" dxfId="188" priority="182">
      <formula>$DN$13="Red"</formula>
    </cfRule>
  </conditionalFormatting>
  <conditionalFormatting sqref="BN31:BU33">
    <cfRule type="expression" dxfId="187" priority="167">
      <formula>$DN$14="Black"</formula>
    </cfRule>
    <cfRule type="expression" dxfId="186" priority="168">
      <formula>$DN$14="Grey"</formula>
    </cfRule>
    <cfRule type="expression" dxfId="185" priority="169">
      <formula>$DN$14="Gold"</formula>
    </cfRule>
    <cfRule type="expression" dxfId="184" priority="170">
      <formula>$DN$14="Yellow"</formula>
    </cfRule>
    <cfRule type="expression" dxfId="183" priority="171">
      <formula>$DN$14="White"</formula>
    </cfRule>
    <cfRule type="expression" dxfId="182" priority="172">
      <formula>$DN$14="Green"</formula>
    </cfRule>
    <cfRule type="expression" dxfId="181" priority="173">
      <formula>$DN$14="Blue"</formula>
    </cfRule>
    <cfRule type="expression" dxfId="180" priority="174">
      <formula>$DN$14="Red"</formula>
    </cfRule>
  </conditionalFormatting>
  <conditionalFormatting sqref="BX31:CE33">
    <cfRule type="expression" dxfId="179" priority="159">
      <formula>$DN$20="Black"</formula>
    </cfRule>
    <cfRule type="expression" dxfId="178" priority="160">
      <formula>$DN$20="Grey"</formula>
    </cfRule>
    <cfRule type="expression" dxfId="177" priority="161">
      <formula>$DN$20="Gold"</formula>
    </cfRule>
    <cfRule type="expression" dxfId="176" priority="162">
      <formula>$DN$20="Yellow"</formula>
    </cfRule>
    <cfRule type="expression" dxfId="175" priority="163">
      <formula>$DN$20="White"</formula>
    </cfRule>
    <cfRule type="expression" dxfId="174" priority="164">
      <formula>$DN$20="Green"</formula>
    </cfRule>
    <cfRule type="expression" dxfId="173" priority="165">
      <formula>$DN$20="Blue"</formula>
    </cfRule>
    <cfRule type="expression" dxfId="172" priority="166">
      <formula>$DN$20="Red"</formula>
    </cfRule>
  </conditionalFormatting>
  <conditionalFormatting sqref="BD28:BK30">
    <cfRule type="expression" dxfId="171" priority="151">
      <formula>$DN$18="Black"</formula>
    </cfRule>
    <cfRule type="expression" dxfId="170" priority="152">
      <formula>$DN$18="Grey"</formula>
    </cfRule>
    <cfRule type="expression" dxfId="169" priority="153">
      <formula>$DN$18="Gold"</formula>
    </cfRule>
    <cfRule type="expression" dxfId="168" priority="154">
      <formula>$DN$18="Yellow"</formula>
    </cfRule>
    <cfRule type="expression" dxfId="167" priority="155">
      <formula>$DN$18="White"</formula>
    </cfRule>
    <cfRule type="expression" dxfId="166" priority="156">
      <formula>$DN$18="Green"</formula>
    </cfRule>
    <cfRule type="expression" dxfId="165" priority="157">
      <formula>$DN$18="Blue"</formula>
    </cfRule>
    <cfRule type="expression" dxfId="164" priority="158">
      <formula>$DN$18="Red"</formula>
    </cfRule>
  </conditionalFormatting>
  <conditionalFormatting sqref="AU29:BB31">
    <cfRule type="expression" dxfId="163" priority="143">
      <formula>$DN$8="Black"</formula>
    </cfRule>
    <cfRule type="expression" dxfId="162" priority="144">
      <formula>$DN$8="Grey"</formula>
    </cfRule>
    <cfRule type="expression" dxfId="161" priority="145">
      <formula>$DN$8="Gold"</formula>
    </cfRule>
    <cfRule type="expression" dxfId="160" priority="146">
      <formula>$DN$8="Yellow"</formula>
    </cfRule>
    <cfRule type="expression" dxfId="159" priority="147">
      <formula>$DN$8="White"</formula>
    </cfRule>
    <cfRule type="expression" dxfId="158" priority="148">
      <formula>$DN$8="Green"</formula>
    </cfRule>
    <cfRule type="expression" dxfId="157" priority="149">
      <formula>$DN$8="Blue"</formula>
    </cfRule>
    <cfRule type="expression" dxfId="156" priority="150">
      <formula>$DN$8="Red"</formula>
    </cfRule>
  </conditionalFormatting>
  <conditionalFormatting sqref="AN34:AU36">
    <cfRule type="expression" dxfId="155" priority="135">
      <formula>$DN$10="Black"</formula>
    </cfRule>
    <cfRule type="expression" dxfId="154" priority="136">
      <formula>$DN$10="Grey"</formula>
    </cfRule>
    <cfRule type="expression" dxfId="153" priority="137">
      <formula>$DN$10="Gold"</formula>
    </cfRule>
    <cfRule type="expression" dxfId="152" priority="138">
      <formula>$DN$10="Yellow"</formula>
    </cfRule>
    <cfRule type="expression" dxfId="151" priority="139">
      <formula>$DN$10="White"</formula>
    </cfRule>
    <cfRule type="expression" dxfId="150" priority="140">
      <formula>$DN$10="Green"</formula>
    </cfRule>
    <cfRule type="expression" dxfId="149" priority="141">
      <formula>$DN$10="Blue"</formula>
    </cfRule>
    <cfRule type="expression" dxfId="148" priority="142">
      <formula>$DN$10="Red"</formula>
    </cfRule>
  </conditionalFormatting>
  <conditionalFormatting sqref="AT40:BA42">
    <cfRule type="expression" dxfId="147" priority="127">
      <formula>$DN$6="Black"</formula>
    </cfRule>
    <cfRule type="expression" dxfId="146" priority="128">
      <formula>$DN$6="Grey"</formula>
    </cfRule>
    <cfRule type="expression" dxfId="145" priority="129">
      <formula>$DN$6="Gold"</formula>
    </cfRule>
    <cfRule type="expression" dxfId="144" priority="130">
      <formula>$DN$6="Yellow"</formula>
    </cfRule>
    <cfRule type="expression" dxfId="143" priority="131">
      <formula>$DN$6="White"</formula>
    </cfRule>
    <cfRule type="expression" dxfId="142" priority="132">
      <formula>$DN$6="Green"</formula>
    </cfRule>
    <cfRule type="expression" dxfId="141" priority="133">
      <formula>$DN$6="Blue"</formula>
    </cfRule>
    <cfRule type="expression" dxfId="140" priority="134">
      <formula>$DN$6="Red"</formula>
    </cfRule>
  </conditionalFormatting>
  <conditionalFormatting sqref="AT47:BA49">
    <cfRule type="expression" dxfId="139" priority="119">
      <formula>$DN$11="Black"</formula>
    </cfRule>
    <cfRule type="expression" dxfId="138" priority="120">
      <formula>$DN$11="Grey"</formula>
    </cfRule>
    <cfRule type="expression" dxfId="137" priority="121">
      <formula>$DN$11="Gold"</formula>
    </cfRule>
    <cfRule type="expression" dxfId="136" priority="122">
      <formula>$DN$11="Yellow"</formula>
    </cfRule>
    <cfRule type="expression" dxfId="135" priority="123">
      <formula>$DN$11="White"</formula>
    </cfRule>
    <cfRule type="expression" dxfId="134" priority="124">
      <formula>$DN$11="Green"</formula>
    </cfRule>
    <cfRule type="expression" dxfId="133" priority="125">
      <formula>$DN$11="Blue"</formula>
    </cfRule>
    <cfRule type="expression" dxfId="132" priority="126">
      <formula>$DN$11="Red"</formula>
    </cfRule>
  </conditionalFormatting>
  <conditionalFormatting sqref="BE46:BL48">
    <cfRule type="expression" dxfId="131" priority="111">
      <formula>$DN$9="Black"</formula>
    </cfRule>
    <cfRule type="expression" dxfId="130" priority="112">
      <formula>$DN$9="Grey"</formula>
    </cfRule>
    <cfRule type="expression" dxfId="129" priority="113">
      <formula>$DN$9="Gold"</formula>
    </cfRule>
    <cfRule type="expression" dxfId="128" priority="114">
      <formula>$DN$9="Yellow"</formula>
    </cfRule>
    <cfRule type="expression" dxfId="127" priority="115">
      <formula>$DN$9="White"</formula>
    </cfRule>
    <cfRule type="expression" dxfId="126" priority="116">
      <formula>$DN$9="Green"</formula>
    </cfRule>
    <cfRule type="expression" dxfId="125" priority="117">
      <formula>$DN$9="Blue"</formula>
    </cfRule>
    <cfRule type="expression" dxfId="124" priority="118">
      <formula>$DN$9="Red"</formula>
    </cfRule>
  </conditionalFormatting>
  <conditionalFormatting sqref="BA35:BH37">
    <cfRule type="expression" dxfId="123" priority="103">
      <formula>$DN$7="Black"</formula>
    </cfRule>
    <cfRule type="expression" dxfId="122" priority="104">
      <formula>$DN$7="Grey"</formula>
    </cfRule>
    <cfRule type="expression" dxfId="121" priority="105">
      <formula>$DN$7="Gold"</formula>
    </cfRule>
    <cfRule type="expression" dxfId="120" priority="106">
      <formula>$DN$7="Yellow"</formula>
    </cfRule>
    <cfRule type="expression" dxfId="119" priority="107">
      <formula>$DN$7="White"</formula>
    </cfRule>
    <cfRule type="expression" dxfId="118" priority="108">
      <formula>$DN$7="Green"</formula>
    </cfRule>
    <cfRule type="expression" dxfId="117" priority="109">
      <formula>$DN$7="Blue"</formula>
    </cfRule>
    <cfRule type="expression" dxfId="116" priority="110">
      <formula>$DN$7="Red"</formula>
    </cfRule>
  </conditionalFormatting>
  <conditionalFormatting sqref="CI37:CP39">
    <cfRule type="expression" dxfId="115" priority="95">
      <formula>$DN$26="Black"</formula>
    </cfRule>
    <cfRule type="expression" dxfId="114" priority="96">
      <formula>$DN$26="Grey"</formula>
    </cfRule>
    <cfRule type="expression" dxfId="113" priority="97">
      <formula>$DN$26="Gold"</formula>
    </cfRule>
    <cfRule type="expression" dxfId="112" priority="98">
      <formula>$DN$26="Yellow"</formula>
    </cfRule>
    <cfRule type="expression" dxfId="111" priority="99">
      <formula>$DN$26="White"</formula>
    </cfRule>
    <cfRule type="expression" dxfId="110" priority="100">
      <formula>$DN$26="Green"</formula>
    </cfRule>
    <cfRule type="expression" dxfId="109" priority="101">
      <formula>$DN$26="Blue"</formula>
    </cfRule>
    <cfRule type="expression" dxfId="108" priority="102">
      <formula>$DN$26="Red"</formula>
    </cfRule>
  </conditionalFormatting>
  <conditionalFormatting sqref="BX38:CE40">
    <cfRule type="expression" dxfId="107" priority="87">
      <formula>$DN$25="Black"</formula>
    </cfRule>
    <cfRule type="expression" dxfId="106" priority="88">
      <formula>$DN$25="Grey"</formula>
    </cfRule>
    <cfRule type="expression" dxfId="105" priority="89">
      <formula>$DN$25="Gold"</formula>
    </cfRule>
    <cfRule type="expression" dxfId="104" priority="90">
      <formula>$DN$25="Yellow"</formula>
    </cfRule>
    <cfRule type="expression" dxfId="103" priority="91">
      <formula>$DN$25="White"</formula>
    </cfRule>
    <cfRule type="expression" dxfId="102" priority="92">
      <formula>$DN$25="Green"</formula>
    </cfRule>
    <cfRule type="expression" dxfId="101" priority="93">
      <formula>$DN$25="Blue"</formula>
    </cfRule>
    <cfRule type="expression" dxfId="100" priority="94">
      <formula>$DN$25="Red"</formula>
    </cfRule>
  </conditionalFormatting>
  <conditionalFormatting sqref="BX47:CE49">
    <cfRule type="expression" dxfId="99" priority="79">
      <formula>$DN$27="Black"</formula>
    </cfRule>
    <cfRule type="expression" dxfId="98" priority="80">
      <formula>$DN$27="Grey"</formula>
    </cfRule>
    <cfRule type="expression" dxfId="97" priority="81">
      <formula>$DN$27="Gold"</formula>
    </cfRule>
    <cfRule type="expression" dxfId="96" priority="82">
      <formula>$DN$27="Yellow"</formula>
    </cfRule>
    <cfRule type="expression" dxfId="95" priority="83">
      <formula>$DN$27="White"</formula>
    </cfRule>
    <cfRule type="expression" dxfId="94" priority="84">
      <formula>$DN$27="Green"</formula>
    </cfRule>
    <cfRule type="expression" dxfId="93" priority="85">
      <formula>$DN$27="Blue"</formula>
    </cfRule>
    <cfRule type="expression" dxfId="92" priority="86">
      <formula>$DN$27="Red"</formula>
    </cfRule>
  </conditionalFormatting>
  <conditionalFormatting sqref="CI44:CP46">
    <cfRule type="expression" dxfId="91" priority="71">
      <formula>$DN$24="Black"</formula>
    </cfRule>
    <cfRule type="expression" dxfId="90" priority="72">
      <formula>$DN$24="Grey"</formula>
    </cfRule>
    <cfRule type="expression" dxfId="89" priority="73">
      <formula>$DN$24="Gold"</formula>
    </cfRule>
    <cfRule type="expression" dxfId="88" priority="74">
      <formula>$DN$24="Yellow"</formula>
    </cfRule>
    <cfRule type="expression" dxfId="87" priority="75">
      <formula>$DN$24="White"</formula>
    </cfRule>
    <cfRule type="expression" dxfId="86" priority="76">
      <formula>$DN$24="Green"</formula>
    </cfRule>
    <cfRule type="expression" dxfId="85" priority="77">
      <formula>$DN$24="Blue"</formula>
    </cfRule>
    <cfRule type="expression" dxfId="84" priority="78">
      <formula>$DN$24="Red"</formula>
    </cfRule>
  </conditionalFormatting>
  <conditionalFormatting sqref="BF6">
    <cfRule type="expression" dxfId="83" priority="65">
      <formula>$DE$5="Yellow"</formula>
    </cfRule>
    <cfRule type="expression" dxfId="82" priority="66">
      <formula>$DE$5="Grey"</formula>
    </cfRule>
    <cfRule type="expression" dxfId="81" priority="67">
      <formula>$DE$5="Green"</formula>
    </cfRule>
    <cfRule type="expression" dxfId="80" priority="68">
      <formula>$DE$5="Gold"</formula>
    </cfRule>
    <cfRule type="expression" dxfId="79" priority="69">
      <formula>$DE$5="Blue"</formula>
    </cfRule>
    <cfRule type="expression" dxfId="78" priority="70">
      <formula>$DE$5="Red"</formula>
    </cfRule>
  </conditionalFormatting>
  <conditionalFormatting sqref="B9:G9 B5 G5:G8">
    <cfRule type="beginsWith" dxfId="77" priority="64" operator="beginsWith" text="X">
      <formula>LEFT(B5,LEN("X"))="X"</formula>
    </cfRule>
  </conditionalFormatting>
  <conditionalFormatting sqref="BF6:CU9">
    <cfRule type="endsWith" dxfId="76" priority="52" operator="endsWith" text="Confirm Drop Complete">
      <formula>RIGHT(BF6,LEN("Confirm Drop Complete"))="Confirm Drop Complete"</formula>
    </cfRule>
    <cfRule type="endsWith" dxfId="75" priority="53" operator="endsWith" text="Finish Drop">
      <formula>RIGHT(BF6,LEN("Finish Drop"))="Finish Drop"</formula>
    </cfRule>
    <cfRule type="endsWith" dxfId="74" priority="54" operator="endsWith" text="Cancel Drop">
      <formula>RIGHT(BF6,LEN("Cancel Drop"))="Cancel Drop"</formula>
    </cfRule>
    <cfRule type="endsWith" dxfId="73" priority="62" operator="endsWith" text="Confirm">
      <formula>RIGHT(BF6,LEN("Confirm"))="Confirm"</formula>
    </cfRule>
    <cfRule type="endsWith" dxfId="72" priority="63" operator="endsWith" text="Choose Move">
      <formula>RIGHT(BF6,LEN("Choose Move"))="Choose Move"</formula>
    </cfRule>
  </conditionalFormatting>
  <conditionalFormatting sqref="BI51:CB54">
    <cfRule type="containsBlanks" dxfId="71" priority="56">
      <formula>LEN(TRIM(BI51))=0</formula>
    </cfRule>
    <cfRule type="beginsWith" dxfId="70" priority="57" operator="beginsWith" text="Confirm Drop">
      <formula>LEFT(BI51,LEN("Confirm Drop"))="Confirm Drop"</formula>
    </cfRule>
    <cfRule type="beginsWith" dxfId="69" priority="60" operator="beginsWith" text="Attack Drop">
      <formula>LEFT(BI51,LEN("Attack Drop"))="Attack Drop"</formula>
    </cfRule>
    <cfRule type="containsText" dxfId="68" priority="413" operator="containsText" text="Force Drop">
      <formula>NOT(ISERROR(SEARCH("Force Drop",BI51)))</formula>
    </cfRule>
  </conditionalFormatting>
  <conditionalFormatting sqref="CQ51:CV55">
    <cfRule type="notContainsBlanks" dxfId="67" priority="51">
      <formula>LEN(TRIM(CQ51))&gt;0</formula>
    </cfRule>
  </conditionalFormatting>
  <conditionalFormatting sqref="D35 D27">
    <cfRule type="expression" dxfId="66" priority="48">
      <formula>$DE$19="Blue"</formula>
    </cfRule>
    <cfRule type="expression" dxfId="65" priority="49">
      <formula>$DE$19="Red"</formula>
    </cfRule>
    <cfRule type="expression" dxfId="64" priority="50">
      <formula>$DE$19="Gold"</formula>
    </cfRule>
  </conditionalFormatting>
  <conditionalFormatting sqref="D38">
    <cfRule type="expression" dxfId="63" priority="45">
      <formula>$DE$19="Blue"</formula>
    </cfRule>
    <cfRule type="expression" dxfId="62" priority="46">
      <formula>$DE$19="Red"</formula>
    </cfRule>
    <cfRule type="expression" dxfId="61" priority="47">
      <formula>$DE$19="Gold"</formula>
    </cfRule>
  </conditionalFormatting>
  <conditionalFormatting sqref="D41">
    <cfRule type="expression" dxfId="60" priority="42">
      <formula>$DE$19="Blue"</formula>
    </cfRule>
    <cfRule type="expression" dxfId="59" priority="43">
      <formula>$DE$19="Red"</formula>
    </cfRule>
    <cfRule type="expression" dxfId="58" priority="44">
      <formula>$DE$19="Gold"</formula>
    </cfRule>
  </conditionalFormatting>
  <conditionalFormatting sqref="D35:P37">
    <cfRule type="expression" dxfId="57" priority="22">
      <formula>$DF$21="  Gold"</formula>
    </cfRule>
  </conditionalFormatting>
  <conditionalFormatting sqref="D38:P40">
    <cfRule type="expression" dxfId="56" priority="21">
      <formula>$DF$22="  Gold"</formula>
    </cfRule>
  </conditionalFormatting>
  <conditionalFormatting sqref="D41:P43">
    <cfRule type="expression" dxfId="55" priority="20">
      <formula>$DF$23="  Gold"</formula>
    </cfRule>
  </conditionalFormatting>
  <conditionalFormatting sqref="D29">
    <cfRule type="expression" dxfId="54" priority="17">
      <formula>$DE$19="Blue"</formula>
    </cfRule>
    <cfRule type="expression" dxfId="53" priority="18">
      <formula>$DE$19="Red"</formula>
    </cfRule>
    <cfRule type="expression" dxfId="52" priority="19">
      <formula>$DE$19="Gold"</formula>
    </cfRule>
  </conditionalFormatting>
  <conditionalFormatting sqref="D29:P31">
    <cfRule type="expression" dxfId="51" priority="16">
      <formula>$DF$21="  Gold"</formula>
    </cfRule>
  </conditionalFormatting>
  <conditionalFormatting sqref="C44:Q44 C26:Q26 Q27:Q43 C27:C43">
    <cfRule type="expression" dxfId="50" priority="14">
      <formula>$DF$18="Blue"</formula>
    </cfRule>
    <cfRule type="expression" dxfId="49" priority="15">
      <formula>$DF$18="Red"</formula>
    </cfRule>
  </conditionalFormatting>
  <conditionalFormatting sqref="D32">
    <cfRule type="expression" dxfId="48" priority="11">
      <formula>$DE$19="Blue"</formula>
    </cfRule>
    <cfRule type="expression" dxfId="47" priority="12">
      <formula>$DE$19="Red"</formula>
    </cfRule>
    <cfRule type="expression" dxfId="46" priority="13">
      <formula>$DE$19="Gold"</formula>
    </cfRule>
  </conditionalFormatting>
  <conditionalFormatting sqref="D32:P34">
    <cfRule type="expression" dxfId="45" priority="10">
      <formula>$DF$21="  Gold"</formula>
    </cfRule>
  </conditionalFormatting>
  <conditionalFormatting sqref="D47:P47">
    <cfRule type="notContainsBlanks" dxfId="44" priority="9">
      <formula>LEN(TRIM(D47))&gt;0</formula>
    </cfRule>
  </conditionalFormatting>
  <conditionalFormatting sqref="D48:P48">
    <cfRule type="notContainsBlanks" dxfId="43" priority="8">
      <formula>LEN(TRIM(D48))&gt;0</formula>
    </cfRule>
  </conditionalFormatting>
  <conditionalFormatting sqref="D49:P49">
    <cfRule type="notContainsBlanks" dxfId="42" priority="7">
      <formula>LEN(TRIM(D49))&gt;0</formula>
    </cfRule>
  </conditionalFormatting>
  <conditionalFormatting sqref="D50:P50">
    <cfRule type="notContainsBlanks" dxfId="41" priority="6">
      <formula>LEN(TRIM(D50))&gt;0</formula>
    </cfRule>
  </conditionalFormatting>
  <conditionalFormatting sqref="D51:P51">
    <cfRule type="notContainsBlanks" dxfId="40" priority="5">
      <formula>LEN(TRIM(D51))&gt;0</formula>
    </cfRule>
  </conditionalFormatting>
  <conditionalFormatting sqref="D52:P52">
    <cfRule type="notContainsBlanks" dxfId="39" priority="4">
      <formula>LEN(TRIM(D52))&gt;0</formula>
    </cfRule>
  </conditionalFormatting>
  <conditionalFormatting sqref="D53:P53">
    <cfRule type="notContainsBlanks" dxfId="38" priority="3">
      <formula>LEN(TRIM(D53))&gt;0</formula>
    </cfRule>
  </conditionalFormatting>
  <conditionalFormatting sqref="C46:C54 D46:Q46 Q47:Q54 D54:P54">
    <cfRule type="expression" dxfId="37" priority="1">
      <formula>$DE$32="Red"</formula>
    </cfRule>
    <cfRule type="expression" dxfId="36" priority="2">
      <formula>$DE$32="Blue"</formula>
    </cfRule>
  </conditionalFormatting>
  <pageMargins left="0.7" right="0.7" top="0.75" bottom="0.75" header="0.3" footer="0.3"/>
  <pageSetup scale="36" fitToWidth="0" fitToHeight="0" orientation="portrait" r:id="rId1"/>
  <drawing r:id="rId2"/>
  <picture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I60"/>
  <sheetViews>
    <sheetView showGridLines="0" workbookViewId="0">
      <selection activeCell="AX10" sqref="AX10"/>
    </sheetView>
  </sheetViews>
  <sheetFormatPr defaultColWidth="3.7109375" defaultRowHeight="15" x14ac:dyDescent="0.25"/>
  <cols>
    <col min="1" max="23" width="3.7109375" style="6"/>
    <col min="24" max="27" width="3.7109375" style="6" customWidth="1"/>
    <col min="28" max="28" width="3.7109375" style="5" customWidth="1"/>
    <col min="29" max="29" width="4.7109375" style="5" customWidth="1"/>
    <col min="30" max="35" width="4.7109375" style="6" customWidth="1"/>
    <col min="36" max="36" width="3.7109375" style="6"/>
    <col min="37" max="37" width="0.85546875" style="87" customWidth="1"/>
    <col min="38" max="41" width="0.85546875" style="6" customWidth="1"/>
    <col min="42" max="48" width="6.7109375" style="6" customWidth="1"/>
    <col min="49" max="16384" width="3.7109375" style="6"/>
  </cols>
  <sheetData>
    <row r="1" spans="1:61" ht="13.5" customHeight="1" x14ac:dyDescent="0.25">
      <c r="A1" s="10"/>
      <c r="B1" s="10"/>
      <c r="C1" s="10"/>
      <c r="D1" s="10"/>
      <c r="E1" s="10"/>
      <c r="F1" s="10"/>
      <c r="G1" s="10"/>
      <c r="H1" s="10"/>
      <c r="I1" s="10"/>
      <c r="J1" s="10"/>
      <c r="K1" s="10"/>
      <c r="L1" s="10"/>
      <c r="M1" s="10"/>
      <c r="N1" s="10"/>
      <c r="O1" s="10"/>
      <c r="P1" s="10"/>
      <c r="Q1" s="10"/>
      <c r="R1" s="10"/>
      <c r="S1" s="10"/>
      <c r="T1" s="10"/>
      <c r="U1" s="10"/>
      <c r="V1" s="10"/>
      <c r="W1" s="10"/>
      <c r="AB1" s="5">
        <v>28</v>
      </c>
      <c r="AC1" s="5">
        <v>29</v>
      </c>
      <c r="AY1" s="87"/>
      <c r="AZ1" s="5"/>
      <c r="BA1" s="5"/>
      <c r="BB1" s="5"/>
      <c r="BC1" s="5"/>
      <c r="BD1" s="5"/>
      <c r="BE1" s="5"/>
      <c r="BF1" s="5"/>
      <c r="BG1" s="5"/>
      <c r="BH1" s="5"/>
      <c r="BI1" s="5"/>
    </row>
    <row r="2" spans="1:61" ht="15" customHeight="1" x14ac:dyDescent="0.3">
      <c r="A2" s="10"/>
      <c r="B2" s="10"/>
      <c r="C2" s="10"/>
      <c r="D2" s="10"/>
      <c r="E2" s="10"/>
      <c r="F2" s="10"/>
      <c r="G2" s="10"/>
      <c r="H2" s="10"/>
      <c r="I2" s="10"/>
      <c r="J2" s="10"/>
      <c r="K2" s="10"/>
      <c r="L2" s="10"/>
      <c r="M2" s="10"/>
      <c r="N2" s="10"/>
      <c r="O2" s="10"/>
      <c r="P2" s="10"/>
      <c r="Q2" s="10"/>
      <c r="R2" s="10"/>
      <c r="S2" s="10"/>
      <c r="T2" s="10"/>
      <c r="U2" s="10"/>
      <c r="V2" s="10"/>
      <c r="W2" s="10"/>
      <c r="AB2" s="5" t="str">
        <f>Reference!AD59</f>
        <v>Undecided</v>
      </c>
      <c r="AC2" s="267" t="str">
        <f>IF(AB2="Owned",IF(AB3=0,"Choose Color for North America","North America is also "&amp;VLOOKUP(AB3,Reference!M52:N56,2,0)),"Fighting for North America")</f>
        <v>Fighting for North America</v>
      </c>
      <c r="AD2" s="267"/>
      <c r="AE2" s="267"/>
      <c r="AF2" s="267"/>
      <c r="AG2" s="267"/>
      <c r="AH2" s="267"/>
      <c r="AI2" s="267"/>
      <c r="AO2" s="88"/>
      <c r="AP2" s="265" t="e">
        <f>IF(A60="ColorOk","Ok","Choose Color")</f>
        <v>#N/A</v>
      </c>
      <c r="AQ2" s="265"/>
      <c r="AR2" s="265"/>
      <c r="AS2" s="265"/>
      <c r="AT2" s="265"/>
      <c r="AU2" s="265"/>
      <c r="AV2" s="265"/>
    </row>
    <row r="3" spans="1:61" ht="15" customHeight="1" x14ac:dyDescent="0.25">
      <c r="A3" s="10"/>
      <c r="B3" s="10"/>
      <c r="C3" s="10"/>
      <c r="D3" s="10"/>
      <c r="E3" s="10"/>
      <c r="F3" s="10"/>
      <c r="G3" s="10"/>
      <c r="H3" s="10"/>
      <c r="I3" s="10"/>
      <c r="J3" s="10"/>
      <c r="K3" s="10"/>
      <c r="L3" s="10"/>
      <c r="M3" s="10"/>
      <c r="N3" s="10"/>
      <c r="O3" s="10"/>
      <c r="P3" s="10"/>
      <c r="Q3" s="10"/>
      <c r="R3" s="10"/>
      <c r="S3" s="10"/>
      <c r="T3" s="10"/>
      <c r="U3" s="10"/>
      <c r="V3" s="10"/>
      <c r="W3" s="10"/>
      <c r="AB3" s="5" t="str">
        <f>Setup!AP24</f>
        <v>Undecided</v>
      </c>
      <c r="AC3" s="267"/>
      <c r="AD3" s="267"/>
      <c r="AE3" s="267"/>
      <c r="AF3" s="267"/>
      <c r="AG3" s="267"/>
      <c r="AH3" s="267"/>
      <c r="AI3" s="267"/>
      <c r="AP3" s="265"/>
      <c r="AQ3" s="265"/>
      <c r="AR3" s="265"/>
      <c r="AS3" s="265"/>
      <c r="AT3" s="265"/>
      <c r="AU3" s="265"/>
      <c r="AV3" s="265"/>
    </row>
    <row r="4" spans="1:61" ht="15" customHeight="1" x14ac:dyDescent="0.25">
      <c r="A4" s="10"/>
      <c r="B4" s="10"/>
      <c r="C4" s="10"/>
      <c r="D4" s="10"/>
      <c r="E4" s="10"/>
      <c r="F4" s="10"/>
      <c r="G4" s="10"/>
      <c r="H4" s="10"/>
      <c r="I4" s="10"/>
      <c r="J4" s="10"/>
      <c r="K4" s="10"/>
      <c r="L4" s="10"/>
      <c r="M4" s="10"/>
      <c r="N4" s="10"/>
      <c r="O4" s="10"/>
      <c r="P4" s="10"/>
      <c r="Q4" s="10"/>
      <c r="R4" s="10"/>
      <c r="S4" s="10"/>
      <c r="T4" s="10"/>
      <c r="U4" s="10"/>
      <c r="V4" s="10"/>
      <c r="W4" s="10"/>
      <c r="AB4" s="5" t="str">
        <f>AB2&amp;AB3</f>
        <v>UndecidedUndecided</v>
      </c>
      <c r="AC4" s="267"/>
      <c r="AD4" s="267"/>
      <c r="AE4" s="267"/>
      <c r="AF4" s="267"/>
      <c r="AG4" s="267"/>
      <c r="AH4" s="267"/>
      <c r="AI4" s="267"/>
      <c r="AP4" s="265"/>
      <c r="AQ4" s="265"/>
      <c r="AR4" s="265"/>
      <c r="AS4" s="265"/>
      <c r="AT4" s="265"/>
      <c r="AU4" s="265"/>
      <c r="AV4" s="265"/>
    </row>
    <row r="5" spans="1:61" ht="15" customHeight="1" x14ac:dyDescent="0.25">
      <c r="A5" s="10"/>
      <c r="B5" s="10"/>
      <c r="C5" s="10"/>
      <c r="D5" s="10"/>
      <c r="E5" s="10"/>
      <c r="F5" s="10"/>
      <c r="G5" s="10"/>
      <c r="H5" s="10"/>
      <c r="I5" s="10"/>
      <c r="J5" s="10"/>
      <c r="K5" s="10"/>
      <c r="L5" s="10"/>
      <c r="M5" s="10"/>
      <c r="N5" s="10"/>
      <c r="O5" s="10"/>
      <c r="P5" s="10"/>
      <c r="Q5" s="10"/>
      <c r="R5" s="10"/>
      <c r="S5" s="10"/>
      <c r="T5" s="10"/>
      <c r="U5" s="10"/>
      <c r="V5" s="10"/>
      <c r="W5" s="10"/>
      <c r="AC5" s="267"/>
      <c r="AD5" s="267"/>
      <c r="AE5" s="267"/>
      <c r="AF5" s="267"/>
      <c r="AG5" s="267"/>
      <c r="AH5" s="267"/>
      <c r="AI5" s="267"/>
      <c r="AP5" s="265"/>
      <c r="AQ5" s="265"/>
      <c r="AR5" s="265"/>
      <c r="AS5" s="265"/>
      <c r="AT5" s="265"/>
      <c r="AU5" s="265"/>
      <c r="AV5" s="265"/>
    </row>
    <row r="6" spans="1:61" ht="15" customHeight="1" x14ac:dyDescent="0.25">
      <c r="A6" s="10"/>
      <c r="B6" s="10"/>
      <c r="C6" s="10"/>
      <c r="D6" s="10"/>
      <c r="E6" s="10"/>
      <c r="F6" s="10"/>
      <c r="G6" s="10"/>
      <c r="H6" s="10"/>
      <c r="I6" s="10"/>
      <c r="J6" s="10"/>
      <c r="K6" s="10"/>
      <c r="L6" s="10"/>
      <c r="M6" s="10"/>
      <c r="N6" s="10"/>
      <c r="O6" s="10"/>
      <c r="P6" s="10"/>
      <c r="Q6" s="10"/>
      <c r="R6" s="10"/>
      <c r="S6" s="10"/>
      <c r="T6" s="10"/>
      <c r="U6" s="10"/>
      <c r="V6" s="10"/>
      <c r="W6" s="10"/>
      <c r="AC6" s="267"/>
      <c r="AD6" s="267"/>
      <c r="AE6" s="267"/>
      <c r="AF6" s="267"/>
      <c r="AG6" s="267"/>
      <c r="AH6" s="267"/>
      <c r="AI6" s="267"/>
    </row>
    <row r="7" spans="1:61" ht="15.75" customHeight="1" x14ac:dyDescent="0.25">
      <c r="A7" s="10"/>
      <c r="B7" s="10"/>
      <c r="C7" s="10"/>
      <c r="D7" s="10"/>
      <c r="E7" s="10"/>
      <c r="F7" s="10"/>
      <c r="G7" s="10"/>
      <c r="H7" s="10"/>
      <c r="I7" s="10"/>
      <c r="J7" s="10"/>
      <c r="K7" s="10"/>
      <c r="L7" s="10"/>
      <c r="M7" s="10"/>
      <c r="N7" s="10"/>
      <c r="O7" s="10"/>
      <c r="P7" s="10"/>
      <c r="Q7" s="10"/>
      <c r="R7" s="10"/>
      <c r="S7" s="10"/>
      <c r="T7" s="10"/>
      <c r="U7" s="10"/>
      <c r="V7" s="10"/>
      <c r="W7" s="10"/>
      <c r="AC7" s="75"/>
      <c r="AD7" s="75"/>
      <c r="AE7" s="75"/>
      <c r="AF7" s="75"/>
      <c r="AG7" s="75"/>
      <c r="AH7" s="75"/>
      <c r="AI7" s="75"/>
    </row>
    <row r="8" spans="1:61" ht="15" customHeight="1" x14ac:dyDescent="0.25">
      <c r="A8" s="10"/>
      <c r="B8" s="10"/>
      <c r="C8" s="10"/>
      <c r="D8" s="10"/>
      <c r="E8" s="10"/>
      <c r="F8" s="10"/>
      <c r="G8" s="10"/>
      <c r="H8" s="10"/>
      <c r="I8" s="10"/>
      <c r="J8" s="10"/>
      <c r="K8" s="10"/>
      <c r="L8" s="10"/>
      <c r="M8" s="10"/>
      <c r="N8" s="10"/>
      <c r="O8" s="10"/>
      <c r="P8" s="10"/>
      <c r="Q8" s="10"/>
      <c r="R8" s="10"/>
      <c r="S8" s="10"/>
      <c r="T8" s="10"/>
      <c r="U8" s="10"/>
      <c r="V8" s="10"/>
      <c r="W8" s="10"/>
      <c r="AB8" s="5" t="str">
        <f>Reference!AD58</f>
        <v>Undecided</v>
      </c>
      <c r="AC8" s="267" t="str">
        <f>IF(AB8="Owned",IF(AB9=0,"Choose Color for Europe","Europe is also "&amp;VLOOKUP(AB9,Reference!M52:N56,2,0)),"Fighting for Europe")</f>
        <v>Fighting for Europe</v>
      </c>
      <c r="AD8" s="267"/>
      <c r="AE8" s="267"/>
      <c r="AF8" s="267"/>
      <c r="AG8" s="267"/>
      <c r="AH8" s="267"/>
      <c r="AI8" s="267"/>
    </row>
    <row r="9" spans="1:61" ht="15" customHeight="1" x14ac:dyDescent="0.25">
      <c r="A9" s="10"/>
      <c r="B9" s="10"/>
      <c r="C9" s="10"/>
      <c r="D9" s="10"/>
      <c r="E9" s="10"/>
      <c r="F9" s="10"/>
      <c r="G9" s="10"/>
      <c r="H9" s="10"/>
      <c r="I9" s="10"/>
      <c r="J9" s="10"/>
      <c r="K9" s="10"/>
      <c r="L9" s="10"/>
      <c r="M9" s="10"/>
      <c r="N9" s="10"/>
      <c r="O9" s="10"/>
      <c r="P9" s="10"/>
      <c r="Q9" s="10"/>
      <c r="R9" s="10"/>
      <c r="S9" s="10"/>
      <c r="T9" s="10"/>
      <c r="U9" s="10"/>
      <c r="V9" s="10"/>
      <c r="W9" s="10"/>
      <c r="AB9" s="5" t="str">
        <f>Setup!AP23</f>
        <v>Undecided</v>
      </c>
      <c r="AC9" s="267"/>
      <c r="AD9" s="267"/>
      <c r="AE9" s="267"/>
      <c r="AF9" s="267"/>
      <c r="AG9" s="267"/>
      <c r="AH9" s="267"/>
      <c r="AI9" s="267"/>
    </row>
    <row r="10" spans="1:61" ht="15" customHeight="1" x14ac:dyDescent="0.25">
      <c r="A10" s="10"/>
      <c r="B10" s="10"/>
      <c r="C10" s="10"/>
      <c r="D10" s="10"/>
      <c r="E10" s="10"/>
      <c r="F10" s="10"/>
      <c r="G10" s="10"/>
      <c r="H10" s="10"/>
      <c r="I10" s="10"/>
      <c r="J10" s="10"/>
      <c r="K10" s="10"/>
      <c r="L10" s="10"/>
      <c r="M10" s="10"/>
      <c r="N10" s="10"/>
      <c r="O10" s="10"/>
      <c r="P10" s="10"/>
      <c r="Q10" s="10"/>
      <c r="R10" s="10"/>
      <c r="S10" s="10"/>
      <c r="T10" s="10"/>
      <c r="U10" s="10"/>
      <c r="V10" s="10"/>
      <c r="W10" s="10"/>
      <c r="AB10" s="5" t="str">
        <f>AB8&amp;AB9</f>
        <v>UndecidedUndecided</v>
      </c>
      <c r="AC10" s="267"/>
      <c r="AD10" s="267"/>
      <c r="AE10" s="267"/>
      <c r="AF10" s="267"/>
      <c r="AG10" s="267"/>
      <c r="AH10" s="267"/>
      <c r="AI10" s="267"/>
    </row>
    <row r="11" spans="1:61" ht="15" customHeight="1" x14ac:dyDescent="0.25">
      <c r="A11" s="10"/>
      <c r="B11" s="10"/>
      <c r="C11" s="10"/>
      <c r="D11" s="10"/>
      <c r="E11" s="10"/>
      <c r="F11" s="10"/>
      <c r="G11" s="10"/>
      <c r="H11" s="10"/>
      <c r="I11" s="10"/>
      <c r="J11" s="10"/>
      <c r="K11" s="10"/>
      <c r="L11" s="10"/>
      <c r="M11" s="10"/>
      <c r="N11" s="10"/>
      <c r="O11" s="10"/>
      <c r="P11" s="10"/>
      <c r="Q11" s="10"/>
      <c r="R11" s="10"/>
      <c r="S11" s="10"/>
      <c r="T11" s="10"/>
      <c r="U11" s="10"/>
      <c r="V11" s="10"/>
      <c r="W11" s="10"/>
      <c r="AC11" s="267"/>
      <c r="AD11" s="267"/>
      <c r="AE11" s="267"/>
      <c r="AF11" s="267"/>
      <c r="AG11" s="267"/>
      <c r="AH11" s="267"/>
      <c r="AI11" s="267"/>
    </row>
    <row r="12" spans="1:61" ht="15" customHeight="1" x14ac:dyDescent="0.25">
      <c r="A12" s="10"/>
      <c r="B12" s="10"/>
      <c r="C12" s="10"/>
      <c r="D12" s="10"/>
      <c r="E12" s="10"/>
      <c r="F12" s="10"/>
      <c r="G12" s="10"/>
      <c r="H12" s="10"/>
      <c r="I12" s="10"/>
      <c r="J12" s="10"/>
      <c r="K12" s="10"/>
      <c r="L12" s="10"/>
      <c r="M12" s="10"/>
      <c r="N12" s="10"/>
      <c r="O12" s="10"/>
      <c r="P12" s="10"/>
      <c r="Q12" s="10"/>
      <c r="R12" s="10"/>
      <c r="S12" s="10"/>
      <c r="T12" s="10"/>
      <c r="U12" s="10"/>
      <c r="V12" s="10"/>
      <c r="W12" s="10"/>
      <c r="AC12" s="267"/>
      <c r="AD12" s="267"/>
      <c r="AE12" s="267"/>
      <c r="AF12" s="267"/>
      <c r="AG12" s="267"/>
      <c r="AH12" s="267"/>
      <c r="AI12" s="267"/>
      <c r="AP12" s="179"/>
      <c r="AQ12" s="179"/>
      <c r="AR12" s="179"/>
      <c r="AS12" s="179"/>
      <c r="AT12" s="179"/>
      <c r="AU12" s="179"/>
      <c r="AV12" s="179"/>
    </row>
    <row r="13" spans="1:61" ht="15.75" customHeight="1" x14ac:dyDescent="0.25">
      <c r="A13" s="10"/>
      <c r="B13" s="10"/>
      <c r="C13" s="10"/>
      <c r="D13" s="10"/>
      <c r="E13" s="10"/>
      <c r="F13" s="10"/>
      <c r="G13" s="10"/>
      <c r="H13" s="10"/>
      <c r="I13" s="10"/>
      <c r="J13" s="10"/>
      <c r="K13" s="10"/>
      <c r="L13" s="10"/>
      <c r="M13" s="10"/>
      <c r="N13" s="10"/>
      <c r="O13" s="10"/>
      <c r="P13" s="10"/>
      <c r="Q13" s="10"/>
      <c r="R13" s="10"/>
      <c r="S13" s="10"/>
      <c r="T13" s="10"/>
      <c r="U13" s="10"/>
      <c r="V13" s="10"/>
      <c r="W13" s="10"/>
      <c r="AC13" s="75"/>
      <c r="AD13" s="75"/>
      <c r="AE13" s="75"/>
      <c r="AF13" s="75"/>
      <c r="AG13" s="75"/>
      <c r="AH13" s="75"/>
      <c r="AI13" s="75"/>
      <c r="AP13" s="179"/>
      <c r="AQ13" s="179"/>
      <c r="AR13" s="179"/>
      <c r="AS13" s="179"/>
      <c r="AT13" s="179"/>
      <c r="AU13" s="179"/>
      <c r="AV13" s="179"/>
    </row>
    <row r="14" spans="1:61" ht="15" customHeight="1" x14ac:dyDescent="0.25">
      <c r="A14" s="10"/>
      <c r="B14" s="10"/>
      <c r="C14" s="10"/>
      <c r="D14" s="10"/>
      <c r="E14" s="10"/>
      <c r="F14" s="10"/>
      <c r="G14" s="10"/>
      <c r="H14" s="10"/>
      <c r="I14" s="10"/>
      <c r="J14" s="10"/>
      <c r="K14" s="10"/>
      <c r="L14" s="10"/>
      <c r="M14" s="10"/>
      <c r="N14" s="10"/>
      <c r="O14" s="10"/>
      <c r="P14" s="10"/>
      <c r="Q14" s="10"/>
      <c r="R14" s="10"/>
      <c r="S14" s="10"/>
      <c r="T14" s="10"/>
      <c r="U14" s="10"/>
      <c r="V14" s="10"/>
      <c r="W14" s="10"/>
      <c r="AB14" s="5" t="str">
        <f>Reference!AD54</f>
        <v>Undecided</v>
      </c>
      <c r="AC14" s="267" t="str">
        <f>IF(AB14="Owned",IF(AB15=0,"Choose Color for Africa","Africa is also "&amp;VLOOKUP(AB15,Reference!M52:N56,2,0)),"Fighting for Africa")</f>
        <v>Fighting for Africa</v>
      </c>
      <c r="AD14" s="267"/>
      <c r="AE14" s="267"/>
      <c r="AF14" s="267"/>
      <c r="AG14" s="267"/>
      <c r="AH14" s="267"/>
      <c r="AI14" s="267"/>
      <c r="AP14" s="179"/>
      <c r="AQ14" s="179"/>
      <c r="AR14" s="179"/>
      <c r="AS14" s="179"/>
      <c r="AT14" s="179"/>
      <c r="AU14" s="179"/>
      <c r="AV14" s="179"/>
    </row>
    <row r="15" spans="1:61" ht="15" customHeight="1" x14ac:dyDescent="0.25">
      <c r="A15" s="10"/>
      <c r="B15" s="10"/>
      <c r="C15" s="10"/>
      <c r="D15" s="10"/>
      <c r="E15" s="10"/>
      <c r="F15" s="10"/>
      <c r="G15" s="10"/>
      <c r="H15" s="10"/>
      <c r="I15" s="10"/>
      <c r="J15" s="10"/>
      <c r="K15" s="10"/>
      <c r="L15" s="10"/>
      <c r="M15" s="10"/>
      <c r="N15" s="10"/>
      <c r="O15" s="10"/>
      <c r="P15" s="10"/>
      <c r="Q15" s="10"/>
      <c r="R15" s="10"/>
      <c r="S15" s="10"/>
      <c r="T15" s="10"/>
      <c r="U15" s="10"/>
      <c r="V15" s="10"/>
      <c r="W15" s="10"/>
      <c r="AB15" s="5" t="str">
        <f>Setup!AP19</f>
        <v>Undecided</v>
      </c>
      <c r="AC15" s="267"/>
      <c r="AD15" s="267"/>
      <c r="AE15" s="267"/>
      <c r="AF15" s="267"/>
      <c r="AG15" s="267"/>
      <c r="AH15" s="267"/>
      <c r="AI15" s="267"/>
      <c r="AW15" s="178"/>
      <c r="AX15" s="178"/>
    </row>
    <row r="16" spans="1:61" ht="15" customHeight="1" x14ac:dyDescent="0.25">
      <c r="A16" s="10"/>
      <c r="B16" s="10"/>
      <c r="C16" s="10"/>
      <c r="D16" s="10"/>
      <c r="E16" s="10"/>
      <c r="F16" s="10"/>
      <c r="G16" s="10"/>
      <c r="H16" s="10"/>
      <c r="I16" s="10"/>
      <c r="J16" s="10"/>
      <c r="K16" s="10"/>
      <c r="L16" s="10"/>
      <c r="M16" s="10"/>
      <c r="N16" s="10"/>
      <c r="O16" s="10"/>
      <c r="P16" s="10"/>
      <c r="Q16" s="10"/>
      <c r="R16" s="10"/>
      <c r="S16" s="10"/>
      <c r="T16" s="10"/>
      <c r="U16" s="10"/>
      <c r="V16" s="10"/>
      <c r="W16" s="10"/>
      <c r="AB16" s="5" t="str">
        <f>AB14&amp;AB15</f>
        <v>UndecidedUndecided</v>
      </c>
      <c r="AC16" s="267"/>
      <c r="AD16" s="267"/>
      <c r="AE16" s="267"/>
      <c r="AF16" s="267"/>
      <c r="AG16" s="267"/>
      <c r="AH16" s="267"/>
      <c r="AI16" s="267"/>
      <c r="AW16" s="178"/>
      <c r="AX16" s="178"/>
    </row>
    <row r="17" spans="1:50" ht="15" customHeight="1" x14ac:dyDescent="0.25">
      <c r="A17" s="10"/>
      <c r="B17" s="10"/>
      <c r="C17" s="10"/>
      <c r="D17" s="10"/>
      <c r="E17" s="10"/>
      <c r="F17" s="10"/>
      <c r="G17" s="10"/>
      <c r="H17" s="10"/>
      <c r="I17" s="10"/>
      <c r="J17" s="10"/>
      <c r="K17" s="10"/>
      <c r="L17" s="10"/>
      <c r="M17" s="10"/>
      <c r="N17" s="10"/>
      <c r="O17" s="10"/>
      <c r="P17" s="10"/>
      <c r="Q17" s="10"/>
      <c r="R17" s="10"/>
      <c r="S17" s="10"/>
      <c r="T17" s="10"/>
      <c r="U17" s="10"/>
      <c r="V17" s="10"/>
      <c r="W17" s="10"/>
      <c r="AC17" s="267"/>
      <c r="AD17" s="267"/>
      <c r="AE17" s="267"/>
      <c r="AF17" s="267"/>
      <c r="AG17" s="267"/>
      <c r="AH17" s="267"/>
      <c r="AI17" s="267"/>
      <c r="AW17" s="178"/>
      <c r="AX17" s="178"/>
    </row>
    <row r="18" spans="1:50" ht="15" customHeight="1" x14ac:dyDescent="0.25">
      <c r="A18" s="10"/>
      <c r="B18" s="10"/>
      <c r="C18" s="10"/>
      <c r="D18" s="10"/>
      <c r="E18" s="10"/>
      <c r="F18" s="10"/>
      <c r="G18" s="10"/>
      <c r="H18" s="10"/>
      <c r="I18" s="10"/>
      <c r="J18" s="10"/>
      <c r="K18" s="10"/>
      <c r="L18" s="10"/>
      <c r="M18" s="10"/>
      <c r="N18" s="10"/>
      <c r="O18" s="10"/>
      <c r="P18" s="10"/>
      <c r="Q18" s="10"/>
      <c r="R18" s="10"/>
      <c r="S18" s="10"/>
      <c r="T18" s="10"/>
      <c r="U18" s="10"/>
      <c r="V18" s="10"/>
      <c r="W18" s="10"/>
      <c r="AC18" s="267"/>
      <c r="AD18" s="267"/>
      <c r="AE18" s="267"/>
      <c r="AF18" s="267"/>
      <c r="AG18" s="267"/>
      <c r="AH18" s="267"/>
      <c r="AI18" s="267"/>
      <c r="AW18" s="178"/>
      <c r="AX18" s="178"/>
    </row>
    <row r="19" spans="1:50" ht="15.75" customHeight="1" x14ac:dyDescent="0.35">
      <c r="A19" s="10"/>
      <c r="B19" s="10"/>
      <c r="C19" s="10"/>
      <c r="D19" s="10"/>
      <c r="E19" s="10"/>
      <c r="F19" s="10"/>
      <c r="G19" s="10"/>
      <c r="H19" s="10"/>
      <c r="I19" s="10"/>
      <c r="J19" s="10"/>
      <c r="K19" s="10"/>
      <c r="L19" s="10"/>
      <c r="M19" s="10"/>
      <c r="N19" s="10"/>
      <c r="O19" s="10"/>
      <c r="P19" s="10"/>
      <c r="Q19" s="10"/>
      <c r="R19" s="10"/>
      <c r="S19" s="10"/>
      <c r="T19" s="10"/>
      <c r="U19" s="10"/>
      <c r="V19" s="10"/>
      <c r="W19" s="10"/>
      <c r="AC19" s="75"/>
      <c r="AD19" s="75"/>
      <c r="AE19" s="75"/>
      <c r="AF19" s="75"/>
      <c r="AG19" s="75"/>
      <c r="AH19" s="75"/>
      <c r="AI19" s="75"/>
      <c r="AP19" s="180"/>
      <c r="AQ19" s="180"/>
      <c r="AR19" s="180"/>
      <c r="AS19" s="180"/>
      <c r="AT19" s="180"/>
      <c r="AU19" s="180"/>
      <c r="AV19" s="180"/>
    </row>
    <row r="20" spans="1:50" ht="15" customHeight="1" x14ac:dyDescent="0.35">
      <c r="A20" s="10"/>
      <c r="B20" s="10"/>
      <c r="C20" s="10"/>
      <c r="D20" s="10"/>
      <c r="E20" s="10"/>
      <c r="F20" s="10"/>
      <c r="G20" s="10"/>
      <c r="H20" s="10"/>
      <c r="I20" s="10"/>
      <c r="J20" s="10"/>
      <c r="K20" s="10"/>
      <c r="L20" s="10"/>
      <c r="M20" s="10"/>
      <c r="N20" s="10"/>
      <c r="O20" s="10"/>
      <c r="P20" s="10"/>
      <c r="Q20" s="10"/>
      <c r="R20" s="10"/>
      <c r="S20" s="10"/>
      <c r="T20" s="10"/>
      <c r="U20" s="10"/>
      <c r="V20" s="10"/>
      <c r="W20" s="10"/>
      <c r="AB20" s="5" t="str">
        <f>Reference!AD56</f>
        <v>Undecided</v>
      </c>
      <c r="AC20" s="267" t="str">
        <f>IF(AB20="Owned",IF(AB21=0,"Choose Color for Australia","Australia is also "&amp;VLOOKUP(AB21,Reference!M52:N56,2,0)),"Fighting for Australia")</f>
        <v>Fighting for Australia</v>
      </c>
      <c r="AD20" s="267"/>
      <c r="AE20" s="267"/>
      <c r="AF20" s="267"/>
      <c r="AG20" s="267"/>
      <c r="AH20" s="267"/>
      <c r="AI20" s="267"/>
      <c r="AP20" s="180"/>
      <c r="AQ20" s="180"/>
      <c r="AR20" s="180"/>
      <c r="AS20" s="180"/>
      <c r="AT20" s="180"/>
      <c r="AU20" s="180"/>
      <c r="AV20" s="180"/>
    </row>
    <row r="21" spans="1:50" ht="15" customHeight="1" x14ac:dyDescent="0.35">
      <c r="A21" s="10"/>
      <c r="B21" s="10"/>
      <c r="C21" s="10"/>
      <c r="D21" s="10"/>
      <c r="E21" s="10"/>
      <c r="F21" s="10"/>
      <c r="G21" s="10"/>
      <c r="H21" s="10"/>
      <c r="I21" s="10"/>
      <c r="J21" s="10"/>
      <c r="K21" s="10"/>
      <c r="L21" s="10"/>
      <c r="M21" s="10"/>
      <c r="N21" s="10"/>
      <c r="O21" s="10"/>
      <c r="P21" s="10"/>
      <c r="Q21" s="10"/>
      <c r="R21" s="10"/>
      <c r="S21" s="10"/>
      <c r="T21" s="10"/>
      <c r="U21" s="10"/>
      <c r="V21" s="10"/>
      <c r="W21" s="10"/>
      <c r="AB21" s="5" t="str">
        <f>Setup!AP21</f>
        <v>Undecided</v>
      </c>
      <c r="AC21" s="267"/>
      <c r="AD21" s="267"/>
      <c r="AE21" s="267"/>
      <c r="AF21" s="267"/>
      <c r="AG21" s="267"/>
      <c r="AH21" s="267"/>
      <c r="AI21" s="267"/>
      <c r="AP21" s="180"/>
      <c r="AQ21" s="180"/>
      <c r="AR21" s="180"/>
      <c r="AS21" s="180"/>
      <c r="AT21" s="180"/>
      <c r="AU21" s="180"/>
      <c r="AV21" s="180"/>
    </row>
    <row r="22" spans="1:50" ht="15" customHeight="1" x14ac:dyDescent="0.25">
      <c r="A22" s="10"/>
      <c r="B22" s="10"/>
      <c r="C22" s="10"/>
      <c r="D22" s="10"/>
      <c r="E22" s="10"/>
      <c r="F22" s="10"/>
      <c r="G22" s="10"/>
      <c r="H22" s="10"/>
      <c r="I22" s="10"/>
      <c r="J22" s="10"/>
      <c r="K22" s="10"/>
      <c r="L22" s="10"/>
      <c r="M22" s="10"/>
      <c r="N22" s="10"/>
      <c r="O22" s="10"/>
      <c r="P22" s="10"/>
      <c r="Q22" s="10"/>
      <c r="R22" s="10"/>
      <c r="S22" s="10"/>
      <c r="T22" s="10"/>
      <c r="U22" s="10"/>
      <c r="V22" s="10"/>
      <c r="W22" s="10"/>
      <c r="AB22" s="5" t="str">
        <f>AB20&amp;AB21</f>
        <v>UndecidedUndecided</v>
      </c>
      <c r="AC22" s="267"/>
      <c r="AD22" s="267"/>
      <c r="AE22" s="267"/>
      <c r="AF22" s="267"/>
      <c r="AG22" s="267"/>
      <c r="AH22" s="267"/>
      <c r="AI22" s="267"/>
    </row>
    <row r="23" spans="1:50" ht="15" customHeight="1" x14ac:dyDescent="0.25">
      <c r="A23" s="10"/>
      <c r="B23" s="10"/>
      <c r="C23" s="10"/>
      <c r="D23" s="10"/>
      <c r="E23" s="10"/>
      <c r="F23" s="10"/>
      <c r="G23" s="10"/>
      <c r="H23" s="10"/>
      <c r="I23" s="10"/>
      <c r="J23" s="10"/>
      <c r="K23" s="10"/>
      <c r="L23" s="10"/>
      <c r="M23" s="10"/>
      <c r="N23" s="10"/>
      <c r="O23" s="10"/>
      <c r="P23" s="10"/>
      <c r="Q23" s="10"/>
      <c r="R23" s="10"/>
      <c r="S23" s="10"/>
      <c r="T23" s="10"/>
      <c r="U23" s="10"/>
      <c r="V23" s="10"/>
      <c r="W23" s="10"/>
      <c r="AC23" s="267"/>
      <c r="AD23" s="267"/>
      <c r="AE23" s="267"/>
      <c r="AF23" s="267"/>
      <c r="AG23" s="267"/>
      <c r="AH23" s="267"/>
      <c r="AI23" s="267"/>
    </row>
    <row r="24" spans="1:50" ht="15" customHeight="1" x14ac:dyDescent="0.25">
      <c r="A24" s="10"/>
      <c r="B24" s="10"/>
      <c r="C24" s="10"/>
      <c r="D24" s="10"/>
      <c r="E24" s="10"/>
      <c r="F24" s="10"/>
      <c r="G24" s="10"/>
      <c r="H24" s="10"/>
      <c r="I24" s="10"/>
      <c r="J24" s="10"/>
      <c r="K24" s="10"/>
      <c r="L24" s="10"/>
      <c r="M24" s="10"/>
      <c r="N24" s="10"/>
      <c r="O24" s="10"/>
      <c r="P24" s="10"/>
      <c r="Q24" s="10"/>
      <c r="R24" s="10"/>
      <c r="S24" s="10"/>
      <c r="T24" s="10"/>
      <c r="U24" s="10"/>
      <c r="V24" s="10"/>
      <c r="W24" s="10"/>
      <c r="AC24" s="267"/>
      <c r="AD24" s="267"/>
      <c r="AE24" s="267"/>
      <c r="AF24" s="267"/>
      <c r="AG24" s="267"/>
      <c r="AH24" s="267"/>
      <c r="AI24" s="267"/>
    </row>
    <row r="25" spans="1:50" ht="15.75" customHeight="1" x14ac:dyDescent="0.25">
      <c r="A25" s="10"/>
      <c r="B25" s="10"/>
      <c r="C25" s="10"/>
      <c r="D25" s="10"/>
      <c r="E25" s="10"/>
      <c r="F25" s="10"/>
      <c r="G25" s="10"/>
      <c r="H25" s="10"/>
      <c r="I25" s="10"/>
      <c r="J25" s="10"/>
      <c r="K25" s="10"/>
      <c r="L25" s="10"/>
      <c r="M25" s="10"/>
      <c r="N25" s="10"/>
      <c r="O25" s="10"/>
      <c r="P25" s="10"/>
      <c r="Q25" s="10"/>
      <c r="R25" s="10"/>
      <c r="S25" s="10"/>
      <c r="T25" s="10"/>
      <c r="U25" s="10"/>
      <c r="V25" s="10"/>
      <c r="W25" s="10"/>
      <c r="AC25" s="75"/>
      <c r="AD25" s="75"/>
      <c r="AE25" s="75"/>
      <c r="AF25" s="75"/>
      <c r="AG25" s="75"/>
      <c r="AH25" s="75"/>
      <c r="AI25" s="75"/>
    </row>
    <row r="26" spans="1:50" ht="15" customHeight="1" x14ac:dyDescent="0.25">
      <c r="A26" s="10"/>
      <c r="B26" s="10"/>
      <c r="C26" s="10"/>
      <c r="D26" s="10"/>
      <c r="E26" s="10"/>
      <c r="F26" s="10"/>
      <c r="G26" s="10"/>
      <c r="H26" s="10"/>
      <c r="I26" s="10"/>
      <c r="J26" s="10"/>
      <c r="K26" s="10"/>
      <c r="L26" s="10"/>
      <c r="M26" s="10"/>
      <c r="N26" s="10"/>
      <c r="O26" s="10"/>
      <c r="P26" s="10"/>
      <c r="Q26" s="10"/>
      <c r="R26" s="10"/>
      <c r="S26" s="10"/>
      <c r="T26" s="10"/>
      <c r="U26" s="10"/>
      <c r="V26" s="10"/>
      <c r="W26" s="10"/>
      <c r="AB26" s="5" t="str">
        <f>Reference!AD55</f>
        <v>Undecided</v>
      </c>
      <c r="AC26" s="267" t="str">
        <f>IF(AB26="Owned",IF(AB27=0,"Choose Color for Asia","Asia is also "&amp;VLOOKUP(AB27,Reference!M52:N56,2,0)),"Fighting for Asia")</f>
        <v>Fighting for Asia</v>
      </c>
      <c r="AD26" s="267"/>
      <c r="AE26" s="267"/>
      <c r="AF26" s="267"/>
      <c r="AG26" s="267"/>
      <c r="AH26" s="267"/>
      <c r="AI26" s="267"/>
    </row>
    <row r="27" spans="1:50" ht="15" customHeight="1" x14ac:dyDescent="0.25">
      <c r="A27" s="10"/>
      <c r="B27" s="10"/>
      <c r="C27" s="10"/>
      <c r="D27" s="10"/>
      <c r="E27" s="10"/>
      <c r="F27" s="10"/>
      <c r="G27" s="10"/>
      <c r="H27" s="10"/>
      <c r="I27" s="10"/>
      <c r="J27" s="10"/>
      <c r="K27" s="10"/>
      <c r="L27" s="10"/>
      <c r="M27" s="10"/>
      <c r="N27" s="10"/>
      <c r="O27" s="10"/>
      <c r="P27" s="10"/>
      <c r="Q27" s="10"/>
      <c r="R27" s="10"/>
      <c r="S27" s="10"/>
      <c r="T27" s="10"/>
      <c r="U27" s="10"/>
      <c r="V27" s="10"/>
      <c r="W27" s="10"/>
      <c r="AB27" s="5" t="str">
        <f>Setup!AP20</f>
        <v>Undecided</v>
      </c>
      <c r="AC27" s="267"/>
      <c r="AD27" s="267"/>
      <c r="AE27" s="267"/>
      <c r="AF27" s="267"/>
      <c r="AG27" s="267"/>
      <c r="AH27" s="267"/>
      <c r="AI27" s="267"/>
    </row>
    <row r="28" spans="1:50" ht="15" customHeight="1" x14ac:dyDescent="0.25">
      <c r="A28" s="10"/>
      <c r="B28" s="10"/>
      <c r="C28" s="10"/>
      <c r="D28" s="10"/>
      <c r="E28" s="10"/>
      <c r="F28" s="10"/>
      <c r="G28" s="10"/>
      <c r="H28" s="10"/>
      <c r="I28" s="10"/>
      <c r="J28" s="10"/>
      <c r="K28" s="10"/>
      <c r="L28" s="10"/>
      <c r="M28" s="10"/>
      <c r="N28" s="10"/>
      <c r="O28" s="10"/>
      <c r="P28" s="10"/>
      <c r="Q28" s="10"/>
      <c r="R28" s="10"/>
      <c r="S28" s="10"/>
      <c r="T28" s="10"/>
      <c r="U28" s="10"/>
      <c r="V28" s="10"/>
      <c r="W28" s="10"/>
      <c r="AB28" s="5" t="str">
        <f>AB26&amp;AB27</f>
        <v>UndecidedUndecided</v>
      </c>
      <c r="AC28" s="267"/>
      <c r="AD28" s="267"/>
      <c r="AE28" s="267"/>
      <c r="AF28" s="267"/>
      <c r="AG28" s="267"/>
      <c r="AH28" s="267"/>
      <c r="AI28" s="267"/>
    </row>
    <row r="29" spans="1:50" ht="15" customHeight="1" x14ac:dyDescent="0.25">
      <c r="A29" s="10"/>
      <c r="B29" s="10"/>
      <c r="C29" s="10"/>
      <c r="D29" s="10"/>
      <c r="E29" s="10"/>
      <c r="F29" s="10"/>
      <c r="G29" s="10"/>
      <c r="H29" s="10"/>
      <c r="I29" s="10"/>
      <c r="J29" s="10"/>
      <c r="K29" s="10"/>
      <c r="L29" s="10"/>
      <c r="M29" s="10"/>
      <c r="N29" s="10"/>
      <c r="O29" s="10"/>
      <c r="P29" s="10"/>
      <c r="Q29" s="10"/>
      <c r="R29" s="10"/>
      <c r="S29" s="10"/>
      <c r="T29" s="10"/>
      <c r="U29" s="10"/>
      <c r="V29" s="10"/>
      <c r="W29" s="10"/>
      <c r="AC29" s="267"/>
      <c r="AD29" s="267"/>
      <c r="AE29" s="267"/>
      <c r="AF29" s="267"/>
      <c r="AG29" s="267"/>
      <c r="AH29" s="267"/>
      <c r="AI29" s="267"/>
    </row>
    <row r="30" spans="1:50" ht="15" customHeight="1" x14ac:dyDescent="0.25">
      <c r="A30" s="10"/>
      <c r="B30" s="10"/>
      <c r="C30" s="10"/>
      <c r="D30" s="10"/>
      <c r="E30" s="10"/>
      <c r="F30" s="10"/>
      <c r="G30" s="10"/>
      <c r="H30" s="10"/>
      <c r="I30" s="10"/>
      <c r="J30" s="10"/>
      <c r="K30" s="10"/>
      <c r="L30" s="10"/>
      <c r="M30" s="10"/>
      <c r="N30" s="10"/>
      <c r="O30" s="10"/>
      <c r="P30" s="10"/>
      <c r="Q30" s="10"/>
      <c r="R30" s="10"/>
      <c r="S30" s="10"/>
      <c r="T30" s="10"/>
      <c r="U30" s="10"/>
      <c r="V30" s="10"/>
      <c r="W30" s="10"/>
      <c r="AC30" s="267"/>
      <c r="AD30" s="267"/>
      <c r="AE30" s="267"/>
      <c r="AF30" s="267"/>
      <c r="AG30" s="267"/>
      <c r="AH30" s="267"/>
      <c r="AI30" s="267"/>
    </row>
    <row r="31" spans="1:50" ht="15.75" customHeight="1" x14ac:dyDescent="0.25">
      <c r="A31" s="10"/>
      <c r="B31" s="10"/>
      <c r="C31" s="10"/>
      <c r="D31" s="10"/>
      <c r="E31" s="10"/>
      <c r="F31" s="10"/>
      <c r="G31" s="10"/>
      <c r="H31" s="10"/>
      <c r="I31" s="10"/>
      <c r="J31" s="10"/>
      <c r="K31" s="10"/>
      <c r="L31" s="10"/>
      <c r="M31" s="10"/>
      <c r="N31" s="10"/>
      <c r="O31" s="10"/>
      <c r="P31" s="10"/>
      <c r="Q31" s="10"/>
      <c r="R31" s="10"/>
      <c r="S31" s="10"/>
      <c r="T31" s="10"/>
      <c r="U31" s="10"/>
      <c r="V31" s="10"/>
      <c r="W31" s="10"/>
      <c r="AC31" s="75"/>
      <c r="AD31" s="75"/>
      <c r="AE31" s="75"/>
      <c r="AF31" s="75"/>
      <c r="AG31" s="75"/>
      <c r="AH31" s="75"/>
      <c r="AI31" s="75"/>
    </row>
    <row r="32" spans="1:50" ht="15" customHeight="1" x14ac:dyDescent="0.25">
      <c r="A32" s="10"/>
      <c r="B32" s="10"/>
      <c r="C32" s="10"/>
      <c r="D32" s="10"/>
      <c r="E32" s="10"/>
      <c r="F32" s="10"/>
      <c r="G32" s="10"/>
      <c r="H32" s="10"/>
      <c r="I32" s="10"/>
      <c r="J32" s="10"/>
      <c r="K32" s="10"/>
      <c r="L32" s="10"/>
      <c r="M32" s="10"/>
      <c r="N32" s="10"/>
      <c r="O32" s="10"/>
      <c r="P32" s="10"/>
      <c r="Q32" s="10"/>
      <c r="R32" s="10"/>
      <c r="S32" s="10"/>
      <c r="T32" s="10"/>
      <c r="U32" s="10"/>
      <c r="V32" s="10"/>
      <c r="W32" s="10"/>
      <c r="AB32" s="5" t="str">
        <f>Reference!AD57</f>
        <v>Undecided</v>
      </c>
      <c r="AC32" s="267" t="str">
        <f>IF(AB32="Owned",IF(AB33=0,"Choose Color for South America","South America is also "&amp;VLOOKUP(AB33,Reference!M52:N56,2,0)),"Fighting for South America")</f>
        <v>Fighting for South America</v>
      </c>
      <c r="AD32" s="267"/>
      <c r="AE32" s="267"/>
      <c r="AF32" s="267"/>
      <c r="AG32" s="267"/>
      <c r="AH32" s="267"/>
      <c r="AI32" s="267"/>
    </row>
    <row r="33" spans="1:48" ht="15" customHeight="1" x14ac:dyDescent="0.25">
      <c r="A33" s="10"/>
      <c r="B33" s="10"/>
      <c r="C33" s="10"/>
      <c r="D33" s="10"/>
      <c r="E33" s="10"/>
      <c r="F33" s="10"/>
      <c r="G33" s="10"/>
      <c r="H33" s="10"/>
      <c r="I33" s="10"/>
      <c r="J33" s="10"/>
      <c r="K33" s="10"/>
      <c r="L33" s="10"/>
      <c r="M33" s="10"/>
      <c r="N33" s="10"/>
      <c r="O33" s="10"/>
      <c r="P33" s="10"/>
      <c r="Q33" s="10"/>
      <c r="R33" s="10"/>
      <c r="S33" s="10"/>
      <c r="T33" s="10"/>
      <c r="U33" s="10"/>
      <c r="V33" s="10"/>
      <c r="W33" s="10"/>
      <c r="AB33" s="5" t="str">
        <f>Setup!AP22</f>
        <v>Undecided</v>
      </c>
      <c r="AC33" s="267"/>
      <c r="AD33" s="267"/>
      <c r="AE33" s="267"/>
      <c r="AF33" s="267"/>
      <c r="AG33" s="267"/>
      <c r="AH33" s="267"/>
      <c r="AI33" s="267"/>
      <c r="AP33" s="266" t="s">
        <v>1445</v>
      </c>
      <c r="AQ33" s="266"/>
      <c r="AR33" s="266"/>
      <c r="AS33" s="266"/>
      <c r="AT33" s="266"/>
      <c r="AU33" s="266"/>
      <c r="AV33" s="266"/>
    </row>
    <row r="34" spans="1:48" ht="15" customHeight="1" x14ac:dyDescent="0.25">
      <c r="A34" s="10"/>
      <c r="B34" s="10"/>
      <c r="C34" s="10"/>
      <c r="D34" s="10"/>
      <c r="E34" s="10"/>
      <c r="F34" s="10"/>
      <c r="G34" s="10"/>
      <c r="H34" s="10"/>
      <c r="I34" s="10"/>
      <c r="J34" s="10"/>
      <c r="K34" s="10"/>
      <c r="L34" s="10"/>
      <c r="M34" s="10"/>
      <c r="N34" s="10"/>
      <c r="O34" s="10"/>
      <c r="P34" s="10"/>
      <c r="Q34" s="10"/>
      <c r="R34" s="10"/>
      <c r="S34" s="10"/>
      <c r="T34" s="10"/>
      <c r="U34" s="10"/>
      <c r="V34" s="10"/>
      <c r="W34" s="10"/>
      <c r="AB34" s="5" t="str">
        <f>AB32&amp;AB33</f>
        <v>UndecidedUndecided</v>
      </c>
      <c r="AC34" s="267"/>
      <c r="AD34" s="267"/>
      <c r="AE34" s="267"/>
      <c r="AF34" s="267"/>
      <c r="AG34" s="267"/>
      <c r="AH34" s="267"/>
      <c r="AI34" s="267"/>
      <c r="AP34" s="266"/>
      <c r="AQ34" s="266"/>
      <c r="AR34" s="266"/>
      <c r="AS34" s="266"/>
      <c r="AT34" s="266"/>
      <c r="AU34" s="266"/>
      <c r="AV34" s="266"/>
    </row>
    <row r="35" spans="1:48" ht="15" customHeight="1" x14ac:dyDescent="0.25">
      <c r="A35" s="10"/>
      <c r="B35" s="10"/>
      <c r="C35" s="10"/>
      <c r="D35" s="10"/>
      <c r="E35" s="10"/>
      <c r="F35" s="10"/>
      <c r="G35" s="10"/>
      <c r="H35" s="10"/>
      <c r="I35" s="10"/>
      <c r="J35" s="10"/>
      <c r="K35" s="10"/>
      <c r="L35" s="10"/>
      <c r="M35" s="10"/>
      <c r="N35" s="10"/>
      <c r="O35" s="10"/>
      <c r="P35" s="10"/>
      <c r="Q35" s="10"/>
      <c r="R35" s="10"/>
      <c r="S35" s="10"/>
      <c r="T35" s="10"/>
      <c r="U35" s="10"/>
      <c r="V35" s="10"/>
      <c r="W35" s="10"/>
      <c r="AC35" s="267"/>
      <c r="AD35" s="267"/>
      <c r="AE35" s="267"/>
      <c r="AF35" s="267"/>
      <c r="AG35" s="267"/>
      <c r="AH35" s="267"/>
      <c r="AI35" s="267"/>
      <c r="AP35" s="266"/>
      <c r="AQ35" s="266"/>
      <c r="AR35" s="266"/>
      <c r="AS35" s="266"/>
      <c r="AT35" s="266"/>
      <c r="AU35" s="266"/>
      <c r="AV35" s="266"/>
    </row>
    <row r="36" spans="1:48" ht="15" customHeight="1" x14ac:dyDescent="0.25">
      <c r="A36" s="10"/>
      <c r="B36" s="10"/>
      <c r="C36" s="10"/>
      <c r="D36" s="10"/>
      <c r="E36" s="10"/>
      <c r="F36" s="10"/>
      <c r="G36" s="10"/>
      <c r="H36" s="10"/>
      <c r="I36" s="10"/>
      <c r="J36" s="10"/>
      <c r="K36" s="10"/>
      <c r="L36" s="10"/>
      <c r="M36" s="10"/>
      <c r="N36" s="10"/>
      <c r="O36" s="10"/>
      <c r="P36" s="10"/>
      <c r="Q36" s="10"/>
      <c r="R36" s="10"/>
      <c r="S36" s="10"/>
      <c r="T36" s="10"/>
      <c r="U36" s="10"/>
      <c r="V36" s="10"/>
      <c r="W36" s="10"/>
      <c r="AC36" s="267"/>
      <c r="AD36" s="267"/>
      <c r="AE36" s="267"/>
      <c r="AF36" s="267"/>
      <c r="AG36" s="267"/>
      <c r="AH36" s="267"/>
      <c r="AI36" s="267"/>
      <c r="AP36" s="266"/>
      <c r="AQ36" s="266"/>
      <c r="AR36" s="266"/>
      <c r="AS36" s="266"/>
      <c r="AT36" s="266"/>
      <c r="AU36" s="266"/>
      <c r="AV36" s="266"/>
    </row>
    <row r="37" spans="1:48" ht="9" customHeight="1" x14ac:dyDescent="0.25"/>
    <row r="43" spans="1:48" ht="9.75" customHeight="1" x14ac:dyDescent="0.25"/>
    <row r="48" spans="1:48" ht="8.25" customHeight="1" x14ac:dyDescent="0.25"/>
    <row r="60" spans="1:1" x14ac:dyDescent="0.25">
      <c r="A60" s="6" t="e">
        <f>Reference!W51</f>
        <v>#N/A</v>
      </c>
    </row>
  </sheetData>
  <sheetProtection sheet="1" objects="1" scenarios="1" selectLockedCells="1" selectUnlockedCells="1"/>
  <mergeCells count="8">
    <mergeCell ref="AP2:AV5"/>
    <mergeCell ref="AP33:AV36"/>
    <mergeCell ref="AC32:AI36"/>
    <mergeCell ref="AC2:AI6"/>
    <mergeCell ref="AC8:AI12"/>
    <mergeCell ref="AC14:AI18"/>
    <mergeCell ref="AC20:AI24"/>
    <mergeCell ref="AC26:AI30"/>
  </mergeCells>
  <conditionalFormatting sqref="AC2:AI6 AC8:AI12 AC14:AI18 AC20:AI24 AC26:AI30 AC32:AI36">
    <cfRule type="beginsWith" dxfId="35" priority="27" operator="beginsWith" text="Choose Color">
      <formula>LEFT(AC2,LEN("Choose Color"))="Choose Color"</formula>
    </cfRule>
  </conditionalFormatting>
  <conditionalFormatting sqref="AP2:AV5">
    <cfRule type="beginsWith" dxfId="34" priority="26" operator="beginsWith" text="Ok">
      <formula>LEFT(AP2,LEN("Ok"))="Ok"</formula>
    </cfRule>
  </conditionalFormatting>
  <conditionalFormatting sqref="AC2:AI6">
    <cfRule type="expression" dxfId="33" priority="22">
      <formula>$AB$4="OwnedG"</formula>
    </cfRule>
    <cfRule type="expression" dxfId="32" priority="23">
      <formula>$AB$4="OwnedR"</formula>
    </cfRule>
    <cfRule type="expression" dxfId="31" priority="24">
      <formula>$AB$4="OwnedB"</formula>
    </cfRule>
    <cfRule type="expression" dxfId="30" priority="25">
      <formula>$AB$4="OwnedU"</formula>
    </cfRule>
  </conditionalFormatting>
  <conditionalFormatting sqref="AC8:AI12">
    <cfRule type="expression" dxfId="29" priority="18">
      <formula>$AB$10="OwnedG"</formula>
    </cfRule>
    <cfRule type="expression" dxfId="28" priority="19">
      <formula>$AB$10="OwnedR"</formula>
    </cfRule>
    <cfRule type="expression" dxfId="27" priority="20">
      <formula>$AB$10="OwnedB"</formula>
    </cfRule>
    <cfRule type="expression" dxfId="26" priority="21">
      <formula>$AB$10="OwnedW"</formula>
    </cfRule>
  </conditionalFormatting>
  <conditionalFormatting sqref="AC20:AI24">
    <cfRule type="expression" dxfId="25" priority="14">
      <formula>$AB$22="OwnedG"</formula>
    </cfRule>
    <cfRule type="expression" dxfId="24" priority="15">
      <formula>$AB$22="OwnedB"</formula>
    </cfRule>
    <cfRule type="expression" dxfId="23" priority="16">
      <formula>$AB$22="OwnedU"</formula>
    </cfRule>
    <cfRule type="expression" dxfId="22" priority="17">
      <formula>$AB$22="OwnedW"</formula>
    </cfRule>
  </conditionalFormatting>
  <conditionalFormatting sqref="AC14:AI18">
    <cfRule type="expression" dxfId="21" priority="10">
      <formula>$AB$16="OwnedG"</formula>
    </cfRule>
    <cfRule type="expression" dxfId="20" priority="11">
      <formula>$AB$16="OwnedR"</formula>
    </cfRule>
    <cfRule type="expression" dxfId="19" priority="12">
      <formula>$AB$16="OwnedU"</formula>
    </cfRule>
    <cfRule type="expression" dxfId="18" priority="13">
      <formula>$AB$16="OwnedW"</formula>
    </cfRule>
  </conditionalFormatting>
  <conditionalFormatting sqref="AC26:AI30">
    <cfRule type="expression" dxfId="17" priority="6">
      <formula>$AB$28="OwnedR"</formula>
    </cfRule>
    <cfRule type="expression" dxfId="16" priority="7">
      <formula>$AB$28="OwnedB"</formula>
    </cfRule>
    <cfRule type="expression" dxfId="15" priority="8">
      <formula>$AB$28="OwnedU"</formula>
    </cfRule>
    <cfRule type="expression" dxfId="14" priority="9">
      <formula>$AB$28="OwnedW"</formula>
    </cfRule>
  </conditionalFormatting>
  <conditionalFormatting sqref="AC32:AI36">
    <cfRule type="expression" dxfId="13" priority="1">
      <formula>$AB$34="OwnedG"</formula>
    </cfRule>
    <cfRule type="expression" dxfId="12" priority="2">
      <formula>$AB$34="OwnedR"</formula>
    </cfRule>
    <cfRule type="expression" dxfId="11" priority="3">
      <formula>$AB$34="OwnedB"</formula>
    </cfRule>
    <cfRule type="expression" dxfId="10" priority="4">
      <formula>$AB$34="OwnedU"</formula>
    </cfRule>
    <cfRule type="expression" dxfId="9" priority="5">
      <formula>$AB$34="OwnedW"</formula>
    </cfRule>
  </conditionalFormatting>
  <pageMargins left="0.7" right="0.7" top="0.75" bottom="0.75" header="0.3" footer="0.3"/>
  <pageSetup orientation="portrait" horizontalDpi="300" verticalDpi="300" r:id="rId1"/>
  <drawing r:id="rId2"/>
  <picture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IR152"/>
  <sheetViews>
    <sheetView workbookViewId="0">
      <pane xSplit="12" ySplit="37" topLeftCell="M38" activePane="bottomRight" state="frozen"/>
      <selection pane="topRight" activeCell="M1" sqref="M1"/>
      <selection pane="bottomLeft" activeCell="A38" sqref="A38"/>
      <selection pane="bottomRight" activeCell="O1" sqref="O1:R1048576"/>
    </sheetView>
  </sheetViews>
  <sheetFormatPr defaultColWidth="6.5703125" defaultRowHeight="15" x14ac:dyDescent="0.25"/>
  <cols>
    <col min="1" max="1" width="3.85546875" style="20" customWidth="1"/>
    <col min="2" max="2" width="31.85546875" style="17" customWidth="1"/>
    <col min="3" max="3" width="1.7109375" style="17" customWidth="1"/>
    <col min="4" max="4" width="31.85546875" style="17" customWidth="1"/>
    <col min="5" max="5" width="1.5703125" style="17" customWidth="1"/>
    <col min="6" max="6" width="31.85546875" style="17" customWidth="1"/>
    <col min="7" max="7" width="1.5703125" style="17" customWidth="1"/>
    <col min="8" max="8" width="31.85546875" style="17" customWidth="1"/>
    <col min="9" max="9" width="1.5703125" style="17" customWidth="1"/>
    <col min="10" max="10" width="31.85546875" style="17" customWidth="1"/>
    <col min="11" max="11" width="1.5703125" style="17" customWidth="1"/>
    <col min="12" max="12" width="31.85546875" style="17" customWidth="1"/>
    <col min="13" max="13" width="11.5703125" style="17" customWidth="1"/>
    <col min="14" max="14" width="11.5703125" style="20" customWidth="1"/>
    <col min="15" max="15" width="11.5703125" style="20" hidden="1" customWidth="1"/>
    <col min="16" max="18" width="11.42578125" style="153" hidden="1" customWidth="1"/>
    <col min="19" max="20" width="5.28515625" style="153" customWidth="1"/>
    <col min="21" max="21" width="5.28515625" style="52" customWidth="1"/>
    <col min="22" max="23" width="5.28515625" style="20" customWidth="1"/>
    <col min="24" max="27" width="5.28515625" style="17" customWidth="1"/>
    <col min="28" max="28" width="26.5703125" style="17" bestFit="1" customWidth="1"/>
    <col min="29" max="241" width="6.5703125" style="17"/>
    <col min="242" max="242" width="25.42578125" style="17" bestFit="1" customWidth="1"/>
    <col min="243" max="243" width="56" style="17" bestFit="1" customWidth="1"/>
    <col min="244" max="16384" width="6.5703125" style="17"/>
  </cols>
  <sheetData>
    <row r="1" spans="1:23" s="20" customFormat="1" x14ac:dyDescent="0.25">
      <c r="F1" s="52"/>
      <c r="O1" s="20">
        <f>DefenseRef!B4</f>
        <v>0</v>
      </c>
      <c r="P1" s="153"/>
      <c r="Q1" s="153">
        <v>17</v>
      </c>
      <c r="R1" s="153">
        <v>18</v>
      </c>
      <c r="S1" s="153"/>
      <c r="T1" s="153"/>
      <c r="U1" s="52"/>
    </row>
    <row r="2" spans="1:23" s="19" customFormat="1" ht="49.5" customHeight="1" x14ac:dyDescent="0.25">
      <c r="A2" s="18"/>
      <c r="B2" s="269" t="e">
        <f>IF(Q3="DefenseOk",VLOOKUP(Q2,Setup!Z19:AE20,6,0)&amp;" Confirm",VLOOKUP(Q2,Setup!Z19:AE20,6,0)&amp;" Choose Defense Plane")</f>
        <v>#N/A</v>
      </c>
      <c r="C2" s="269"/>
      <c r="D2" s="269"/>
      <c r="E2" s="269"/>
      <c r="F2" s="269"/>
      <c r="G2" s="269"/>
      <c r="H2" s="269"/>
      <c r="I2" s="269"/>
      <c r="J2" s="269"/>
      <c r="K2" s="269"/>
      <c r="L2" s="269"/>
      <c r="N2" s="29"/>
      <c r="O2" s="27"/>
      <c r="P2" s="153" t="s">
        <v>1020</v>
      </c>
      <c r="Q2" s="153">
        <f>Setup!AC49</f>
        <v>0</v>
      </c>
      <c r="R2" s="153"/>
      <c r="S2" s="153"/>
      <c r="T2" s="153"/>
      <c r="U2" s="29"/>
      <c r="V2" s="27"/>
      <c r="W2" s="27"/>
    </row>
    <row r="3" spans="1:23" ht="45" customHeight="1" x14ac:dyDescent="0.25">
      <c r="B3" s="270" t="str">
        <f>IF(DefenseRef!C12="NoSelection","",IF(DefenseRef!C12="NeedDefense","",DefenseRef!C12)&amp;IF(DefenseRef!C8=" is Taken"," is already taken by "&amp;DefenseRef!C14,""))</f>
        <v/>
      </c>
      <c r="C3" s="270"/>
      <c r="D3" s="270"/>
      <c r="E3" s="270"/>
      <c r="F3" s="270"/>
      <c r="G3" s="270"/>
      <c r="H3" s="270"/>
      <c r="I3" s="270"/>
      <c r="J3" s="270"/>
      <c r="K3" s="270"/>
      <c r="L3" s="270"/>
      <c r="P3" s="153" t="s">
        <v>1378</v>
      </c>
      <c r="Q3" s="153" t="str">
        <f>DefenseRef!C10</f>
        <v>NeedDefense</v>
      </c>
    </row>
    <row r="4" spans="1:23" s="21" customFormat="1" ht="9.75" customHeight="1" x14ac:dyDescent="0.25">
      <c r="C4" s="26"/>
      <c r="D4" s="22"/>
      <c r="E4" s="26"/>
      <c r="F4" s="23"/>
      <c r="G4" s="26"/>
      <c r="H4" s="24"/>
      <c r="I4" s="26"/>
      <c r="J4" s="25"/>
      <c r="K4" s="26"/>
      <c r="L4" s="26"/>
      <c r="M4" s="26"/>
      <c r="O4" s="50"/>
      <c r="P4" s="153"/>
      <c r="Q4" s="153"/>
      <c r="R4" s="153"/>
      <c r="S4" s="153"/>
      <c r="T4" s="153"/>
      <c r="U4" s="148"/>
    </row>
    <row r="5" spans="1:23" s="28" customFormat="1" ht="29.25" customHeight="1" x14ac:dyDescent="0.25">
      <c r="A5" s="27"/>
      <c r="B5" s="58" t="str">
        <f>DefenseRef!H79&amp;DefenseRef!K79</f>
        <v>Agyrem</v>
      </c>
      <c r="C5" s="59"/>
      <c r="D5" s="60" t="str">
        <f>DefenseRef!H66&amp;DefenseRef!K66</f>
        <v>Glen Elendra</v>
      </c>
      <c r="E5" s="59"/>
      <c r="F5" s="61" t="str">
        <f>DefenseRef!H14&amp;DefenseRef!K14</f>
        <v>Academy at Tolaria West</v>
      </c>
      <c r="G5" s="19"/>
      <c r="H5" s="62" t="str">
        <f>DefenseRef!H40&amp;DefenseRef!K40</f>
        <v>Bloodhill Bastion</v>
      </c>
      <c r="I5" s="19"/>
      <c r="J5" s="63" t="str">
        <f>DefenseRef!H27&amp;DefenseRef!K27</f>
        <v>Eloren Wilds</v>
      </c>
      <c r="K5" s="19"/>
      <c r="L5" s="64" t="str">
        <f>DefenseRef!H53&amp;DefenseRef!K53</f>
        <v>Astral Arena</v>
      </c>
      <c r="N5" s="50"/>
      <c r="O5" s="50"/>
      <c r="P5" s="154"/>
      <c r="Q5" s="154"/>
      <c r="R5" s="154"/>
      <c r="S5" s="154"/>
      <c r="T5" s="154"/>
      <c r="U5" s="151"/>
      <c r="V5" s="50"/>
      <c r="W5" s="50"/>
    </row>
    <row r="6" spans="1:23" s="28" customFormat="1" ht="9.75" customHeight="1" x14ac:dyDescent="0.25">
      <c r="A6" s="27"/>
      <c r="B6" s="157"/>
      <c r="C6" s="59"/>
      <c r="D6" s="157"/>
      <c r="E6" s="59"/>
      <c r="F6" s="157"/>
      <c r="G6" s="19"/>
      <c r="H6" s="157"/>
      <c r="I6" s="19"/>
      <c r="J6" s="157"/>
      <c r="K6" s="19"/>
      <c r="L6" s="157"/>
      <c r="N6" s="50"/>
      <c r="O6" s="50"/>
      <c r="P6" s="154"/>
      <c r="Q6" s="154"/>
      <c r="R6" s="154"/>
      <c r="S6" s="154"/>
      <c r="T6" s="154"/>
      <c r="U6" s="151"/>
      <c r="V6" s="50"/>
      <c r="W6" s="50"/>
    </row>
    <row r="7" spans="1:23" s="28" customFormat="1" ht="29.25" customHeight="1" x14ac:dyDescent="0.25">
      <c r="A7" s="27"/>
      <c r="B7" s="58" t="str">
        <f>DefenseRef!H80&amp;DefenseRef!K80</f>
        <v>Akoum</v>
      </c>
      <c r="C7" s="59"/>
      <c r="D7" s="60" t="str">
        <f>DefenseRef!H67&amp;DefenseRef!K67</f>
        <v>Celestine Reef</v>
      </c>
      <c r="E7" s="59"/>
      <c r="F7" s="61" t="str">
        <f>DefenseRef!H15&amp;DefenseRef!K15</f>
        <v>Furnace Layer</v>
      </c>
      <c r="G7" s="19"/>
      <c r="H7" s="62" t="str">
        <f>DefenseRef!H41&amp;DefenseRef!K41</f>
        <v>Feeding Grounds</v>
      </c>
      <c r="I7" s="19"/>
      <c r="J7" s="63" t="str">
        <f>DefenseRef!H28&amp;DefenseRef!K28</f>
        <v>Grove of the Dreampods</v>
      </c>
      <c r="K7" s="19"/>
      <c r="L7" s="64" t="str">
        <f>DefenseRef!H54&amp;DefenseRef!K54</f>
        <v>Glimmervoid Basin</v>
      </c>
      <c r="N7" s="50"/>
      <c r="O7" s="50"/>
      <c r="P7" s="154"/>
      <c r="Q7" s="154"/>
      <c r="R7" s="154"/>
      <c r="S7" s="154"/>
      <c r="T7" s="154"/>
      <c r="U7" s="151"/>
      <c r="V7" s="50"/>
      <c r="W7" s="50"/>
    </row>
    <row r="8" spans="1:23" s="28" customFormat="1" ht="9.75" customHeight="1" x14ac:dyDescent="0.25">
      <c r="A8" s="27"/>
      <c r="B8" s="157"/>
      <c r="C8" s="59"/>
      <c r="D8" s="157"/>
      <c r="E8" s="59"/>
      <c r="F8" s="157"/>
      <c r="G8" s="19"/>
      <c r="H8" s="157"/>
      <c r="I8" s="19"/>
      <c r="J8" s="157"/>
      <c r="K8" s="19"/>
      <c r="L8" s="157"/>
      <c r="N8" s="50"/>
      <c r="O8" s="50"/>
      <c r="P8" s="154"/>
      <c r="Q8" s="154"/>
      <c r="R8" s="154"/>
      <c r="S8" s="154"/>
      <c r="T8" s="154"/>
      <c r="U8" s="151"/>
      <c r="V8" s="50"/>
      <c r="W8" s="50"/>
    </row>
    <row r="9" spans="1:23" s="28" customFormat="1" ht="29.25" customHeight="1" x14ac:dyDescent="0.25">
      <c r="A9" s="29"/>
      <c r="B9" s="58" t="str">
        <f>DefenseRef!H81&amp;DefenseRef!K81</f>
        <v>Aretopolis</v>
      </c>
      <c r="C9" s="59"/>
      <c r="D9" s="60" t="str">
        <f>DefenseRef!H68&amp;DefenseRef!K68</f>
        <v>Edge of Malacol</v>
      </c>
      <c r="E9" s="59"/>
      <c r="F9" s="61" t="str">
        <f>DefenseRef!H16&amp;DefenseRef!K16</f>
        <v>Grand Ossuary</v>
      </c>
      <c r="G9" s="19"/>
      <c r="H9" s="62" t="str">
        <f>DefenseRef!H42&amp;DefenseRef!K42</f>
        <v>Immersturm</v>
      </c>
      <c r="I9" s="19"/>
      <c r="J9" s="63" t="str">
        <f>DefenseRef!H29&amp;DefenseRef!K29</f>
        <v>Kessig</v>
      </c>
      <c r="K9" s="19"/>
      <c r="L9" s="64" t="str">
        <f>DefenseRef!H55&amp;DefenseRef!K55</f>
        <v>Hedron Fields of Agadeem</v>
      </c>
      <c r="N9" s="50"/>
      <c r="O9" s="50"/>
      <c r="P9" s="154"/>
      <c r="Q9" s="154"/>
      <c r="R9" s="154"/>
      <c r="S9" s="154"/>
      <c r="T9" s="154"/>
      <c r="U9" s="151"/>
      <c r="V9" s="50"/>
      <c r="W9" s="50"/>
    </row>
    <row r="10" spans="1:23" s="28" customFormat="1" ht="9.75" customHeight="1" x14ac:dyDescent="0.25">
      <c r="A10" s="29"/>
      <c r="B10" s="157"/>
      <c r="C10" s="59"/>
      <c r="D10" s="157"/>
      <c r="E10" s="59"/>
      <c r="F10" s="157"/>
      <c r="G10" s="19"/>
      <c r="H10" s="157"/>
      <c r="I10" s="19"/>
      <c r="J10" s="157"/>
      <c r="K10" s="19"/>
      <c r="L10" s="157"/>
      <c r="N10" s="50"/>
      <c r="O10" s="50"/>
      <c r="P10" s="154"/>
      <c r="Q10" s="154"/>
      <c r="R10" s="154"/>
      <c r="S10" s="154"/>
      <c r="T10" s="154"/>
      <c r="U10" s="151"/>
      <c r="V10" s="50"/>
      <c r="W10" s="50"/>
    </row>
    <row r="11" spans="1:23" s="28" customFormat="1" ht="29.25" customHeight="1" x14ac:dyDescent="0.25">
      <c r="A11" s="27"/>
      <c r="B11" s="58" t="str">
        <f>DefenseRef!H82&amp;DefenseRef!K82</f>
        <v>Bant</v>
      </c>
      <c r="C11" s="59"/>
      <c r="D11" s="60" t="str">
        <f>DefenseRef!H69&amp;DefenseRef!K69</f>
        <v>Lethe Lake</v>
      </c>
      <c r="E11" s="59"/>
      <c r="F11" s="61" t="str">
        <f>DefenseRef!H17&amp;DefenseRef!K17</f>
        <v>Grixis</v>
      </c>
      <c r="G11" s="19"/>
      <c r="H11" s="62" t="str">
        <f>DefenseRef!H43&amp;DefenseRef!K43</f>
        <v>Izzet Steam Maze</v>
      </c>
      <c r="I11" s="19"/>
      <c r="J11" s="63" t="str">
        <f>DefenseRef!H30&amp;DefenseRef!K30</f>
        <v>Llanowar</v>
      </c>
      <c r="K11" s="19"/>
      <c r="L11" s="64" t="str">
        <f>DefenseRef!H56&amp;DefenseRef!K56</f>
        <v>Horizon Boughs</v>
      </c>
      <c r="N11" s="50"/>
      <c r="O11" s="50"/>
      <c r="P11" s="154"/>
      <c r="Q11" s="154"/>
      <c r="R11" s="154"/>
      <c r="S11" s="154"/>
      <c r="T11" s="154"/>
      <c r="U11" s="151"/>
      <c r="V11" s="50"/>
      <c r="W11" s="50"/>
    </row>
    <row r="12" spans="1:23" s="28" customFormat="1" ht="9.75" customHeight="1" x14ac:dyDescent="0.25">
      <c r="A12" s="27"/>
      <c r="B12" s="157"/>
      <c r="C12" s="59"/>
      <c r="D12" s="157"/>
      <c r="E12" s="59"/>
      <c r="F12" s="157"/>
      <c r="G12" s="19"/>
      <c r="H12" s="157"/>
      <c r="I12" s="19"/>
      <c r="J12" s="157"/>
      <c r="K12" s="19"/>
      <c r="L12" s="157"/>
      <c r="N12" s="50"/>
      <c r="O12" s="50"/>
      <c r="P12" s="154"/>
      <c r="Q12" s="154"/>
      <c r="R12" s="154"/>
      <c r="S12" s="154"/>
      <c r="T12" s="154"/>
      <c r="U12" s="151"/>
      <c r="V12" s="50"/>
      <c r="W12" s="50"/>
    </row>
    <row r="13" spans="1:23" s="28" customFormat="1" ht="29.25" customHeight="1" x14ac:dyDescent="0.25">
      <c r="A13" s="27"/>
      <c r="B13" s="58" t="str">
        <f>DefenseRef!H83&amp;DefenseRef!K83</f>
        <v>Cliffside Market</v>
      </c>
      <c r="C13" s="59"/>
      <c r="D13" s="60" t="str">
        <f>DefenseRef!H70&amp;DefenseRef!K70</f>
        <v>Minamo</v>
      </c>
      <c r="E13" s="59"/>
      <c r="F13" s="61" t="str">
        <f>DefenseRef!H18&amp;DefenseRef!K18</f>
        <v>Lair of the Ashen Idol</v>
      </c>
      <c r="G13" s="19"/>
      <c r="H13" s="62" t="str">
        <f>DefenseRef!H44&amp;DefenseRef!K44</f>
        <v>Jund</v>
      </c>
      <c r="I13" s="19"/>
      <c r="J13" s="63" t="str">
        <f>DefenseRef!H31&amp;DefenseRef!K31</f>
        <v>Murasa</v>
      </c>
      <c r="K13" s="19"/>
      <c r="L13" s="64" t="str">
        <f>DefenseRef!H57&amp;DefenseRef!K57</f>
        <v>Kharasha Foothills</v>
      </c>
      <c r="N13" s="50"/>
      <c r="O13" s="50"/>
      <c r="P13" s="154"/>
      <c r="Q13" s="154"/>
      <c r="R13" s="154"/>
      <c r="S13" s="154"/>
      <c r="T13" s="154"/>
      <c r="U13" s="151"/>
      <c r="V13" s="50"/>
      <c r="W13" s="50"/>
    </row>
    <row r="14" spans="1:23" s="28" customFormat="1" ht="9.75" customHeight="1" x14ac:dyDescent="0.25">
      <c r="A14" s="27"/>
      <c r="B14" s="157"/>
      <c r="C14" s="59"/>
      <c r="D14" s="157"/>
      <c r="E14" s="59"/>
      <c r="F14" s="157"/>
      <c r="G14" s="19"/>
      <c r="H14" s="157"/>
      <c r="I14" s="19"/>
      <c r="J14" s="157"/>
      <c r="K14" s="19"/>
      <c r="L14" s="157"/>
      <c r="N14" s="50"/>
      <c r="O14" s="50"/>
      <c r="P14" s="154"/>
      <c r="Q14" s="154"/>
      <c r="R14" s="154"/>
      <c r="S14" s="154"/>
      <c r="T14" s="154"/>
      <c r="U14" s="151"/>
      <c r="V14" s="50"/>
      <c r="W14" s="50"/>
    </row>
    <row r="15" spans="1:23" s="28" customFormat="1" ht="29.25" customHeight="1" x14ac:dyDescent="0.25">
      <c r="A15" s="27"/>
      <c r="B15" s="58" t="str">
        <f>DefenseRef!H84&amp;DefenseRef!K84</f>
        <v>Fields of Summer</v>
      </c>
      <c r="C15" s="59"/>
      <c r="D15" s="60" t="str">
        <f>DefenseRef!H71&amp;DefenseRef!K71</f>
        <v>Panopticon</v>
      </c>
      <c r="E15" s="59"/>
      <c r="F15" s="61" t="str">
        <f>DefenseRef!H19&amp;DefenseRef!K19</f>
        <v>Nephalia</v>
      </c>
      <c r="G15" s="19"/>
      <c r="H15" s="62" t="str">
        <f>DefenseRef!H45&amp;DefenseRef!K45</f>
        <v>Kilnspire District</v>
      </c>
      <c r="I15" s="19"/>
      <c r="J15" s="63" t="str">
        <f>DefenseRef!H32&amp;DefenseRef!K32</f>
        <v>Naya</v>
      </c>
      <c r="K15" s="19"/>
      <c r="L15" s="64" t="str">
        <f>DefenseRef!H58&amp;DefenseRef!K58</f>
        <v>Krosa</v>
      </c>
      <c r="N15" s="50"/>
      <c r="O15" s="50"/>
      <c r="P15" s="154"/>
      <c r="Q15" s="154"/>
      <c r="R15" s="154"/>
      <c r="S15" s="154"/>
      <c r="T15" s="154"/>
      <c r="U15" s="151"/>
      <c r="V15" s="50"/>
      <c r="W15" s="50"/>
    </row>
    <row r="16" spans="1:23" s="28" customFormat="1" ht="9.75" customHeight="1" x14ac:dyDescent="0.25">
      <c r="A16" s="27"/>
      <c r="B16" s="157"/>
      <c r="C16" s="59"/>
      <c r="D16" s="157"/>
      <c r="E16" s="59"/>
      <c r="F16" s="157"/>
      <c r="G16" s="19"/>
      <c r="H16" s="157"/>
      <c r="I16" s="19"/>
      <c r="J16" s="157"/>
      <c r="K16" s="19"/>
      <c r="L16" s="157"/>
      <c r="N16" s="50"/>
      <c r="O16" s="50"/>
      <c r="P16" s="154"/>
      <c r="Q16" s="154"/>
      <c r="R16" s="154"/>
      <c r="S16" s="154"/>
      <c r="T16" s="154"/>
      <c r="U16" s="151"/>
      <c r="V16" s="50"/>
      <c r="W16" s="50"/>
    </row>
    <row r="17" spans="1:23" s="28" customFormat="1" ht="29.25" customHeight="1" x14ac:dyDescent="0.25">
      <c r="A17" s="27"/>
      <c r="B17" s="58" t="str">
        <f>DefenseRef!H85&amp;DefenseRef!K85</f>
        <v>Gavony</v>
      </c>
      <c r="C17" s="59"/>
      <c r="D17" s="60" t="str">
        <f>DefenseRef!H72&amp;DefenseRef!K72</f>
        <v>Quicksilver Sea</v>
      </c>
      <c r="E17" s="59"/>
      <c r="F17" s="61" t="str">
        <f>DefenseRef!H20&amp;DefenseRef!K20</f>
        <v>Norn's Dominion</v>
      </c>
      <c r="G17" s="19"/>
      <c r="H17" s="62" t="str">
        <f>DefenseRef!H46&amp;DefenseRef!K46</f>
        <v>Mirrored Depths</v>
      </c>
      <c r="I17" s="19"/>
      <c r="J17" s="63" t="str">
        <f>DefenseRef!H33&amp;DefenseRef!K33</f>
        <v>Orochi Colony</v>
      </c>
      <c r="K17" s="19"/>
      <c r="L17" s="64" t="str">
        <f>DefenseRef!H59&amp;DefenseRef!K59</f>
        <v>Otaria</v>
      </c>
      <c r="N17" s="50"/>
      <c r="O17" s="50"/>
      <c r="P17" s="154"/>
      <c r="Q17" s="154"/>
      <c r="R17" s="154"/>
      <c r="S17" s="154"/>
      <c r="T17" s="154"/>
      <c r="U17" s="151"/>
      <c r="V17" s="50"/>
      <c r="W17" s="50"/>
    </row>
    <row r="18" spans="1:23" s="28" customFormat="1" ht="9.75" customHeight="1" x14ac:dyDescent="0.25">
      <c r="A18" s="27"/>
      <c r="B18" s="157"/>
      <c r="C18" s="59"/>
      <c r="D18" s="157"/>
      <c r="E18" s="59"/>
      <c r="F18" s="157"/>
      <c r="G18" s="19"/>
      <c r="H18" s="157"/>
      <c r="I18" s="19"/>
      <c r="J18" s="157"/>
      <c r="K18" s="19"/>
      <c r="L18" s="157"/>
      <c r="N18" s="50"/>
      <c r="O18" s="50"/>
      <c r="P18" s="154"/>
      <c r="Q18" s="154"/>
      <c r="R18" s="154"/>
      <c r="S18" s="154"/>
      <c r="T18" s="154"/>
      <c r="U18" s="151"/>
      <c r="V18" s="50"/>
      <c r="W18" s="50"/>
    </row>
    <row r="19" spans="1:23" s="28" customFormat="1" ht="29.25" customHeight="1" x14ac:dyDescent="0.25">
      <c r="A19" s="27"/>
      <c r="B19" s="58" t="str">
        <f>DefenseRef!H86&amp;DefenseRef!K86</f>
        <v>Goldmeadow</v>
      </c>
      <c r="C19" s="59"/>
      <c r="D19" s="60" t="str">
        <f>DefenseRef!H73&amp;DefenseRef!K73</f>
        <v>Talon Gates</v>
      </c>
      <c r="E19" s="59"/>
      <c r="F19" s="61" t="str">
        <f>DefenseRef!H21&amp;DefenseRef!K21</f>
        <v>Onakke Catacomb</v>
      </c>
      <c r="G19" s="19"/>
      <c r="H19" s="62" t="str">
        <f>DefenseRef!H47&amp;DefenseRef!K47</f>
        <v>Mount Keralia</v>
      </c>
      <c r="I19" s="19"/>
      <c r="J19" s="63" t="str">
        <f>DefenseRef!H34&amp;DefenseRef!K34</f>
        <v>Selesnya Loft Gardens</v>
      </c>
      <c r="K19" s="19"/>
      <c r="L19" s="64" t="str">
        <f>DefenseRef!H60&amp;DefenseRef!K60</f>
        <v>Pools of Becoming</v>
      </c>
      <c r="N19" s="50"/>
      <c r="O19" s="50"/>
      <c r="P19" s="154"/>
      <c r="Q19" s="154"/>
      <c r="R19" s="154"/>
      <c r="S19" s="154"/>
      <c r="T19" s="154"/>
      <c r="U19" s="151"/>
      <c r="V19" s="50"/>
      <c r="W19" s="50"/>
    </row>
    <row r="20" spans="1:23" s="28" customFormat="1" ht="9.75" customHeight="1" x14ac:dyDescent="0.25">
      <c r="A20" s="27"/>
      <c r="B20" s="157"/>
      <c r="C20" s="59"/>
      <c r="D20" s="157"/>
      <c r="E20" s="59"/>
      <c r="F20" s="157"/>
      <c r="G20" s="19"/>
      <c r="H20" s="157"/>
      <c r="I20" s="19"/>
      <c r="J20" s="157"/>
      <c r="K20" s="19"/>
      <c r="L20" s="157"/>
      <c r="N20" s="50"/>
      <c r="O20" s="50"/>
      <c r="P20" s="154"/>
      <c r="Q20" s="154"/>
      <c r="R20" s="154"/>
      <c r="S20" s="154"/>
      <c r="T20" s="154"/>
      <c r="U20" s="151"/>
      <c r="V20" s="50"/>
      <c r="W20" s="50"/>
    </row>
    <row r="21" spans="1:23" s="28" customFormat="1" ht="29.25" customHeight="1" x14ac:dyDescent="0.25">
      <c r="A21" s="27"/>
      <c r="B21" s="58" t="str">
        <f>DefenseRef!H87&amp;DefenseRef!K87</f>
        <v>Isle of Vesuva</v>
      </c>
      <c r="C21" s="59"/>
      <c r="D21" s="60" t="str">
        <f>DefenseRef!H74&amp;DefenseRef!K74</f>
        <v>The Eon Fog</v>
      </c>
      <c r="E21" s="59"/>
      <c r="F21" s="61" t="str">
        <f>DefenseRef!H22&amp;DefenseRef!K22</f>
        <v>Raven's Run</v>
      </c>
      <c r="G21" s="19"/>
      <c r="H21" s="62" t="str">
        <f>DefenseRef!H48&amp;DefenseRef!K48</f>
        <v>Naar Isle</v>
      </c>
      <c r="I21" s="19"/>
      <c r="J21" s="63" t="str">
        <f>DefenseRef!H35&amp;DefenseRef!K35</f>
        <v>Tazeem</v>
      </c>
      <c r="K21" s="19"/>
      <c r="L21" s="64" t="str">
        <f>DefenseRef!H61&amp;DefenseRef!K61</f>
        <v>Skybreen</v>
      </c>
      <c r="N21" s="50"/>
      <c r="O21" s="50"/>
      <c r="P21" s="154"/>
      <c r="Q21" s="154"/>
      <c r="R21" s="154"/>
      <c r="S21" s="154"/>
      <c r="T21" s="154"/>
      <c r="U21" s="151"/>
      <c r="V21" s="50"/>
      <c r="W21" s="50"/>
    </row>
    <row r="22" spans="1:23" s="28" customFormat="1" ht="9.75" customHeight="1" x14ac:dyDescent="0.25">
      <c r="A22" s="27"/>
      <c r="B22" s="157"/>
      <c r="C22" s="59"/>
      <c r="D22" s="157"/>
      <c r="E22" s="59"/>
      <c r="F22" s="157"/>
      <c r="G22" s="19"/>
      <c r="H22" s="157"/>
      <c r="I22" s="19"/>
      <c r="J22" s="157"/>
      <c r="K22" s="19"/>
      <c r="L22" s="157"/>
      <c r="N22" s="50"/>
      <c r="O22" s="50"/>
      <c r="P22" s="154"/>
      <c r="Q22" s="154"/>
      <c r="R22" s="154"/>
      <c r="S22" s="154"/>
      <c r="T22" s="154"/>
      <c r="U22" s="151"/>
      <c r="V22" s="50"/>
      <c r="W22" s="50"/>
    </row>
    <row r="23" spans="1:23" s="28" customFormat="1" ht="29.25" customHeight="1" x14ac:dyDescent="0.25">
      <c r="A23" s="27"/>
      <c r="B23" s="58" t="str">
        <f>DefenseRef!H88&amp;DefenseRef!K88</f>
        <v>Orzhova</v>
      </c>
      <c r="C23" s="59"/>
      <c r="D23" s="60" t="str">
        <f>DefenseRef!H75&amp;DefenseRef!K75</f>
        <v>The Zephyr Maze</v>
      </c>
      <c r="E23" s="59"/>
      <c r="F23" s="61" t="str">
        <f>DefenseRef!H23&amp;DefenseRef!K23</f>
        <v>Tember City</v>
      </c>
      <c r="G23" s="19"/>
      <c r="H23" s="62" t="str">
        <f>DefenseRef!H49&amp;DefenseRef!K49</f>
        <v>Shiv</v>
      </c>
      <c r="I23" s="19"/>
      <c r="J23" s="63" t="str">
        <f>DefenseRef!H36&amp;DefenseRef!K36</f>
        <v>The Great Forest</v>
      </c>
      <c r="K23" s="19"/>
      <c r="L23" s="64" t="str">
        <f>DefenseRef!H62&amp;DefenseRef!K62</f>
        <v>Stairs to Infinity</v>
      </c>
      <c r="N23" s="50"/>
      <c r="O23" s="50"/>
      <c r="P23" s="154"/>
      <c r="Q23" s="154"/>
      <c r="R23" s="154"/>
      <c r="S23" s="154"/>
      <c r="T23" s="154"/>
      <c r="U23" s="151"/>
      <c r="V23" s="50"/>
      <c r="W23" s="50"/>
    </row>
    <row r="24" spans="1:23" s="28" customFormat="1" ht="9.75" customHeight="1" x14ac:dyDescent="0.25">
      <c r="A24" s="27"/>
      <c r="B24" s="157"/>
      <c r="C24" s="59"/>
      <c r="D24" s="157"/>
      <c r="E24" s="59"/>
      <c r="F24" s="157"/>
      <c r="G24" s="19"/>
      <c r="H24" s="157"/>
      <c r="I24" s="19"/>
      <c r="J24" s="157"/>
      <c r="K24" s="19"/>
      <c r="L24" s="157"/>
      <c r="N24" s="50"/>
      <c r="O24" s="50"/>
      <c r="P24" s="154"/>
      <c r="Q24" s="154"/>
      <c r="R24" s="154"/>
      <c r="S24" s="154"/>
      <c r="T24" s="154"/>
      <c r="U24" s="151"/>
      <c r="V24" s="50"/>
      <c r="W24" s="50"/>
    </row>
    <row r="25" spans="1:23" s="28" customFormat="1" ht="29.25" customHeight="1" x14ac:dyDescent="0.25">
      <c r="A25" s="27"/>
      <c r="B25" s="58" t="str">
        <f>DefenseRef!H89&amp;DefenseRef!K89</f>
        <v>Prahv</v>
      </c>
      <c r="C25" s="59"/>
      <c r="D25" s="60" t="str">
        <f>DefenseRef!H76&amp;DefenseRef!K76</f>
        <v>Trail of the Mage-Rings</v>
      </c>
      <c r="E25" s="59"/>
      <c r="F25" s="61" t="str">
        <f>DefenseRef!H24&amp;DefenseRef!K24</f>
        <v>The Dark Barony</v>
      </c>
      <c r="G25" s="19"/>
      <c r="H25" s="62" t="str">
        <f>DefenseRef!H50&amp;DefenseRef!K50</f>
        <v>Sokenzan</v>
      </c>
      <c r="I25" s="19"/>
      <c r="J25" s="63" t="str">
        <f>DefenseRef!H37&amp;DefenseRef!K37</f>
        <v>Truga Jungle</v>
      </c>
      <c r="K25" s="19"/>
      <c r="L25" s="64" t="str">
        <f>DefenseRef!H63&amp;DefenseRef!K63</f>
        <v>The Hippodrome</v>
      </c>
      <c r="N25" s="50"/>
      <c r="O25" s="50"/>
      <c r="P25" s="154"/>
      <c r="Q25" s="154"/>
      <c r="R25" s="154"/>
      <c r="S25" s="154"/>
      <c r="T25" s="154"/>
      <c r="U25" s="151"/>
      <c r="V25" s="50"/>
      <c r="W25" s="50"/>
    </row>
    <row r="26" spans="1:23" s="28" customFormat="1" ht="9.75" customHeight="1" x14ac:dyDescent="0.25">
      <c r="A26" s="27"/>
      <c r="B26" s="157"/>
      <c r="C26" s="59"/>
      <c r="D26" s="157"/>
      <c r="E26" s="59"/>
      <c r="F26" s="157"/>
      <c r="G26" s="19"/>
      <c r="H26" s="157"/>
      <c r="I26" s="19"/>
      <c r="J26" s="157"/>
      <c r="K26" s="19"/>
      <c r="L26" s="157"/>
      <c r="N26" s="50"/>
      <c r="O26" s="50"/>
      <c r="P26" s="154"/>
      <c r="Q26" s="154"/>
      <c r="R26" s="154"/>
      <c r="S26" s="154"/>
      <c r="T26" s="154"/>
      <c r="U26" s="151"/>
      <c r="V26" s="50"/>
      <c r="W26" s="50"/>
    </row>
    <row r="27" spans="1:23" s="28" customFormat="1" ht="29.25" customHeight="1" x14ac:dyDescent="0.25">
      <c r="A27" s="27"/>
      <c r="B27" s="58" t="str">
        <f>DefenseRef!H90&amp;DefenseRef!K90</f>
        <v>Sanctum of Serra</v>
      </c>
      <c r="C27" s="59"/>
      <c r="D27" s="60" t="str">
        <f>DefenseRef!H77&amp;DefenseRef!K77</f>
        <v>Undercity Reaches</v>
      </c>
      <c r="E27" s="59"/>
      <c r="F27" s="61" t="str">
        <f>DefenseRef!H25&amp;DefenseRef!K25</f>
        <v>The Fourth Sphere</v>
      </c>
      <c r="G27" s="19"/>
      <c r="H27" s="62" t="str">
        <f>DefenseRef!H51&amp;DefenseRef!K51</f>
        <v>Stensia</v>
      </c>
      <c r="I27" s="19"/>
      <c r="J27" s="63" t="str">
        <f>DefenseRef!H38&amp;DefenseRef!K38</f>
        <v>Turri Island</v>
      </c>
      <c r="K27" s="19"/>
      <c r="L27" s="64" t="str">
        <f>DefenseRef!H64&amp;DefenseRef!K64</f>
        <v>The Maelstrom</v>
      </c>
      <c r="N27" s="50"/>
      <c r="O27" s="50"/>
      <c r="P27" s="154"/>
      <c r="Q27" s="154"/>
      <c r="R27" s="154"/>
      <c r="S27" s="154"/>
      <c r="T27" s="154"/>
      <c r="U27" s="151"/>
      <c r="V27" s="50"/>
      <c r="W27" s="50"/>
    </row>
    <row r="28" spans="1:23" s="28" customFormat="1" ht="9.75" customHeight="1" x14ac:dyDescent="0.25">
      <c r="A28" s="27"/>
      <c r="B28" s="157"/>
      <c r="C28" s="59"/>
      <c r="D28" s="157"/>
      <c r="E28" s="59"/>
      <c r="F28" s="157"/>
      <c r="G28" s="19"/>
      <c r="H28" s="157"/>
      <c r="I28" s="19"/>
      <c r="J28" s="157"/>
      <c r="K28" s="19"/>
      <c r="L28" s="157"/>
      <c r="N28" s="50"/>
      <c r="O28" s="50"/>
      <c r="P28" s="154"/>
      <c r="Q28" s="154"/>
      <c r="R28" s="154"/>
      <c r="S28" s="154"/>
      <c r="T28" s="154"/>
      <c r="U28" s="151"/>
      <c r="V28" s="50"/>
      <c r="W28" s="50"/>
    </row>
    <row r="29" spans="1:23" s="28" customFormat="1" ht="29.25" customHeight="1" x14ac:dyDescent="0.25">
      <c r="A29" s="27"/>
      <c r="B29" s="58" t="str">
        <f>DefenseRef!H91&amp;DefenseRef!K91</f>
        <v>Sea of Sand</v>
      </c>
      <c r="C29" s="59"/>
      <c r="D29" s="60" t="str">
        <f>DefenseRef!H78&amp;DefenseRef!K78</f>
        <v>Windriddle Palaces</v>
      </c>
      <c r="E29" s="59"/>
      <c r="F29" s="61" t="str">
        <f>DefenseRef!H26&amp;DefenseRef!K26</f>
        <v>Takenuma</v>
      </c>
      <c r="G29" s="19"/>
      <c r="H29" s="62" t="str">
        <f>DefenseRef!H52&amp;DefenseRef!K52</f>
        <v>Stronghold Furnace</v>
      </c>
      <c r="I29" s="19"/>
      <c r="J29" s="63" t="str">
        <f>DefenseRef!H39&amp;DefenseRef!K39</f>
        <v>The Aether Flues</v>
      </c>
      <c r="K29" s="19"/>
      <c r="L29" s="64" t="str">
        <f>DefenseRef!H65&amp;DefenseRef!K65</f>
        <v>Velis Vel</v>
      </c>
      <c r="N29" s="50"/>
      <c r="O29" s="50"/>
      <c r="P29" s="154"/>
      <c r="Q29" s="154"/>
      <c r="R29" s="154"/>
      <c r="S29" s="154"/>
      <c r="T29" s="154"/>
      <c r="U29" s="151"/>
      <c r="V29" s="50"/>
      <c r="W29" s="50"/>
    </row>
    <row r="30" spans="1:23" s="19" customFormat="1" ht="28.5" x14ac:dyDescent="0.25">
      <c r="A30" s="27"/>
      <c r="B30" s="18"/>
      <c r="D30" s="18"/>
      <c r="F30" s="18"/>
      <c r="H30" s="18"/>
      <c r="J30" s="18"/>
      <c r="L30" s="18"/>
      <c r="N30" s="27"/>
      <c r="O30" s="50"/>
      <c r="P30" s="153"/>
      <c r="Q30" s="153"/>
      <c r="R30" s="153"/>
      <c r="S30" s="153"/>
      <c r="T30" s="153"/>
      <c r="U30" s="29"/>
      <c r="V30" s="27"/>
      <c r="W30" s="27"/>
    </row>
    <row r="31" spans="1:23" s="28" customFormat="1" ht="28.5" customHeight="1" x14ac:dyDescent="0.25">
      <c r="A31" s="27"/>
      <c r="B31" s="268" t="str">
        <f>IF(ISNA(VLOOKUP(B3,DefenseRef!H:J,3,0)),"",VLOOKUP(B3,DefenseRef!H:J,3,0))</f>
        <v/>
      </c>
      <c r="C31" s="268"/>
      <c r="D31" s="268"/>
      <c r="E31" s="268"/>
      <c r="F31" s="268"/>
      <c r="G31" s="268"/>
      <c r="H31" s="268"/>
      <c r="I31" s="268"/>
      <c r="J31" s="268"/>
      <c r="K31" s="268"/>
      <c r="L31" s="268"/>
      <c r="N31" s="50"/>
      <c r="O31" s="50"/>
      <c r="P31" s="154"/>
      <c r="Q31" s="154"/>
      <c r="R31" s="154"/>
      <c r="S31" s="154"/>
      <c r="T31" s="154"/>
      <c r="U31" s="151"/>
      <c r="V31" s="50"/>
      <c r="W31" s="50"/>
    </row>
    <row r="32" spans="1:23" s="19" customFormat="1" ht="28.5" customHeight="1" x14ac:dyDescent="0.25">
      <c r="A32" s="27"/>
      <c r="B32" s="268"/>
      <c r="C32" s="268"/>
      <c r="D32" s="268"/>
      <c r="E32" s="268"/>
      <c r="F32" s="268"/>
      <c r="G32" s="268"/>
      <c r="H32" s="268"/>
      <c r="I32" s="268"/>
      <c r="J32" s="268"/>
      <c r="K32" s="268"/>
      <c r="L32" s="268"/>
      <c r="N32" s="27"/>
      <c r="O32" s="50"/>
      <c r="P32" s="153"/>
      <c r="Q32" s="153"/>
      <c r="R32" s="153"/>
      <c r="S32" s="153"/>
      <c r="T32" s="153"/>
      <c r="U32" s="29"/>
      <c r="V32" s="27"/>
      <c r="W32" s="27"/>
    </row>
    <row r="33" spans="1:27" s="30" customFormat="1" ht="18.75" customHeight="1" x14ac:dyDescent="0.25">
      <c r="A33" s="21"/>
      <c r="B33" s="268"/>
      <c r="C33" s="268"/>
      <c r="D33" s="268"/>
      <c r="E33" s="268"/>
      <c r="F33" s="268"/>
      <c r="G33" s="268"/>
      <c r="H33" s="268"/>
      <c r="I33" s="268"/>
      <c r="J33" s="268"/>
      <c r="K33" s="268"/>
      <c r="L33" s="268"/>
      <c r="N33" s="21"/>
      <c r="O33" s="50"/>
      <c r="P33" s="153"/>
      <c r="Q33" s="153"/>
      <c r="R33" s="153"/>
      <c r="S33" s="153"/>
      <c r="T33" s="153"/>
      <c r="U33" s="148"/>
      <c r="V33" s="21"/>
      <c r="W33" s="21"/>
    </row>
    <row r="34" spans="1:27" s="32" customFormat="1" ht="28.5" x14ac:dyDescent="0.45">
      <c r="A34" s="31"/>
      <c r="B34" s="268"/>
      <c r="C34" s="268"/>
      <c r="D34" s="268"/>
      <c r="E34" s="268"/>
      <c r="F34" s="268"/>
      <c r="G34" s="268"/>
      <c r="H34" s="268"/>
      <c r="I34" s="268"/>
      <c r="J34" s="268"/>
      <c r="K34" s="268"/>
      <c r="L34" s="268"/>
      <c r="N34" s="31"/>
      <c r="O34" s="50"/>
      <c r="P34" s="155"/>
      <c r="Q34" s="155"/>
      <c r="R34" s="155"/>
      <c r="S34" s="155"/>
      <c r="T34" s="155"/>
      <c r="U34" s="149"/>
      <c r="V34" s="31"/>
      <c r="W34" s="31"/>
    </row>
    <row r="35" spans="1:27" s="19" customFormat="1" ht="28.5" x14ac:dyDescent="0.25">
      <c r="A35" s="27"/>
      <c r="B35" s="268"/>
      <c r="C35" s="268"/>
      <c r="D35" s="268"/>
      <c r="E35" s="268"/>
      <c r="F35" s="268"/>
      <c r="G35" s="268"/>
      <c r="H35" s="268"/>
      <c r="I35" s="268"/>
      <c r="J35" s="268"/>
      <c r="K35" s="268"/>
      <c r="L35" s="268"/>
      <c r="N35" s="27"/>
      <c r="O35" s="50"/>
      <c r="P35" s="153"/>
      <c r="Q35" s="153"/>
      <c r="R35" s="153"/>
      <c r="S35" s="153"/>
      <c r="T35" s="153"/>
      <c r="U35" s="29"/>
      <c r="V35" s="27"/>
      <c r="W35" s="27"/>
    </row>
    <row r="36" spans="1:27" s="34" customFormat="1" ht="15" customHeight="1" x14ac:dyDescent="0.25">
      <c r="A36" s="33"/>
      <c r="B36" s="268"/>
      <c r="C36" s="268"/>
      <c r="D36" s="268"/>
      <c r="E36" s="268"/>
      <c r="F36" s="268"/>
      <c r="G36" s="268"/>
      <c r="H36" s="268"/>
      <c r="I36" s="268"/>
      <c r="J36" s="268"/>
      <c r="K36" s="268"/>
      <c r="L36" s="268"/>
      <c r="N36" s="33"/>
      <c r="O36" s="50"/>
      <c r="P36" s="156"/>
      <c r="Q36" s="156"/>
      <c r="R36" s="156"/>
      <c r="S36" s="156"/>
      <c r="T36" s="156"/>
      <c r="U36" s="150"/>
      <c r="V36" s="33"/>
      <c r="W36" s="33"/>
    </row>
    <row r="37" spans="1:27" ht="15" customHeight="1" x14ac:dyDescent="0.25">
      <c r="B37" s="268"/>
      <c r="C37" s="268"/>
      <c r="D37" s="268"/>
      <c r="E37" s="268"/>
      <c r="F37" s="268"/>
      <c r="G37" s="268"/>
      <c r="H37" s="268"/>
      <c r="I37" s="268"/>
      <c r="J37" s="268"/>
      <c r="K37" s="268"/>
      <c r="L37" s="268"/>
      <c r="O37" s="50"/>
    </row>
    <row r="38" spans="1:27" ht="28.5" x14ac:dyDescent="0.25">
      <c r="B38" s="43" t="s">
        <v>1201</v>
      </c>
      <c r="O38" s="50"/>
    </row>
    <row r="39" spans="1:27" ht="28.5" x14ac:dyDescent="0.25">
      <c r="O39" s="50"/>
    </row>
    <row r="40" spans="1:27" s="35" customFormat="1" ht="28.5" x14ac:dyDescent="0.25">
      <c r="G40" s="36"/>
      <c r="H40" s="12"/>
      <c r="M40" s="37"/>
      <c r="O40" s="50"/>
      <c r="P40" s="155"/>
      <c r="Q40" s="155"/>
      <c r="R40" s="155"/>
      <c r="S40" s="155"/>
      <c r="T40" s="155"/>
      <c r="U40" s="152"/>
    </row>
    <row r="41" spans="1:27" s="38" customFormat="1" ht="28.5" x14ac:dyDescent="0.25">
      <c r="B41" s="44"/>
      <c r="C41" s="39"/>
      <c r="O41" s="50"/>
      <c r="P41" s="153"/>
      <c r="Q41" s="153"/>
      <c r="R41" s="153"/>
      <c r="S41" s="153"/>
      <c r="T41" s="153"/>
      <c r="U41" s="39"/>
    </row>
    <row r="42" spans="1:27" s="38" customFormat="1" ht="28.5" x14ac:dyDescent="0.25">
      <c r="O42" s="50"/>
      <c r="P42" s="153"/>
      <c r="Q42" s="153"/>
      <c r="R42" s="153"/>
      <c r="S42" s="153"/>
      <c r="T42" s="153"/>
      <c r="U42" s="39"/>
    </row>
    <row r="43" spans="1:27" s="40" customFormat="1" ht="28.5" x14ac:dyDescent="0.25">
      <c r="A43" s="41"/>
      <c r="C43" s="39"/>
      <c r="G43" s="39"/>
      <c r="H43" s="41"/>
      <c r="I43" s="41"/>
      <c r="J43" s="41"/>
      <c r="M43" s="44"/>
      <c r="N43" s="39"/>
      <c r="O43" s="50"/>
      <c r="P43" s="153"/>
      <c r="Q43" s="153"/>
      <c r="R43" s="153"/>
      <c r="S43" s="153"/>
      <c r="T43" s="153"/>
      <c r="U43" s="39"/>
      <c r="V43" s="38"/>
      <c r="W43" s="38"/>
      <c r="X43" s="44"/>
      <c r="Y43" s="44"/>
      <c r="Z43" s="44"/>
      <c r="AA43" s="44"/>
    </row>
    <row r="44" spans="1:27" s="40" customFormat="1" ht="28.5" x14ac:dyDescent="0.25">
      <c r="A44" s="41"/>
      <c r="C44" s="39"/>
      <c r="G44" s="39"/>
      <c r="H44" s="41"/>
      <c r="I44" s="41"/>
      <c r="J44" s="41"/>
      <c r="M44" s="44"/>
      <c r="N44" s="39"/>
      <c r="O44" s="50"/>
      <c r="P44" s="153"/>
      <c r="Q44" s="153"/>
      <c r="R44" s="153"/>
      <c r="S44" s="153"/>
      <c r="T44" s="153"/>
      <c r="U44" s="39"/>
      <c r="V44" s="38"/>
      <c r="W44" s="38"/>
      <c r="X44" s="44"/>
      <c r="Y44" s="44"/>
      <c r="Z44" s="44"/>
      <c r="AA44" s="44"/>
    </row>
    <row r="45" spans="1:27" s="40" customFormat="1" ht="28.5" x14ac:dyDescent="0.25">
      <c r="A45" s="41"/>
      <c r="C45" s="39"/>
      <c r="G45" s="39"/>
      <c r="H45" s="41"/>
      <c r="I45" s="41"/>
      <c r="J45" s="41"/>
      <c r="M45" s="44"/>
      <c r="N45" s="39"/>
      <c r="O45" s="50"/>
      <c r="P45" s="153"/>
      <c r="Q45" s="153"/>
      <c r="R45" s="153"/>
      <c r="S45" s="153"/>
      <c r="T45" s="153"/>
      <c r="U45" s="39"/>
      <c r="V45" s="38"/>
      <c r="W45" s="38"/>
      <c r="X45" s="44"/>
      <c r="Y45" s="44"/>
      <c r="Z45" s="44"/>
      <c r="AA45" s="44"/>
    </row>
    <row r="46" spans="1:27" s="40" customFormat="1" ht="28.5" x14ac:dyDescent="0.25">
      <c r="A46" s="41"/>
      <c r="C46" s="39"/>
      <c r="G46" s="39"/>
      <c r="H46" s="41"/>
      <c r="I46" s="41"/>
      <c r="J46" s="41"/>
      <c r="M46" s="44"/>
      <c r="N46" s="39"/>
      <c r="O46" s="50"/>
      <c r="P46" s="153"/>
      <c r="Q46" s="153"/>
      <c r="R46" s="153"/>
      <c r="S46" s="153"/>
      <c r="T46" s="153"/>
      <c r="U46" s="39"/>
      <c r="V46" s="38"/>
      <c r="W46" s="38"/>
      <c r="X46" s="44"/>
      <c r="Y46" s="44"/>
      <c r="Z46" s="44"/>
      <c r="AA46" s="44"/>
    </row>
    <row r="47" spans="1:27" s="40" customFormat="1" ht="15.75" x14ac:dyDescent="0.25">
      <c r="A47" s="41"/>
      <c r="C47" s="39"/>
      <c r="G47" s="39"/>
      <c r="H47" s="41"/>
      <c r="I47" s="41"/>
      <c r="J47" s="41"/>
      <c r="M47" s="44"/>
      <c r="N47" s="39"/>
      <c r="O47" s="39"/>
      <c r="P47" s="153"/>
      <c r="Q47" s="153"/>
      <c r="R47" s="153"/>
      <c r="S47" s="153"/>
      <c r="T47" s="153"/>
      <c r="U47" s="39"/>
      <c r="V47" s="38"/>
      <c r="W47" s="38"/>
      <c r="X47" s="44"/>
      <c r="Y47" s="44"/>
      <c r="Z47" s="44"/>
      <c r="AA47" s="44"/>
    </row>
    <row r="48" spans="1:27" s="40" customFormat="1" ht="15.75" x14ac:dyDescent="0.25">
      <c r="A48" s="41"/>
      <c r="C48" s="39"/>
      <c r="G48" s="39"/>
      <c r="H48" s="41"/>
      <c r="I48" s="41"/>
      <c r="J48" s="41"/>
      <c r="M48" s="44"/>
      <c r="N48" s="39"/>
      <c r="O48" s="39"/>
      <c r="P48" s="153"/>
      <c r="Q48" s="153"/>
      <c r="R48" s="153"/>
      <c r="S48" s="153"/>
      <c r="T48" s="153"/>
      <c r="U48" s="39"/>
      <c r="V48" s="38"/>
      <c r="W48" s="38"/>
      <c r="X48" s="44"/>
      <c r="Y48" s="44"/>
      <c r="Z48" s="44"/>
      <c r="AA48" s="44"/>
    </row>
    <row r="49" spans="1:27" s="40" customFormat="1" ht="15.75" x14ac:dyDescent="0.25">
      <c r="A49" s="41"/>
      <c r="C49" s="39"/>
      <c r="G49" s="39"/>
      <c r="H49" s="41"/>
      <c r="I49" s="41"/>
      <c r="J49" s="41"/>
      <c r="M49" s="44"/>
      <c r="N49" s="39"/>
      <c r="O49" s="39"/>
      <c r="P49" s="153"/>
      <c r="Q49" s="153"/>
      <c r="R49" s="153"/>
      <c r="S49" s="153"/>
      <c r="T49" s="153"/>
      <c r="U49" s="39"/>
      <c r="V49" s="38"/>
      <c r="W49" s="38"/>
      <c r="X49" s="44"/>
      <c r="Y49" s="44"/>
      <c r="Z49" s="44"/>
      <c r="AA49" s="44"/>
    </row>
    <row r="50" spans="1:27" s="40" customFormat="1" ht="15.75" x14ac:dyDescent="0.25">
      <c r="A50" s="41"/>
      <c r="C50" s="39"/>
      <c r="G50" s="39"/>
      <c r="H50" s="41"/>
      <c r="I50" s="41"/>
      <c r="J50" s="41"/>
      <c r="M50" s="44"/>
      <c r="N50" s="39"/>
      <c r="O50" s="39"/>
      <c r="P50" s="153"/>
      <c r="Q50" s="153"/>
      <c r="R50" s="153"/>
      <c r="S50" s="153"/>
      <c r="T50" s="153"/>
      <c r="U50" s="39"/>
      <c r="V50" s="38"/>
      <c r="W50" s="38"/>
      <c r="X50" s="44"/>
      <c r="Y50" s="44"/>
      <c r="Z50" s="44"/>
      <c r="AA50" s="44"/>
    </row>
    <row r="51" spans="1:27" s="40" customFormat="1" ht="15.75" x14ac:dyDescent="0.25">
      <c r="A51" s="41"/>
      <c r="C51" s="39"/>
      <c r="H51" s="41"/>
      <c r="I51" s="41"/>
      <c r="J51" s="41"/>
      <c r="M51" s="44"/>
      <c r="N51" s="39"/>
      <c r="O51" s="39"/>
      <c r="P51" s="153"/>
      <c r="Q51" s="153"/>
      <c r="R51" s="153"/>
      <c r="S51" s="153"/>
      <c r="T51" s="153"/>
      <c r="U51" s="39"/>
      <c r="V51" s="38"/>
      <c r="W51" s="38"/>
      <c r="X51" s="44"/>
      <c r="Y51" s="44"/>
      <c r="Z51" s="44"/>
      <c r="AA51" s="44"/>
    </row>
    <row r="52" spans="1:27" s="40" customFormat="1" ht="15.75" x14ac:dyDescent="0.25">
      <c r="A52" s="41"/>
      <c r="C52" s="39"/>
      <c r="H52" s="41"/>
      <c r="I52" s="41"/>
      <c r="J52" s="41"/>
      <c r="M52" s="44"/>
      <c r="N52" s="39"/>
      <c r="O52" s="39"/>
      <c r="P52" s="153"/>
      <c r="Q52" s="153"/>
      <c r="R52" s="153"/>
      <c r="S52" s="153"/>
      <c r="T52" s="153"/>
      <c r="U52" s="39"/>
      <c r="V52" s="38"/>
      <c r="W52" s="38"/>
      <c r="X52" s="44"/>
      <c r="Y52" s="44"/>
      <c r="Z52" s="44"/>
      <c r="AA52" s="44"/>
    </row>
    <row r="53" spans="1:27" s="40" customFormat="1" ht="15.75" x14ac:dyDescent="0.25">
      <c r="A53" s="41"/>
      <c r="C53" s="39"/>
      <c r="H53" s="41"/>
      <c r="I53" s="41"/>
      <c r="J53" s="41"/>
      <c r="M53" s="44"/>
      <c r="N53" s="39"/>
      <c r="O53" s="39"/>
      <c r="P53" s="153"/>
      <c r="Q53" s="153"/>
      <c r="R53" s="153"/>
      <c r="S53" s="153"/>
      <c r="T53" s="153"/>
      <c r="U53" s="39"/>
      <c r="V53" s="38"/>
      <c r="W53" s="38"/>
      <c r="X53" s="44"/>
      <c r="Y53" s="44"/>
      <c r="Z53" s="44"/>
      <c r="AA53" s="44"/>
    </row>
    <row r="54" spans="1:27" s="40" customFormat="1" ht="15.75" x14ac:dyDescent="0.25">
      <c r="A54" s="41"/>
      <c r="C54" s="39"/>
      <c r="H54" s="41"/>
      <c r="I54" s="41"/>
      <c r="J54" s="41"/>
      <c r="M54" s="44"/>
      <c r="N54" s="39"/>
      <c r="O54" s="39"/>
      <c r="P54" s="153"/>
      <c r="Q54" s="153"/>
      <c r="R54" s="153"/>
      <c r="S54" s="153"/>
      <c r="T54" s="153"/>
      <c r="U54" s="39"/>
      <c r="V54" s="38"/>
      <c r="W54" s="38"/>
      <c r="X54" s="44"/>
      <c r="Y54" s="44"/>
      <c r="Z54" s="44"/>
      <c r="AA54" s="44"/>
    </row>
    <row r="55" spans="1:27" s="40" customFormat="1" ht="15.75" x14ac:dyDescent="0.25">
      <c r="A55" s="41"/>
      <c r="C55" s="39"/>
      <c r="H55" s="41"/>
      <c r="I55" s="41"/>
      <c r="J55" s="41"/>
      <c r="M55" s="44"/>
      <c r="N55" s="39"/>
      <c r="O55" s="39"/>
      <c r="P55" s="153"/>
      <c r="Q55" s="153"/>
      <c r="R55" s="153"/>
      <c r="S55" s="153"/>
      <c r="T55" s="153"/>
      <c r="U55" s="39"/>
      <c r="V55" s="38"/>
      <c r="W55" s="38"/>
      <c r="X55" s="44"/>
      <c r="Y55" s="44"/>
      <c r="Z55" s="44"/>
      <c r="AA55" s="44"/>
    </row>
    <row r="56" spans="1:27" s="40" customFormat="1" ht="15.75" x14ac:dyDescent="0.25">
      <c r="A56" s="41"/>
      <c r="C56" s="39"/>
      <c r="H56" s="41"/>
      <c r="I56" s="41"/>
      <c r="J56" s="41"/>
      <c r="M56" s="44"/>
      <c r="N56" s="39"/>
      <c r="O56" s="39"/>
      <c r="P56" s="153"/>
      <c r="Q56" s="153"/>
      <c r="R56" s="153"/>
      <c r="S56" s="153"/>
      <c r="T56" s="153"/>
      <c r="U56" s="39"/>
      <c r="V56" s="38"/>
      <c r="W56" s="38"/>
      <c r="X56" s="44"/>
      <c r="Y56" s="44"/>
      <c r="Z56" s="44"/>
      <c r="AA56" s="44"/>
    </row>
    <row r="57" spans="1:27" s="40" customFormat="1" ht="15.75" x14ac:dyDescent="0.25">
      <c r="A57" s="41"/>
      <c r="C57" s="39"/>
      <c r="H57" s="41"/>
      <c r="I57" s="41"/>
      <c r="J57" s="41"/>
      <c r="M57" s="44"/>
      <c r="N57" s="39"/>
      <c r="O57" s="39"/>
      <c r="P57" s="153"/>
      <c r="Q57" s="153"/>
      <c r="R57" s="153"/>
      <c r="S57" s="153"/>
      <c r="T57" s="153"/>
      <c r="U57" s="39"/>
      <c r="V57" s="38"/>
      <c r="W57" s="38"/>
      <c r="X57" s="44"/>
      <c r="Y57" s="44"/>
      <c r="Z57" s="44"/>
      <c r="AA57" s="44"/>
    </row>
    <row r="58" spans="1:27" s="40" customFormat="1" ht="15.75" x14ac:dyDescent="0.25">
      <c r="A58" s="41"/>
      <c r="C58" s="39"/>
      <c r="H58" s="41"/>
      <c r="I58" s="41"/>
      <c r="J58" s="41"/>
      <c r="M58" s="44"/>
      <c r="N58" s="39"/>
      <c r="O58" s="39"/>
      <c r="P58" s="153"/>
      <c r="Q58" s="153"/>
      <c r="R58" s="153"/>
      <c r="S58" s="153"/>
      <c r="T58" s="153"/>
      <c r="U58" s="39"/>
      <c r="V58" s="38"/>
      <c r="W58" s="38"/>
      <c r="X58" s="44"/>
      <c r="Y58" s="44"/>
      <c r="Z58" s="44"/>
      <c r="AA58" s="44"/>
    </row>
    <row r="59" spans="1:27" s="40" customFormat="1" ht="15.75" x14ac:dyDescent="0.25">
      <c r="A59" s="41"/>
      <c r="C59" s="39"/>
      <c r="H59" s="41"/>
      <c r="I59" s="41"/>
      <c r="J59" s="41"/>
      <c r="M59" s="44"/>
      <c r="N59" s="39"/>
      <c r="O59" s="39"/>
      <c r="P59" s="153"/>
      <c r="Q59" s="153"/>
      <c r="R59" s="153"/>
      <c r="S59" s="153"/>
      <c r="T59" s="153"/>
      <c r="U59" s="39"/>
      <c r="V59" s="38"/>
      <c r="W59" s="38"/>
      <c r="X59" s="44"/>
      <c r="Y59" s="44"/>
      <c r="Z59" s="44"/>
      <c r="AA59" s="44"/>
    </row>
    <row r="60" spans="1:27" s="40" customFormat="1" ht="15.75" x14ac:dyDescent="0.25">
      <c r="A60" s="41"/>
      <c r="C60" s="39"/>
      <c r="H60" s="41"/>
      <c r="I60" s="41"/>
      <c r="J60" s="41"/>
      <c r="M60" s="44"/>
      <c r="N60" s="39"/>
      <c r="O60" s="39"/>
      <c r="P60" s="153"/>
      <c r="Q60" s="153"/>
      <c r="R60" s="153"/>
      <c r="S60" s="153"/>
      <c r="T60" s="153"/>
      <c r="U60" s="39"/>
      <c r="V60" s="38"/>
      <c r="W60" s="38"/>
      <c r="X60" s="44"/>
      <c r="Y60" s="44"/>
      <c r="Z60" s="44"/>
      <c r="AA60" s="44"/>
    </row>
    <row r="61" spans="1:27" s="40" customFormat="1" ht="15.75" x14ac:dyDescent="0.25">
      <c r="A61" s="41"/>
      <c r="C61" s="39"/>
      <c r="H61" s="41"/>
      <c r="I61" s="41"/>
      <c r="J61" s="41"/>
      <c r="M61" s="44"/>
      <c r="N61" s="39"/>
      <c r="O61" s="39"/>
      <c r="P61" s="153"/>
      <c r="Q61" s="153"/>
      <c r="R61" s="153"/>
      <c r="S61" s="153"/>
      <c r="T61" s="153"/>
      <c r="U61" s="39"/>
      <c r="V61" s="38"/>
      <c r="W61" s="38"/>
      <c r="X61" s="44"/>
      <c r="Y61" s="44"/>
      <c r="Z61" s="44"/>
      <c r="AA61" s="44"/>
    </row>
    <row r="62" spans="1:27" s="40" customFormat="1" ht="15.75" x14ac:dyDescent="0.25">
      <c r="A62" s="41"/>
      <c r="C62" s="39"/>
      <c r="H62" s="41"/>
      <c r="I62" s="41"/>
      <c r="J62" s="41"/>
      <c r="M62" s="44"/>
      <c r="N62" s="39"/>
      <c r="O62" s="39"/>
      <c r="P62" s="153"/>
      <c r="Q62" s="153"/>
      <c r="R62" s="153"/>
      <c r="S62" s="153"/>
      <c r="T62" s="153"/>
      <c r="U62" s="39"/>
      <c r="V62" s="38"/>
      <c r="W62" s="38"/>
      <c r="X62" s="44"/>
      <c r="Y62" s="44"/>
      <c r="Z62" s="44"/>
      <c r="AA62" s="44"/>
    </row>
    <row r="63" spans="1:27" s="40" customFormat="1" ht="15.75" x14ac:dyDescent="0.25">
      <c r="A63" s="41"/>
      <c r="C63" s="39"/>
      <c r="H63" s="41"/>
      <c r="I63" s="41"/>
      <c r="J63" s="41"/>
      <c r="M63" s="44"/>
      <c r="N63" s="39"/>
      <c r="O63" s="39"/>
      <c r="P63" s="153"/>
      <c r="Q63" s="153"/>
      <c r="R63" s="153"/>
      <c r="S63" s="153"/>
      <c r="T63" s="153"/>
      <c r="U63" s="39"/>
      <c r="V63" s="38"/>
      <c r="W63" s="38"/>
      <c r="X63" s="44"/>
      <c r="Y63" s="44"/>
      <c r="Z63" s="44"/>
      <c r="AA63" s="44"/>
    </row>
    <row r="64" spans="1:27" s="40" customFormat="1" ht="15.75" x14ac:dyDescent="0.25">
      <c r="A64" s="41"/>
      <c r="C64" s="39"/>
      <c r="H64" s="41"/>
      <c r="I64" s="41"/>
      <c r="J64" s="41"/>
      <c r="M64" s="44"/>
      <c r="N64" s="39"/>
      <c r="O64" s="39"/>
      <c r="P64" s="153"/>
      <c r="Q64" s="153"/>
      <c r="R64" s="153"/>
      <c r="S64" s="153"/>
      <c r="T64" s="153"/>
      <c r="U64" s="39"/>
      <c r="V64" s="38"/>
      <c r="W64" s="38"/>
      <c r="X64" s="44"/>
      <c r="Y64" s="44"/>
      <c r="Z64" s="44"/>
      <c r="AA64" s="44"/>
    </row>
    <row r="65" spans="1:27" s="40" customFormat="1" ht="15.75" x14ac:dyDescent="0.25">
      <c r="A65" s="41"/>
      <c r="C65" s="39"/>
      <c r="H65" s="41"/>
      <c r="I65" s="41"/>
      <c r="J65" s="41"/>
      <c r="M65" s="44"/>
      <c r="N65" s="39"/>
      <c r="O65" s="39"/>
      <c r="P65" s="153"/>
      <c r="Q65" s="153"/>
      <c r="R65" s="153"/>
      <c r="S65" s="153"/>
      <c r="T65" s="153"/>
      <c r="U65" s="39"/>
      <c r="V65" s="38"/>
      <c r="W65" s="38"/>
      <c r="X65" s="44"/>
      <c r="Y65" s="44"/>
      <c r="Z65" s="44"/>
      <c r="AA65" s="44"/>
    </row>
    <row r="66" spans="1:27" s="40" customFormat="1" ht="15.75" x14ac:dyDescent="0.25">
      <c r="A66" s="41"/>
      <c r="C66" s="39"/>
      <c r="H66" s="41"/>
      <c r="I66" s="41"/>
      <c r="J66" s="41"/>
      <c r="M66" s="44"/>
      <c r="N66" s="39"/>
      <c r="O66" s="39"/>
      <c r="P66" s="153"/>
      <c r="Q66" s="153"/>
      <c r="R66" s="153"/>
      <c r="S66" s="153"/>
      <c r="T66" s="153"/>
      <c r="U66" s="39"/>
      <c r="V66" s="38"/>
      <c r="W66" s="38"/>
      <c r="X66" s="44"/>
      <c r="Y66" s="44"/>
      <c r="Z66" s="44"/>
      <c r="AA66" s="44"/>
    </row>
    <row r="67" spans="1:27" s="40" customFormat="1" ht="15.75" x14ac:dyDescent="0.25">
      <c r="A67" s="41"/>
      <c r="C67" s="39"/>
      <c r="H67" s="41"/>
      <c r="I67" s="41"/>
      <c r="J67" s="41"/>
      <c r="M67" s="44"/>
      <c r="N67" s="39"/>
      <c r="O67" s="39"/>
      <c r="P67" s="153"/>
      <c r="Q67" s="153"/>
      <c r="R67" s="153"/>
      <c r="S67" s="153"/>
      <c r="T67" s="153"/>
      <c r="U67" s="39"/>
      <c r="V67" s="38"/>
      <c r="W67" s="38"/>
      <c r="X67" s="44"/>
      <c r="Y67" s="44"/>
      <c r="Z67" s="44"/>
      <c r="AA67" s="44"/>
    </row>
    <row r="68" spans="1:27" s="40" customFormat="1" ht="15.75" x14ac:dyDescent="0.25">
      <c r="A68" s="41"/>
      <c r="C68" s="39"/>
      <c r="H68" s="41"/>
      <c r="I68" s="41"/>
      <c r="J68" s="41"/>
      <c r="M68" s="44"/>
      <c r="N68" s="39"/>
      <c r="O68" s="39"/>
      <c r="P68" s="153"/>
      <c r="Q68" s="153"/>
      <c r="R68" s="153"/>
      <c r="S68" s="153"/>
      <c r="T68" s="153"/>
      <c r="U68" s="39"/>
      <c r="V68" s="38"/>
      <c r="W68" s="38"/>
      <c r="X68" s="44"/>
      <c r="Y68" s="44"/>
      <c r="Z68" s="44"/>
      <c r="AA68" s="44"/>
    </row>
    <row r="69" spans="1:27" s="40" customFormat="1" ht="15.75" x14ac:dyDescent="0.25">
      <c r="A69" s="41"/>
      <c r="C69" s="39"/>
      <c r="H69" s="41"/>
      <c r="I69" s="41"/>
      <c r="J69" s="41"/>
      <c r="M69" s="44"/>
      <c r="N69" s="39"/>
      <c r="O69" s="39"/>
      <c r="P69" s="153"/>
      <c r="Q69" s="153"/>
      <c r="R69" s="153"/>
      <c r="S69" s="153"/>
      <c r="T69" s="153"/>
      <c r="U69" s="39"/>
      <c r="V69" s="38"/>
      <c r="W69" s="38"/>
      <c r="X69" s="44"/>
      <c r="Y69" s="44"/>
      <c r="Z69" s="44"/>
      <c r="AA69" s="44"/>
    </row>
    <row r="70" spans="1:27" s="40" customFormat="1" ht="15.75" x14ac:dyDescent="0.25">
      <c r="A70" s="41"/>
      <c r="C70" s="39"/>
      <c r="H70" s="41"/>
      <c r="I70" s="41"/>
      <c r="J70" s="41"/>
      <c r="M70" s="44"/>
      <c r="N70" s="39"/>
      <c r="O70" s="39"/>
      <c r="P70" s="153"/>
      <c r="Q70" s="153"/>
      <c r="R70" s="153"/>
      <c r="S70" s="153"/>
      <c r="T70" s="153"/>
      <c r="U70" s="39"/>
      <c r="V70" s="38"/>
      <c r="W70" s="38"/>
      <c r="X70" s="44"/>
      <c r="Y70" s="44"/>
      <c r="Z70" s="44"/>
      <c r="AA70" s="44"/>
    </row>
    <row r="71" spans="1:27" s="40" customFormat="1" ht="15.75" x14ac:dyDescent="0.25">
      <c r="A71" s="41"/>
      <c r="C71" s="39"/>
      <c r="H71" s="41"/>
      <c r="I71" s="41"/>
      <c r="J71" s="41"/>
      <c r="M71" s="44"/>
      <c r="N71" s="39"/>
      <c r="O71" s="39"/>
      <c r="P71" s="153"/>
      <c r="Q71" s="153"/>
      <c r="R71" s="153"/>
      <c r="S71" s="153"/>
      <c r="T71" s="153"/>
      <c r="U71" s="39"/>
      <c r="V71" s="38"/>
      <c r="W71" s="38"/>
      <c r="X71" s="44"/>
      <c r="Y71" s="44"/>
      <c r="Z71" s="44"/>
      <c r="AA71" s="44"/>
    </row>
    <row r="72" spans="1:27" s="40" customFormat="1" ht="15.75" x14ac:dyDescent="0.25">
      <c r="A72" s="41"/>
      <c r="C72" s="39"/>
      <c r="H72" s="41"/>
      <c r="I72" s="41"/>
      <c r="J72" s="41"/>
      <c r="M72" s="44"/>
      <c r="N72" s="39"/>
      <c r="O72" s="39"/>
      <c r="P72" s="153"/>
      <c r="Q72" s="153"/>
      <c r="R72" s="153"/>
      <c r="S72" s="153"/>
      <c r="T72" s="153"/>
      <c r="U72" s="39"/>
      <c r="V72" s="38"/>
      <c r="W72" s="38"/>
      <c r="X72" s="44"/>
      <c r="Y72" s="44"/>
      <c r="Z72" s="44"/>
      <c r="AA72" s="44"/>
    </row>
    <row r="73" spans="1:27" s="40" customFormat="1" ht="15.75" x14ac:dyDescent="0.25">
      <c r="A73" s="41"/>
      <c r="C73" s="39"/>
      <c r="H73" s="41"/>
      <c r="I73" s="41"/>
      <c r="J73" s="41"/>
      <c r="M73" s="44"/>
      <c r="N73" s="39"/>
      <c r="O73" s="39"/>
      <c r="P73" s="153"/>
      <c r="Q73" s="153"/>
      <c r="R73" s="153"/>
      <c r="S73" s="153"/>
      <c r="T73" s="153"/>
      <c r="U73" s="39"/>
      <c r="V73" s="38"/>
      <c r="W73" s="38"/>
      <c r="X73" s="44"/>
      <c r="Y73" s="44"/>
      <c r="Z73" s="44"/>
      <c r="AA73" s="44"/>
    </row>
    <row r="74" spans="1:27" s="40" customFormat="1" ht="15.75" x14ac:dyDescent="0.25">
      <c r="A74" s="41"/>
      <c r="C74" s="39"/>
      <c r="H74" s="41"/>
      <c r="I74" s="41"/>
      <c r="J74" s="41"/>
      <c r="M74" s="44"/>
      <c r="N74" s="39"/>
      <c r="O74" s="39"/>
      <c r="P74" s="153"/>
      <c r="Q74" s="153"/>
      <c r="R74" s="153"/>
      <c r="S74" s="153"/>
      <c r="T74" s="153"/>
      <c r="U74" s="39"/>
      <c r="V74" s="38"/>
      <c r="W74" s="38"/>
      <c r="X74" s="44"/>
      <c r="Y74" s="44"/>
      <c r="Z74" s="44"/>
      <c r="AA74" s="44"/>
    </row>
    <row r="75" spans="1:27" s="40" customFormat="1" ht="15.75" x14ac:dyDescent="0.25">
      <c r="A75" s="41"/>
      <c r="C75" s="39"/>
      <c r="H75" s="41"/>
      <c r="I75" s="41"/>
      <c r="J75" s="41"/>
      <c r="M75" s="44"/>
      <c r="N75" s="39"/>
      <c r="O75" s="39"/>
      <c r="P75" s="153"/>
      <c r="Q75" s="153"/>
      <c r="R75" s="153"/>
      <c r="S75" s="153"/>
      <c r="T75" s="153"/>
      <c r="U75" s="39"/>
      <c r="V75" s="38"/>
      <c r="W75" s="38"/>
      <c r="X75" s="44"/>
      <c r="Y75" s="44"/>
      <c r="Z75" s="44"/>
      <c r="AA75" s="44"/>
    </row>
    <row r="76" spans="1:27" s="40" customFormat="1" ht="15.75" x14ac:dyDescent="0.25">
      <c r="A76" s="41"/>
      <c r="C76" s="39"/>
      <c r="H76" s="41"/>
      <c r="I76" s="41"/>
      <c r="J76" s="41"/>
      <c r="M76" s="44"/>
      <c r="N76" s="39"/>
      <c r="O76" s="39"/>
      <c r="P76" s="153"/>
      <c r="Q76" s="153"/>
      <c r="R76" s="153"/>
      <c r="S76" s="153"/>
      <c r="T76" s="153"/>
      <c r="U76" s="39"/>
      <c r="V76" s="38"/>
      <c r="W76" s="38"/>
      <c r="X76" s="44"/>
      <c r="Y76" s="44"/>
      <c r="Z76" s="44"/>
      <c r="AA76" s="44"/>
    </row>
    <row r="77" spans="1:27" s="40" customFormat="1" ht="15.75" x14ac:dyDescent="0.25">
      <c r="A77" s="41"/>
      <c r="C77" s="39"/>
      <c r="H77" s="41"/>
      <c r="I77" s="41"/>
      <c r="J77" s="41"/>
      <c r="M77" s="44"/>
      <c r="N77" s="39"/>
      <c r="O77" s="39"/>
      <c r="P77" s="153"/>
      <c r="Q77" s="153"/>
      <c r="R77" s="153"/>
      <c r="S77" s="153"/>
      <c r="T77" s="153"/>
      <c r="U77" s="39"/>
      <c r="V77" s="38"/>
      <c r="W77" s="38"/>
      <c r="X77" s="44"/>
      <c r="Y77" s="44"/>
      <c r="Z77" s="44"/>
      <c r="AA77" s="44"/>
    </row>
    <row r="78" spans="1:27" s="40" customFormat="1" ht="15.75" x14ac:dyDescent="0.25">
      <c r="A78" s="41"/>
      <c r="C78" s="39"/>
      <c r="H78" s="41"/>
      <c r="I78" s="41"/>
      <c r="J78" s="41"/>
      <c r="M78" s="44"/>
      <c r="N78" s="39"/>
      <c r="O78" s="39"/>
      <c r="P78" s="153"/>
      <c r="Q78" s="153"/>
      <c r="R78" s="153"/>
      <c r="S78" s="153"/>
      <c r="T78" s="153"/>
      <c r="U78" s="39"/>
      <c r="V78" s="38"/>
      <c r="W78" s="38"/>
      <c r="X78" s="44"/>
      <c r="Y78" s="44"/>
      <c r="Z78" s="44"/>
      <c r="AA78" s="44"/>
    </row>
    <row r="79" spans="1:27" s="40" customFormat="1" ht="15.75" x14ac:dyDescent="0.25">
      <c r="A79" s="41"/>
      <c r="C79" s="39"/>
      <c r="H79" s="41"/>
      <c r="I79" s="41"/>
      <c r="J79" s="41"/>
      <c r="M79" s="44"/>
      <c r="N79" s="39"/>
      <c r="O79" s="39"/>
      <c r="P79" s="153"/>
      <c r="Q79" s="153"/>
      <c r="R79" s="153"/>
      <c r="S79" s="153"/>
      <c r="T79" s="153"/>
      <c r="U79" s="39"/>
      <c r="V79" s="38"/>
      <c r="W79" s="38"/>
      <c r="X79" s="44"/>
      <c r="Y79" s="44"/>
      <c r="Z79" s="44"/>
      <c r="AA79" s="44"/>
    </row>
    <row r="80" spans="1:27" s="40" customFormat="1" ht="15.75" x14ac:dyDescent="0.25">
      <c r="A80" s="41"/>
      <c r="C80" s="39"/>
      <c r="H80" s="41"/>
      <c r="I80" s="41"/>
      <c r="J80" s="41"/>
      <c r="M80" s="44"/>
      <c r="N80" s="39"/>
      <c r="O80" s="39"/>
      <c r="P80" s="153"/>
      <c r="Q80" s="153"/>
      <c r="R80" s="153"/>
      <c r="S80" s="153"/>
      <c r="T80" s="153"/>
      <c r="U80" s="39"/>
      <c r="V80" s="38"/>
      <c r="W80" s="38"/>
      <c r="X80" s="44"/>
      <c r="Y80" s="44"/>
      <c r="Z80" s="44"/>
      <c r="AA80" s="44"/>
    </row>
    <row r="81" spans="1:27" s="40" customFormat="1" ht="15.75" x14ac:dyDescent="0.25">
      <c r="A81" s="41"/>
      <c r="C81" s="39"/>
      <c r="H81" s="41"/>
      <c r="I81" s="41"/>
      <c r="J81" s="41"/>
      <c r="M81" s="44"/>
      <c r="N81" s="39"/>
      <c r="O81" s="39"/>
      <c r="P81" s="153"/>
      <c r="Q81" s="153"/>
      <c r="R81" s="153"/>
      <c r="S81" s="153"/>
      <c r="T81" s="153"/>
      <c r="U81" s="39"/>
      <c r="V81" s="38"/>
      <c r="W81" s="38"/>
      <c r="X81" s="44"/>
      <c r="Y81" s="44"/>
      <c r="Z81" s="44"/>
      <c r="AA81" s="44"/>
    </row>
    <row r="82" spans="1:27" s="40" customFormat="1" ht="15.75" x14ac:dyDescent="0.25">
      <c r="A82" s="41"/>
      <c r="C82" s="39"/>
      <c r="H82" s="41"/>
      <c r="I82" s="41"/>
      <c r="J82" s="41"/>
      <c r="M82" s="44"/>
      <c r="N82" s="39"/>
      <c r="O82" s="39"/>
      <c r="P82" s="153"/>
      <c r="Q82" s="153"/>
      <c r="R82" s="153"/>
      <c r="S82" s="153"/>
      <c r="T82" s="153"/>
      <c r="U82" s="39"/>
      <c r="V82" s="38"/>
      <c r="W82" s="38"/>
      <c r="X82" s="44"/>
      <c r="Y82" s="44"/>
      <c r="Z82" s="44"/>
      <c r="AA82" s="44"/>
    </row>
    <row r="83" spans="1:27" s="40" customFormat="1" ht="28.5" x14ac:dyDescent="0.25">
      <c r="A83" s="41"/>
      <c r="C83" s="39"/>
      <c r="H83" s="41"/>
      <c r="I83" s="41"/>
      <c r="J83" s="41"/>
      <c r="M83" s="44"/>
      <c r="N83" s="50"/>
      <c r="O83" s="50"/>
      <c r="P83" s="153"/>
      <c r="Q83" s="153"/>
      <c r="R83" s="153"/>
      <c r="S83" s="153"/>
      <c r="T83" s="153"/>
      <c r="U83" s="39"/>
      <c r="V83" s="38"/>
      <c r="W83" s="38"/>
      <c r="X83" s="44"/>
      <c r="Y83" s="44"/>
      <c r="Z83" s="44"/>
      <c r="AA83" s="44"/>
    </row>
    <row r="84" spans="1:27" s="40" customFormat="1" ht="28.5" x14ac:dyDescent="0.25">
      <c r="A84" s="41"/>
      <c r="C84" s="39"/>
      <c r="H84" s="41"/>
      <c r="I84" s="41"/>
      <c r="J84" s="41"/>
      <c r="M84" s="44"/>
      <c r="N84" s="50"/>
      <c r="O84" s="50"/>
      <c r="P84" s="153"/>
      <c r="Q84" s="153"/>
      <c r="R84" s="153"/>
      <c r="S84" s="153"/>
      <c r="T84" s="153"/>
      <c r="U84" s="39"/>
      <c r="V84" s="38"/>
      <c r="W84" s="38"/>
      <c r="X84" s="44"/>
      <c r="Y84" s="44"/>
      <c r="Z84" s="44"/>
      <c r="AA84" s="44"/>
    </row>
    <row r="85" spans="1:27" s="40" customFormat="1" ht="28.5" x14ac:dyDescent="0.25">
      <c r="A85" s="41"/>
      <c r="C85" s="39"/>
      <c r="H85" s="41"/>
      <c r="I85" s="41"/>
      <c r="J85" s="41"/>
      <c r="M85" s="44"/>
      <c r="N85" s="50"/>
      <c r="O85" s="50"/>
      <c r="P85" s="153"/>
      <c r="Q85" s="153"/>
      <c r="R85" s="153"/>
      <c r="S85" s="153"/>
      <c r="T85" s="153"/>
      <c r="U85" s="39"/>
      <c r="V85" s="38"/>
      <c r="W85" s="38"/>
      <c r="X85" s="44"/>
      <c r="Y85" s="44"/>
      <c r="Z85" s="44"/>
      <c r="AA85" s="44"/>
    </row>
    <row r="86" spans="1:27" s="40" customFormat="1" ht="28.5" x14ac:dyDescent="0.25">
      <c r="A86" s="41"/>
      <c r="C86" s="39"/>
      <c r="H86" s="41"/>
      <c r="I86" s="41"/>
      <c r="J86" s="41"/>
      <c r="M86" s="44"/>
      <c r="N86" s="50"/>
      <c r="O86" s="50"/>
      <c r="P86" s="153"/>
      <c r="Q86" s="153"/>
      <c r="R86" s="153"/>
      <c r="S86" s="153"/>
      <c r="T86" s="153"/>
      <c r="U86" s="39"/>
      <c r="V86" s="38"/>
      <c r="W86" s="38"/>
      <c r="X86" s="44"/>
      <c r="Y86" s="44"/>
      <c r="Z86" s="44"/>
      <c r="AA86" s="44"/>
    </row>
    <row r="87" spans="1:27" s="40" customFormat="1" ht="28.5" x14ac:dyDescent="0.25">
      <c r="A87" s="41"/>
      <c r="C87" s="39"/>
      <c r="H87" s="41"/>
      <c r="I87" s="41"/>
      <c r="J87" s="41"/>
      <c r="M87" s="44"/>
      <c r="N87" s="50"/>
      <c r="O87" s="50"/>
      <c r="P87" s="153"/>
      <c r="Q87" s="153"/>
      <c r="R87" s="153"/>
      <c r="S87" s="153"/>
      <c r="T87" s="153"/>
      <c r="U87" s="39"/>
      <c r="V87" s="38"/>
      <c r="W87" s="38"/>
      <c r="X87" s="44"/>
      <c r="Y87" s="44"/>
      <c r="Z87" s="44"/>
      <c r="AA87" s="44"/>
    </row>
    <row r="88" spans="1:27" s="40" customFormat="1" ht="28.5" x14ac:dyDescent="0.25">
      <c r="A88" s="41"/>
      <c r="C88" s="39"/>
      <c r="H88" s="41"/>
      <c r="I88" s="41"/>
      <c r="J88" s="41"/>
      <c r="M88" s="44"/>
      <c r="N88" s="50"/>
      <c r="O88" s="50"/>
      <c r="P88" s="153"/>
      <c r="Q88" s="153"/>
      <c r="R88" s="153"/>
      <c r="S88" s="153"/>
      <c r="T88" s="153"/>
      <c r="U88" s="39"/>
      <c r="V88" s="38"/>
      <c r="W88" s="38"/>
      <c r="X88" s="44"/>
      <c r="Y88" s="44"/>
      <c r="Z88" s="44"/>
      <c r="AA88" s="44"/>
    </row>
    <row r="89" spans="1:27" s="40" customFormat="1" ht="28.5" x14ac:dyDescent="0.25">
      <c r="A89" s="41"/>
      <c r="C89" s="39"/>
      <c r="H89" s="41"/>
      <c r="I89" s="41"/>
      <c r="J89" s="41"/>
      <c r="M89" s="44"/>
      <c r="N89" s="50"/>
      <c r="O89" s="50"/>
      <c r="P89" s="153"/>
      <c r="Q89" s="153"/>
      <c r="R89" s="153"/>
      <c r="S89" s="153"/>
      <c r="T89" s="153"/>
      <c r="U89" s="39"/>
      <c r="V89" s="38"/>
      <c r="W89" s="38"/>
      <c r="X89" s="44"/>
      <c r="Y89" s="44"/>
      <c r="Z89" s="44"/>
      <c r="AA89" s="44"/>
    </row>
    <row r="90" spans="1:27" s="40" customFormat="1" ht="28.5" x14ac:dyDescent="0.25">
      <c r="A90" s="41"/>
      <c r="C90" s="39"/>
      <c r="H90" s="41"/>
      <c r="I90" s="41"/>
      <c r="J90" s="41"/>
      <c r="M90" s="44"/>
      <c r="N90" s="50"/>
      <c r="O90" s="50"/>
      <c r="P90" s="153"/>
      <c r="Q90" s="153"/>
      <c r="R90" s="153"/>
      <c r="S90" s="153"/>
      <c r="T90" s="153"/>
      <c r="U90" s="39"/>
      <c r="V90" s="38"/>
      <c r="W90" s="38"/>
      <c r="X90" s="44"/>
      <c r="Y90" s="44"/>
      <c r="Z90" s="44"/>
      <c r="AA90" s="44"/>
    </row>
    <row r="91" spans="1:27" s="40" customFormat="1" ht="28.5" x14ac:dyDescent="0.25">
      <c r="A91" s="41"/>
      <c r="C91" s="39"/>
      <c r="H91" s="41"/>
      <c r="I91" s="41"/>
      <c r="J91" s="41"/>
      <c r="M91" s="44"/>
      <c r="N91" s="50"/>
      <c r="O91" s="50"/>
      <c r="P91" s="153"/>
      <c r="Q91" s="153"/>
      <c r="R91" s="153"/>
      <c r="S91" s="153"/>
      <c r="T91" s="153"/>
      <c r="U91" s="39"/>
      <c r="V91" s="38"/>
      <c r="W91" s="38"/>
      <c r="X91" s="44"/>
      <c r="Y91" s="44"/>
      <c r="Z91" s="44"/>
      <c r="AA91" s="44"/>
    </row>
    <row r="92" spans="1:27" s="40" customFormat="1" ht="28.5" x14ac:dyDescent="0.25">
      <c r="A92" s="41"/>
      <c r="C92" s="39"/>
      <c r="H92" s="41"/>
      <c r="I92" s="41"/>
      <c r="J92" s="41"/>
      <c r="M92" s="44"/>
      <c r="N92" s="50"/>
      <c r="O92" s="50"/>
      <c r="P92" s="153"/>
      <c r="Q92" s="153"/>
      <c r="R92" s="153"/>
      <c r="S92" s="153"/>
      <c r="T92" s="153"/>
      <c r="U92" s="39"/>
      <c r="V92" s="38"/>
      <c r="W92" s="38"/>
      <c r="X92" s="44"/>
      <c r="Y92" s="44"/>
      <c r="Z92" s="44"/>
      <c r="AA92" s="44"/>
    </row>
    <row r="93" spans="1:27" s="40" customFormat="1" ht="28.5" x14ac:dyDescent="0.25">
      <c r="A93" s="41"/>
      <c r="C93" s="39"/>
      <c r="H93" s="41"/>
      <c r="I93" s="41"/>
      <c r="J93" s="41"/>
      <c r="M93" s="44"/>
      <c r="N93" s="50"/>
      <c r="O93" s="50"/>
      <c r="P93" s="153"/>
      <c r="Q93" s="153"/>
      <c r="R93" s="153"/>
      <c r="S93" s="153"/>
      <c r="T93" s="153"/>
      <c r="U93" s="39"/>
      <c r="V93" s="38"/>
      <c r="W93" s="38"/>
      <c r="X93" s="44"/>
      <c r="Y93" s="44"/>
      <c r="Z93" s="44"/>
      <c r="AA93" s="44"/>
    </row>
    <row r="94" spans="1:27" s="40" customFormat="1" ht="28.5" x14ac:dyDescent="0.25">
      <c r="A94" s="41"/>
      <c r="C94" s="39"/>
      <c r="H94" s="41"/>
      <c r="I94" s="41"/>
      <c r="J94" s="41"/>
      <c r="M94" s="44"/>
      <c r="N94" s="50"/>
      <c r="O94" s="50"/>
      <c r="P94" s="153"/>
      <c r="Q94" s="153"/>
      <c r="R94" s="153"/>
      <c r="S94" s="153"/>
      <c r="T94" s="153"/>
      <c r="U94" s="39"/>
      <c r="V94" s="38"/>
      <c r="W94" s="38"/>
      <c r="X94" s="44"/>
      <c r="Y94" s="44"/>
      <c r="Z94" s="44"/>
      <c r="AA94" s="44"/>
    </row>
    <row r="95" spans="1:27" s="40" customFormat="1" ht="28.5" x14ac:dyDescent="0.25">
      <c r="A95" s="41"/>
      <c r="C95" s="39"/>
      <c r="H95" s="41"/>
      <c r="I95" s="41"/>
      <c r="J95" s="41"/>
      <c r="M95" s="44"/>
      <c r="N95" s="50"/>
      <c r="O95" s="50"/>
      <c r="P95" s="153"/>
      <c r="Q95" s="153"/>
      <c r="R95" s="153"/>
      <c r="S95" s="153"/>
      <c r="T95" s="153"/>
      <c r="U95" s="39"/>
      <c r="V95" s="38"/>
      <c r="W95" s="38"/>
      <c r="X95" s="44"/>
      <c r="Y95" s="44"/>
      <c r="Z95" s="44"/>
      <c r="AA95" s="44"/>
    </row>
    <row r="96" spans="1:27" s="40" customFormat="1" ht="28.5" x14ac:dyDescent="0.25">
      <c r="A96" s="41"/>
      <c r="C96" s="39"/>
      <c r="H96" s="41"/>
      <c r="I96" s="41"/>
      <c r="J96" s="41"/>
      <c r="M96" s="44"/>
      <c r="N96" s="50"/>
      <c r="O96" s="50"/>
      <c r="P96" s="153"/>
      <c r="Q96" s="153"/>
      <c r="R96" s="153"/>
      <c r="S96" s="153"/>
      <c r="T96" s="153"/>
      <c r="U96" s="39"/>
      <c r="V96" s="38"/>
      <c r="W96" s="38"/>
      <c r="X96" s="44"/>
      <c r="Y96" s="44"/>
      <c r="Z96" s="44"/>
      <c r="AA96" s="44"/>
    </row>
    <row r="97" spans="1:27" s="40" customFormat="1" ht="28.5" x14ac:dyDescent="0.25">
      <c r="A97" s="41"/>
      <c r="C97" s="39"/>
      <c r="H97" s="41"/>
      <c r="I97" s="41"/>
      <c r="J97" s="41"/>
      <c r="M97" s="44"/>
      <c r="N97" s="50"/>
      <c r="O97" s="50"/>
      <c r="P97" s="153"/>
      <c r="Q97" s="153"/>
      <c r="R97" s="153"/>
      <c r="S97" s="153"/>
      <c r="T97" s="153"/>
      <c r="U97" s="39"/>
      <c r="V97" s="38"/>
      <c r="W97" s="38"/>
      <c r="X97" s="44"/>
      <c r="Y97" s="44"/>
      <c r="Z97" s="44"/>
      <c r="AA97" s="44"/>
    </row>
    <row r="98" spans="1:27" s="40" customFormat="1" ht="28.5" x14ac:dyDescent="0.25">
      <c r="A98" s="41"/>
      <c r="C98" s="39"/>
      <c r="H98" s="41"/>
      <c r="I98" s="41"/>
      <c r="J98" s="41"/>
      <c r="M98" s="44"/>
      <c r="N98" s="50"/>
      <c r="O98" s="50"/>
      <c r="P98" s="153"/>
      <c r="Q98" s="153"/>
      <c r="R98" s="153"/>
      <c r="S98" s="153"/>
      <c r="T98" s="153"/>
      <c r="U98" s="39"/>
      <c r="V98" s="38"/>
      <c r="W98" s="38"/>
      <c r="X98" s="44"/>
      <c r="Y98" s="44"/>
      <c r="Z98" s="44"/>
      <c r="AA98" s="44"/>
    </row>
    <row r="99" spans="1:27" s="40" customFormat="1" ht="28.5" x14ac:dyDescent="0.25">
      <c r="A99" s="41"/>
      <c r="C99" s="39"/>
      <c r="H99" s="41"/>
      <c r="I99" s="41"/>
      <c r="J99" s="41"/>
      <c r="M99" s="44"/>
      <c r="N99" s="50"/>
      <c r="O99" s="38"/>
      <c r="P99" s="153"/>
      <c r="Q99" s="153"/>
      <c r="R99" s="153"/>
      <c r="S99" s="153"/>
      <c r="T99" s="153"/>
      <c r="U99" s="39"/>
      <c r="V99" s="38"/>
      <c r="W99" s="38"/>
      <c r="X99" s="44"/>
      <c r="Y99" s="44"/>
      <c r="Z99" s="44"/>
      <c r="AA99" s="44"/>
    </row>
    <row r="100" spans="1:27" s="40" customFormat="1" ht="28.5" x14ac:dyDescent="0.25">
      <c r="A100" s="41"/>
      <c r="C100" s="39"/>
      <c r="H100" s="41"/>
      <c r="I100" s="41"/>
      <c r="J100" s="41"/>
      <c r="M100" s="44"/>
      <c r="N100" s="50"/>
      <c r="O100" s="38"/>
      <c r="P100" s="153"/>
      <c r="Q100" s="153"/>
      <c r="R100" s="153"/>
      <c r="S100" s="153"/>
      <c r="T100" s="153"/>
      <c r="U100" s="39"/>
      <c r="V100" s="38"/>
      <c r="W100" s="38"/>
      <c r="X100" s="44"/>
      <c r="Y100" s="44"/>
      <c r="Z100" s="44"/>
      <c r="AA100" s="44"/>
    </row>
    <row r="101" spans="1:27" s="40" customFormat="1" ht="28.5" x14ac:dyDescent="0.25">
      <c r="A101" s="41"/>
      <c r="C101" s="39"/>
      <c r="H101" s="41"/>
      <c r="I101" s="41"/>
      <c r="J101" s="41"/>
      <c r="M101" s="44"/>
      <c r="N101" s="50"/>
      <c r="O101" s="38"/>
      <c r="P101" s="153"/>
      <c r="Q101" s="153"/>
      <c r="R101" s="153"/>
      <c r="S101" s="153"/>
      <c r="T101" s="153"/>
      <c r="U101" s="39"/>
      <c r="V101" s="38"/>
      <c r="W101" s="38"/>
      <c r="X101" s="44"/>
      <c r="Y101" s="44"/>
      <c r="Z101" s="44"/>
      <c r="AA101" s="44"/>
    </row>
    <row r="102" spans="1:27" s="40" customFormat="1" ht="28.5" x14ac:dyDescent="0.25">
      <c r="A102" s="41"/>
      <c r="C102" s="39"/>
      <c r="H102" s="41"/>
      <c r="I102" s="41"/>
      <c r="J102" s="41"/>
      <c r="M102" s="44"/>
      <c r="N102" s="50"/>
      <c r="O102" s="38"/>
      <c r="P102" s="153"/>
      <c r="Q102" s="153"/>
      <c r="R102" s="153"/>
      <c r="S102" s="153"/>
      <c r="T102" s="153"/>
      <c r="U102" s="39"/>
      <c r="V102" s="38"/>
      <c r="W102" s="38"/>
      <c r="X102" s="44"/>
      <c r="Y102" s="44"/>
      <c r="Z102" s="44"/>
      <c r="AA102" s="44"/>
    </row>
    <row r="103" spans="1:27" s="40" customFormat="1" ht="28.5" x14ac:dyDescent="0.25">
      <c r="A103" s="41"/>
      <c r="C103" s="39"/>
      <c r="H103" s="41"/>
      <c r="I103" s="41"/>
      <c r="J103" s="41"/>
      <c r="M103" s="44"/>
      <c r="N103" s="50"/>
      <c r="O103" s="38"/>
      <c r="P103" s="153"/>
      <c r="Q103" s="153"/>
      <c r="R103" s="153"/>
      <c r="S103" s="153"/>
      <c r="T103" s="153"/>
      <c r="U103" s="39"/>
      <c r="V103" s="38"/>
      <c r="W103" s="38"/>
      <c r="X103" s="44"/>
      <c r="Y103" s="44"/>
      <c r="Z103" s="44"/>
      <c r="AA103" s="44"/>
    </row>
    <row r="104" spans="1:27" s="40" customFormat="1" ht="28.5" x14ac:dyDescent="0.25">
      <c r="A104" s="41"/>
      <c r="C104" s="39"/>
      <c r="H104" s="41"/>
      <c r="I104" s="41"/>
      <c r="J104" s="41"/>
      <c r="M104" s="44"/>
      <c r="N104" s="50"/>
      <c r="O104" s="38"/>
      <c r="P104" s="153"/>
      <c r="Q104" s="153"/>
      <c r="R104" s="153"/>
      <c r="S104" s="153"/>
      <c r="T104" s="153"/>
      <c r="U104" s="39"/>
      <c r="V104" s="38"/>
      <c r="W104" s="38"/>
      <c r="X104" s="44"/>
      <c r="Y104" s="44"/>
      <c r="Z104" s="44"/>
      <c r="AA104" s="44"/>
    </row>
    <row r="105" spans="1:27" s="40" customFormat="1" ht="28.5" x14ac:dyDescent="0.25">
      <c r="A105" s="41"/>
      <c r="C105" s="39"/>
      <c r="H105" s="41"/>
      <c r="I105" s="41"/>
      <c r="J105" s="41"/>
      <c r="M105" s="44"/>
      <c r="N105" s="50"/>
      <c r="O105" s="38"/>
      <c r="P105" s="153"/>
      <c r="Q105" s="153"/>
      <c r="R105" s="153"/>
      <c r="S105" s="153"/>
      <c r="T105" s="153"/>
      <c r="U105" s="39"/>
      <c r="V105" s="38"/>
      <c r="W105" s="38"/>
      <c r="X105" s="44"/>
      <c r="Y105" s="44"/>
      <c r="Z105" s="44"/>
      <c r="AA105" s="44"/>
    </row>
    <row r="106" spans="1:27" s="40" customFormat="1" ht="28.5" x14ac:dyDescent="0.25">
      <c r="A106" s="41"/>
      <c r="C106" s="39"/>
      <c r="H106" s="41"/>
      <c r="I106" s="41"/>
      <c r="J106" s="41"/>
      <c r="M106" s="44"/>
      <c r="N106" s="50"/>
      <c r="O106" s="38"/>
      <c r="P106" s="153"/>
      <c r="Q106" s="153"/>
      <c r="R106" s="153"/>
      <c r="S106" s="153"/>
      <c r="T106" s="153"/>
      <c r="U106" s="39"/>
      <c r="V106" s="38"/>
      <c r="W106" s="38"/>
      <c r="X106" s="44"/>
      <c r="Y106" s="44"/>
      <c r="Z106" s="44"/>
      <c r="AA106" s="44"/>
    </row>
    <row r="107" spans="1:27" s="40" customFormat="1" ht="28.5" x14ac:dyDescent="0.25">
      <c r="A107" s="41"/>
      <c r="C107" s="39"/>
      <c r="H107" s="41"/>
      <c r="I107" s="41"/>
      <c r="J107" s="41"/>
      <c r="M107" s="44"/>
      <c r="N107" s="50"/>
      <c r="O107" s="38"/>
      <c r="P107" s="153"/>
      <c r="Q107" s="153"/>
      <c r="R107" s="153"/>
      <c r="S107" s="153"/>
      <c r="T107" s="153"/>
      <c r="U107" s="39"/>
      <c r="V107" s="38"/>
      <c r="W107" s="38"/>
      <c r="X107" s="44"/>
      <c r="Y107" s="44"/>
      <c r="Z107" s="44"/>
      <c r="AA107" s="44"/>
    </row>
    <row r="108" spans="1:27" s="40" customFormat="1" ht="28.5" x14ac:dyDescent="0.25">
      <c r="A108" s="41"/>
      <c r="C108" s="39"/>
      <c r="H108" s="41"/>
      <c r="I108" s="41"/>
      <c r="J108" s="41"/>
      <c r="M108" s="44"/>
      <c r="N108" s="50"/>
      <c r="O108" s="38"/>
      <c r="P108" s="153"/>
      <c r="Q108" s="153"/>
      <c r="R108" s="153"/>
      <c r="S108" s="153"/>
      <c r="T108" s="153"/>
      <c r="U108" s="39"/>
      <c r="V108" s="38"/>
      <c r="W108" s="38"/>
      <c r="X108" s="44"/>
      <c r="Y108" s="44"/>
      <c r="Z108" s="44"/>
      <c r="AA108" s="44"/>
    </row>
    <row r="109" spans="1:27" s="40" customFormat="1" ht="28.5" x14ac:dyDescent="0.25">
      <c r="A109" s="41"/>
      <c r="C109" s="39"/>
      <c r="H109" s="41"/>
      <c r="I109" s="41"/>
      <c r="J109" s="41"/>
      <c r="M109" s="44"/>
      <c r="N109" s="50"/>
      <c r="O109" s="38"/>
      <c r="P109" s="153"/>
      <c r="Q109" s="153"/>
      <c r="R109" s="153"/>
      <c r="S109" s="153"/>
      <c r="T109" s="153"/>
      <c r="U109" s="39"/>
      <c r="V109" s="38"/>
      <c r="W109" s="38"/>
      <c r="X109" s="44"/>
      <c r="Y109" s="44"/>
      <c r="Z109" s="44"/>
      <c r="AA109" s="44"/>
    </row>
    <row r="110" spans="1:27" s="40" customFormat="1" ht="28.5" x14ac:dyDescent="0.25">
      <c r="A110" s="41"/>
      <c r="C110" s="39"/>
      <c r="H110" s="41"/>
      <c r="I110" s="41"/>
      <c r="J110" s="41"/>
      <c r="M110" s="44"/>
      <c r="N110" s="50"/>
      <c r="O110" s="38"/>
      <c r="P110" s="153"/>
      <c r="Q110" s="153"/>
      <c r="R110" s="153"/>
      <c r="S110" s="153"/>
      <c r="T110" s="153"/>
      <c r="U110" s="39"/>
      <c r="V110" s="38"/>
      <c r="W110" s="38"/>
      <c r="X110" s="44"/>
      <c r="Y110" s="44"/>
      <c r="Z110" s="44"/>
      <c r="AA110" s="44"/>
    </row>
    <row r="111" spans="1:27" s="40" customFormat="1" ht="28.5" x14ac:dyDescent="0.25">
      <c r="A111" s="41"/>
      <c r="C111" s="39"/>
      <c r="H111" s="41"/>
      <c r="I111" s="41"/>
      <c r="J111" s="41"/>
      <c r="M111" s="44"/>
      <c r="N111" s="50"/>
      <c r="O111" s="38"/>
      <c r="P111" s="153"/>
      <c r="Q111" s="153"/>
      <c r="R111" s="153"/>
      <c r="S111" s="153"/>
      <c r="T111" s="153"/>
      <c r="U111" s="39"/>
      <c r="V111" s="38"/>
      <c r="W111" s="38"/>
      <c r="X111" s="44"/>
      <c r="Y111" s="44"/>
      <c r="Z111" s="44"/>
      <c r="AA111" s="44"/>
    </row>
    <row r="112" spans="1:27" s="40" customFormat="1" ht="28.5" x14ac:dyDescent="0.25">
      <c r="A112" s="41"/>
      <c r="C112" s="39"/>
      <c r="H112" s="41"/>
      <c r="I112" s="41"/>
      <c r="J112" s="41"/>
      <c r="M112" s="44"/>
      <c r="N112" s="50"/>
      <c r="O112" s="38"/>
      <c r="P112" s="153"/>
      <c r="Q112" s="153"/>
      <c r="R112" s="153"/>
      <c r="S112" s="153"/>
      <c r="T112" s="153"/>
      <c r="U112" s="39"/>
      <c r="V112" s="38"/>
      <c r="W112" s="38"/>
      <c r="X112" s="44"/>
      <c r="Y112" s="44"/>
      <c r="Z112" s="44"/>
      <c r="AA112" s="44"/>
    </row>
    <row r="113" spans="1:252" s="40" customFormat="1" ht="28.5" x14ac:dyDescent="0.25">
      <c r="A113" s="41"/>
      <c r="C113" s="39"/>
      <c r="H113" s="41"/>
      <c r="I113" s="41"/>
      <c r="J113" s="41"/>
      <c r="M113" s="44"/>
      <c r="N113" s="50"/>
      <c r="O113" s="38"/>
      <c r="P113" s="153"/>
      <c r="Q113" s="153"/>
      <c r="R113" s="153"/>
      <c r="S113" s="153"/>
      <c r="T113" s="153"/>
      <c r="U113" s="39"/>
      <c r="V113" s="38"/>
      <c r="W113" s="38"/>
      <c r="X113" s="44"/>
      <c r="Y113" s="44"/>
      <c r="Z113" s="44"/>
      <c r="AA113" s="44"/>
    </row>
    <row r="114" spans="1:252" s="40" customFormat="1" ht="28.5" x14ac:dyDescent="0.25">
      <c r="A114" s="41"/>
      <c r="C114" s="39"/>
      <c r="H114" s="41"/>
      <c r="I114" s="41"/>
      <c r="J114" s="41"/>
      <c r="M114" s="44"/>
      <c r="N114" s="50"/>
      <c r="O114" s="38"/>
      <c r="P114" s="153"/>
      <c r="Q114" s="153"/>
      <c r="R114" s="153"/>
      <c r="S114" s="153"/>
      <c r="T114" s="153"/>
      <c r="U114" s="39"/>
      <c r="V114" s="38"/>
      <c r="W114" s="38"/>
      <c r="X114" s="44"/>
      <c r="Y114" s="44"/>
      <c r="Z114" s="44"/>
      <c r="AA114" s="44"/>
    </row>
    <row r="115" spans="1:252" s="40" customFormat="1" ht="28.5" x14ac:dyDescent="0.25">
      <c r="A115" s="41"/>
      <c r="C115" s="39"/>
      <c r="H115" s="41"/>
      <c r="I115" s="41"/>
      <c r="J115" s="41"/>
      <c r="M115" s="44"/>
      <c r="N115" s="50"/>
      <c r="O115" s="38"/>
      <c r="P115" s="153"/>
      <c r="Q115" s="153"/>
      <c r="R115" s="153"/>
      <c r="S115" s="153"/>
      <c r="T115" s="153"/>
      <c r="U115" s="39"/>
      <c r="V115" s="38"/>
      <c r="W115" s="38"/>
      <c r="X115" s="44"/>
      <c r="Y115" s="44"/>
      <c r="Z115" s="44"/>
      <c r="AA115" s="44"/>
    </row>
    <row r="116" spans="1:252" s="40" customFormat="1" ht="28.5" x14ac:dyDescent="0.25">
      <c r="A116" s="41"/>
      <c r="C116" s="39"/>
      <c r="H116" s="41"/>
      <c r="I116" s="41"/>
      <c r="J116" s="41"/>
      <c r="M116" s="44"/>
      <c r="N116" s="50"/>
      <c r="O116" s="38"/>
      <c r="P116" s="153"/>
      <c r="Q116" s="153"/>
      <c r="R116" s="153"/>
      <c r="S116" s="153"/>
      <c r="T116" s="153"/>
      <c r="U116" s="39"/>
      <c r="V116" s="38"/>
      <c r="W116" s="38"/>
      <c r="X116" s="44"/>
      <c r="Y116" s="44"/>
      <c r="Z116" s="44"/>
      <c r="AA116" s="44"/>
    </row>
    <row r="117" spans="1:252" s="40" customFormat="1" ht="28.5" x14ac:dyDescent="0.25">
      <c r="A117" s="41"/>
      <c r="C117" s="39"/>
      <c r="H117" s="41"/>
      <c r="I117" s="41"/>
      <c r="J117" s="41"/>
      <c r="M117" s="44"/>
      <c r="N117" s="50"/>
      <c r="O117" s="38"/>
      <c r="P117" s="153"/>
      <c r="Q117" s="153"/>
      <c r="R117" s="153"/>
      <c r="S117" s="153"/>
      <c r="T117" s="153"/>
      <c r="U117" s="39"/>
      <c r="V117" s="38"/>
      <c r="W117" s="38"/>
      <c r="X117" s="44"/>
      <c r="Y117" s="44"/>
      <c r="Z117" s="44"/>
      <c r="AA117" s="44"/>
    </row>
    <row r="118" spans="1:252" s="40" customFormat="1" ht="28.5" x14ac:dyDescent="0.25">
      <c r="A118" s="41"/>
      <c r="C118" s="39"/>
      <c r="H118" s="41"/>
      <c r="I118" s="41"/>
      <c r="J118" s="41"/>
      <c r="M118" s="44"/>
      <c r="N118" s="50"/>
      <c r="O118" s="38"/>
      <c r="P118" s="153"/>
      <c r="Q118" s="153"/>
      <c r="R118" s="153"/>
      <c r="S118" s="153"/>
      <c r="T118" s="153"/>
      <c r="U118" s="39"/>
      <c r="V118" s="38"/>
      <c r="W118" s="38"/>
      <c r="X118" s="44"/>
      <c r="Y118" s="44"/>
      <c r="Z118" s="44"/>
      <c r="AA118" s="44"/>
    </row>
    <row r="119" spans="1:252" s="40" customFormat="1" ht="28.5" x14ac:dyDescent="0.25">
      <c r="A119" s="41"/>
      <c r="C119" s="39"/>
      <c r="H119" s="41"/>
      <c r="I119" s="41"/>
      <c r="J119" s="41"/>
      <c r="M119" s="44"/>
      <c r="N119" s="50"/>
      <c r="O119" s="38"/>
      <c r="P119" s="153"/>
      <c r="Q119" s="153"/>
      <c r="R119" s="153"/>
      <c r="S119" s="153"/>
      <c r="T119" s="153"/>
      <c r="U119" s="39"/>
      <c r="V119" s="38"/>
      <c r="W119" s="38"/>
      <c r="X119" s="44"/>
      <c r="Y119" s="44"/>
      <c r="Z119" s="44"/>
      <c r="AA119" s="44"/>
    </row>
    <row r="120" spans="1:252" s="40" customFormat="1" ht="28.5" x14ac:dyDescent="0.25">
      <c r="A120" s="41"/>
      <c r="C120" s="39"/>
      <c r="H120" s="41"/>
      <c r="I120" s="41"/>
      <c r="J120" s="41"/>
      <c r="M120" s="44"/>
      <c r="N120" s="50"/>
      <c r="O120" s="38"/>
      <c r="P120" s="153"/>
      <c r="Q120" s="153"/>
      <c r="R120" s="153"/>
      <c r="S120" s="153"/>
      <c r="T120" s="153"/>
      <c r="U120" s="39"/>
      <c r="V120" s="38"/>
      <c r="W120" s="38"/>
      <c r="X120" s="44"/>
      <c r="Y120" s="44"/>
      <c r="Z120" s="44"/>
      <c r="AA120" s="44"/>
    </row>
    <row r="121" spans="1:252" ht="28.5" x14ac:dyDescent="0.25">
      <c r="M121" s="42"/>
      <c r="N121" s="50"/>
      <c r="O121" s="39"/>
    </row>
    <row r="122" spans="1:252" ht="28.5" x14ac:dyDescent="0.25">
      <c r="N122" s="50"/>
      <c r="II122" s="45"/>
    </row>
    <row r="123" spans="1:252" ht="28.5" x14ac:dyDescent="0.25">
      <c r="N123" s="50"/>
      <c r="II123" s="45"/>
    </row>
    <row r="124" spans="1:252" ht="28.5" x14ac:dyDescent="0.25">
      <c r="N124" s="50"/>
      <c r="II124" s="45"/>
    </row>
    <row r="125" spans="1:252" ht="28.5" x14ac:dyDescent="0.25">
      <c r="N125" s="50"/>
      <c r="II125" s="45"/>
    </row>
    <row r="126" spans="1:252" ht="29.25" thickBot="1" x14ac:dyDescent="0.3">
      <c r="N126" s="50"/>
      <c r="IH126" s="46"/>
      <c r="II126" s="47"/>
      <c r="IJ126" s="47"/>
      <c r="IK126" s="47"/>
      <c r="IL126" s="47"/>
      <c r="IM126" s="47"/>
      <c r="IN126" s="47"/>
      <c r="IO126" s="47"/>
      <c r="IP126" s="48"/>
      <c r="IQ126" s="49"/>
      <c r="IR126" s="49"/>
    </row>
    <row r="127" spans="1:252" ht="29.25" thickBot="1" x14ac:dyDescent="0.3">
      <c r="N127" s="50"/>
      <c r="IH127" s="46"/>
      <c r="II127" s="47"/>
      <c r="IJ127" s="47"/>
      <c r="IK127" s="47"/>
      <c r="IL127" s="47"/>
      <c r="IM127" s="47"/>
      <c r="IN127" s="47"/>
      <c r="IO127" s="47"/>
      <c r="IP127" s="48"/>
      <c r="IQ127" s="49"/>
      <c r="IR127" s="49"/>
    </row>
    <row r="128" spans="1:252" ht="29.25" thickBot="1" x14ac:dyDescent="0.3">
      <c r="N128" s="50"/>
      <c r="IH128" s="46"/>
      <c r="II128" s="47"/>
      <c r="IJ128" s="47"/>
      <c r="IK128" s="47"/>
      <c r="IL128" s="47"/>
      <c r="IM128" s="47"/>
      <c r="IN128" s="47"/>
      <c r="IO128" s="47"/>
      <c r="IP128" s="48"/>
      <c r="IQ128" s="49"/>
      <c r="IR128" s="49"/>
    </row>
    <row r="129" spans="14:252" ht="29.25" thickBot="1" x14ac:dyDescent="0.3">
      <c r="N129" s="50"/>
      <c r="IH129" s="46"/>
      <c r="II129" s="47"/>
      <c r="IJ129" s="47"/>
      <c r="IK129" s="47"/>
      <c r="IL129" s="47"/>
      <c r="IM129" s="47"/>
      <c r="IN129" s="47"/>
      <c r="IO129" s="47"/>
      <c r="IP129" s="48"/>
      <c r="IQ129" s="49"/>
      <c r="IR129" s="49"/>
    </row>
    <row r="130" spans="14:252" ht="29.25" thickBot="1" x14ac:dyDescent="0.3">
      <c r="N130" s="50"/>
      <c r="IH130" s="46"/>
      <c r="II130" s="47"/>
      <c r="IJ130" s="47"/>
      <c r="IK130" s="47"/>
      <c r="IL130" s="47"/>
      <c r="IM130" s="47"/>
      <c r="IN130" s="47"/>
      <c r="IO130" s="47"/>
      <c r="IP130" s="48"/>
      <c r="IQ130" s="49"/>
      <c r="IR130" s="49"/>
    </row>
    <row r="131" spans="14:252" ht="15.75" thickBot="1" x14ac:dyDescent="0.3">
      <c r="IH131" s="46"/>
      <c r="II131" s="47"/>
      <c r="IJ131" s="47"/>
      <c r="IK131" s="47"/>
      <c r="IL131" s="47"/>
      <c r="IM131" s="47"/>
      <c r="IN131" s="47"/>
      <c r="IO131" s="47"/>
      <c r="IP131" s="48"/>
      <c r="IQ131" s="49"/>
      <c r="IR131" s="49"/>
    </row>
    <row r="132" spans="14:252" ht="15.75" thickBot="1" x14ac:dyDescent="0.3">
      <c r="IH132" s="46"/>
      <c r="II132" s="47"/>
      <c r="IJ132" s="47"/>
      <c r="IK132" s="47"/>
      <c r="IL132" s="47"/>
      <c r="IM132" s="47"/>
      <c r="IN132" s="47"/>
      <c r="IO132" s="47"/>
      <c r="IP132" s="48"/>
      <c r="IQ132" s="49"/>
      <c r="IR132" s="49"/>
    </row>
    <row r="133" spans="14:252" ht="15.75" thickBot="1" x14ac:dyDescent="0.3">
      <c r="IH133" s="46"/>
      <c r="II133" s="47"/>
      <c r="IJ133" s="47"/>
      <c r="IK133" s="47"/>
      <c r="IL133" s="47"/>
      <c r="IM133" s="47"/>
      <c r="IN133" s="47"/>
      <c r="IO133" s="47"/>
      <c r="IP133" s="48"/>
      <c r="IQ133" s="49"/>
      <c r="IR133" s="49"/>
    </row>
    <row r="134" spans="14:252" ht="15.75" thickBot="1" x14ac:dyDescent="0.3">
      <c r="IH134" s="46"/>
      <c r="II134" s="47"/>
      <c r="IJ134" s="47"/>
      <c r="IK134" s="47"/>
      <c r="IL134" s="47"/>
      <c r="IM134" s="47"/>
      <c r="IN134" s="47"/>
      <c r="IO134" s="47"/>
      <c r="IP134" s="48"/>
      <c r="IQ134" s="49"/>
      <c r="IR134" s="49"/>
    </row>
    <row r="135" spans="14:252" ht="15.75" thickBot="1" x14ac:dyDescent="0.3">
      <c r="IH135" s="46"/>
      <c r="II135" s="47"/>
      <c r="IJ135" s="47"/>
      <c r="IK135" s="47"/>
      <c r="IL135" s="47"/>
      <c r="IM135" s="47"/>
      <c r="IN135" s="47"/>
      <c r="IO135" s="47"/>
      <c r="IP135" s="48"/>
      <c r="IQ135" s="49"/>
      <c r="IR135" s="49"/>
    </row>
    <row r="136" spans="14:252" ht="15.75" thickBot="1" x14ac:dyDescent="0.3">
      <c r="IH136" s="46"/>
      <c r="II136" s="47"/>
      <c r="IJ136" s="47"/>
      <c r="IK136" s="47"/>
      <c r="IL136" s="47"/>
      <c r="IM136" s="47"/>
      <c r="IN136" s="47"/>
      <c r="IO136" s="47"/>
      <c r="IP136" s="48"/>
      <c r="IQ136" s="49"/>
      <c r="IR136" s="49"/>
    </row>
    <row r="137" spans="14:252" ht="15.75" thickBot="1" x14ac:dyDescent="0.3">
      <c r="IH137" s="46"/>
      <c r="II137" s="47"/>
      <c r="IJ137" s="47"/>
      <c r="IK137" s="47"/>
      <c r="IL137" s="47"/>
      <c r="IM137" s="47"/>
      <c r="IN137" s="47"/>
      <c r="IO137" s="47"/>
      <c r="IP137" s="48"/>
      <c r="IQ137" s="49"/>
      <c r="IR137" s="49"/>
    </row>
    <row r="138" spans="14:252" ht="15.75" thickBot="1" x14ac:dyDescent="0.3">
      <c r="IH138" s="46"/>
      <c r="II138" s="47"/>
      <c r="IJ138" s="47"/>
      <c r="IK138" s="47"/>
      <c r="IL138" s="47"/>
      <c r="IM138" s="47"/>
      <c r="IN138" s="47"/>
      <c r="IO138" s="47"/>
      <c r="IP138" s="48"/>
      <c r="IQ138" s="49"/>
      <c r="IR138" s="49"/>
    </row>
    <row r="139" spans="14:252" ht="15.75" thickBot="1" x14ac:dyDescent="0.3">
      <c r="IH139" s="46"/>
      <c r="II139" s="47"/>
      <c r="IJ139" s="47"/>
      <c r="IK139" s="47"/>
      <c r="IL139" s="47"/>
      <c r="IM139" s="47"/>
      <c r="IN139" s="47"/>
      <c r="IO139" s="47"/>
      <c r="IP139" s="48"/>
      <c r="IQ139" s="49"/>
      <c r="IR139" s="49"/>
    </row>
    <row r="140" spans="14:252" ht="15.75" thickBot="1" x14ac:dyDescent="0.3">
      <c r="IH140" s="46"/>
      <c r="II140" s="47"/>
      <c r="IJ140" s="47"/>
      <c r="IK140" s="47"/>
      <c r="IL140" s="47"/>
      <c r="IM140" s="47"/>
      <c r="IN140" s="47"/>
      <c r="IO140" s="47"/>
      <c r="IP140" s="48"/>
      <c r="IQ140" s="49"/>
      <c r="IR140" s="49"/>
    </row>
    <row r="141" spans="14:252" ht="15.75" thickBot="1" x14ac:dyDescent="0.3">
      <c r="IH141" s="46"/>
      <c r="II141" s="47"/>
      <c r="IJ141" s="47"/>
      <c r="IK141" s="47"/>
      <c r="IL141" s="47"/>
      <c r="IM141" s="47"/>
      <c r="IN141" s="47"/>
      <c r="IO141" s="47"/>
      <c r="IP141" s="48"/>
      <c r="IQ141" s="49"/>
      <c r="IR141" s="49"/>
    </row>
    <row r="142" spans="14:252" ht="15.75" thickBot="1" x14ac:dyDescent="0.3">
      <c r="IH142" s="46"/>
      <c r="II142" s="47"/>
      <c r="IJ142" s="47"/>
      <c r="IK142" s="47"/>
      <c r="IL142" s="47"/>
      <c r="IM142" s="47"/>
      <c r="IN142" s="47"/>
      <c r="IO142" s="47"/>
      <c r="IP142" s="48"/>
      <c r="IQ142" s="49"/>
      <c r="IR142" s="49"/>
    </row>
    <row r="143" spans="14:252" ht="15.75" thickBot="1" x14ac:dyDescent="0.3">
      <c r="IH143" s="46"/>
      <c r="II143" s="47"/>
      <c r="IJ143" s="47"/>
      <c r="IK143" s="47"/>
      <c r="IL143" s="47"/>
      <c r="IM143" s="47"/>
      <c r="IN143" s="47"/>
      <c r="IO143" s="47"/>
      <c r="IP143" s="48"/>
      <c r="IQ143" s="49"/>
      <c r="IR143" s="49"/>
    </row>
    <row r="144" spans="14:252" ht="15.75" thickBot="1" x14ac:dyDescent="0.3">
      <c r="IH144" s="46"/>
      <c r="II144" s="47"/>
      <c r="IJ144" s="47"/>
      <c r="IK144" s="47"/>
      <c r="IL144" s="47"/>
      <c r="IM144" s="47"/>
      <c r="IN144" s="47"/>
      <c r="IO144" s="47"/>
      <c r="IP144" s="48"/>
      <c r="IQ144" s="49"/>
      <c r="IR144" s="49"/>
    </row>
    <row r="145" spans="242:252" ht="15.75" thickBot="1" x14ac:dyDescent="0.3">
      <c r="IH145" s="46"/>
      <c r="II145" s="47"/>
      <c r="IJ145" s="47"/>
      <c r="IK145" s="47"/>
      <c r="IL145" s="47"/>
      <c r="IM145" s="47"/>
      <c r="IN145" s="47"/>
      <c r="IO145" s="47"/>
      <c r="IP145" s="48"/>
      <c r="IQ145" s="49"/>
      <c r="IR145" s="49"/>
    </row>
    <row r="146" spans="242:252" ht="15.75" thickBot="1" x14ac:dyDescent="0.3">
      <c r="IH146" s="48"/>
      <c r="II146" s="49"/>
      <c r="IJ146" s="49"/>
      <c r="IK146" s="49"/>
      <c r="IL146" s="49"/>
      <c r="IM146" s="49"/>
      <c r="IN146" s="49"/>
      <c r="IO146" s="49"/>
      <c r="IP146" s="48"/>
      <c r="IQ146" s="49"/>
      <c r="IR146" s="49"/>
    </row>
    <row r="147" spans="242:252" ht="15.75" thickBot="1" x14ac:dyDescent="0.3">
      <c r="IH147" s="48"/>
      <c r="II147" s="49"/>
      <c r="IJ147" s="49"/>
      <c r="IK147" s="49"/>
      <c r="IL147" s="49"/>
      <c r="IM147" s="49"/>
      <c r="IN147" s="49"/>
      <c r="IO147" s="49"/>
      <c r="IP147" s="48"/>
      <c r="IQ147" s="49"/>
      <c r="IR147" s="49"/>
    </row>
    <row r="148" spans="242:252" ht="15.75" thickBot="1" x14ac:dyDescent="0.3">
      <c r="IH148" s="48"/>
      <c r="II148" s="49"/>
      <c r="IJ148" s="49"/>
      <c r="IK148" s="49"/>
      <c r="IL148" s="49"/>
      <c r="IM148" s="49"/>
      <c r="IN148" s="49"/>
      <c r="IO148" s="49"/>
      <c r="IP148" s="48"/>
      <c r="IQ148" s="49"/>
      <c r="IR148" s="49"/>
    </row>
    <row r="149" spans="242:252" ht="15.75" thickBot="1" x14ac:dyDescent="0.3">
      <c r="IH149" s="48"/>
      <c r="II149" s="49"/>
      <c r="IJ149" s="49"/>
      <c r="IK149" s="49"/>
      <c r="IL149" s="49"/>
      <c r="IM149" s="49"/>
      <c r="IN149" s="49"/>
      <c r="IO149" s="49"/>
      <c r="IP149" s="48"/>
      <c r="IQ149" s="49"/>
      <c r="IR149" s="49"/>
    </row>
    <row r="150" spans="242:252" ht="15.75" thickBot="1" x14ac:dyDescent="0.3">
      <c r="IH150" s="48"/>
      <c r="II150" s="49"/>
      <c r="IJ150" s="49"/>
      <c r="IK150" s="49"/>
      <c r="IL150" s="49"/>
      <c r="IM150" s="49"/>
      <c r="IN150" s="49"/>
      <c r="IO150" s="49"/>
      <c r="IP150" s="48"/>
      <c r="IQ150" s="49"/>
      <c r="IR150" s="49"/>
    </row>
    <row r="151" spans="242:252" ht="15.75" thickBot="1" x14ac:dyDescent="0.3">
      <c r="IH151" s="48"/>
      <c r="II151" s="49"/>
      <c r="IJ151" s="49"/>
      <c r="IK151" s="49"/>
      <c r="IL151" s="49"/>
      <c r="IM151" s="49"/>
      <c r="IN151" s="49"/>
      <c r="IO151" s="49"/>
      <c r="IP151" s="48"/>
      <c r="IQ151" s="49"/>
      <c r="IR151" s="49"/>
    </row>
    <row r="152" spans="242:252" ht="15.75" thickBot="1" x14ac:dyDescent="0.3">
      <c r="IH152" s="48"/>
      <c r="II152" s="49"/>
      <c r="IJ152" s="49"/>
      <c r="IK152" s="49"/>
      <c r="IL152" s="49"/>
      <c r="IM152" s="49"/>
      <c r="IN152" s="49"/>
      <c r="IO152" s="49"/>
      <c r="IP152" s="48"/>
      <c r="IQ152" s="49"/>
      <c r="IR152" s="49"/>
    </row>
  </sheetData>
  <sheetProtection sheet="1" objects="1" scenarios="1" selectLockedCells="1" selectUnlockedCells="1"/>
  <mergeCells count="3">
    <mergeCell ref="B31:L37"/>
    <mergeCell ref="B2:L2"/>
    <mergeCell ref="B3:L3"/>
  </mergeCells>
  <conditionalFormatting sqref="L5 J5 H5 F5 D5 B5 B29 D29 F29 H29 J29 L29 B27 D27 F27 H27 J27 L27 B7 D7 F7 H7 J7 L7 B9 D9 F9 H9 J9 L9 B11 D11 F11 H11 J11 L11 B13 D13 F13 H13 J13 L13 B15 D15 F15 H15 J15 L15 B17 D17 F17 H17 J17 L17 B19 D19 F19 H19 J19 L19 B21 D21 F21 H21 J21 L21 B23 D23 F23 H23 J23 L23 B25 D25 F25 H25 J25 L25">
    <cfRule type="endsWith" dxfId="8" priority="2" operator="endsWith" text="Taken">
      <formula>RIGHT(B5,LEN("Taken"))="Taken"</formula>
    </cfRule>
    <cfRule type="cellIs" dxfId="7" priority="7" operator="equal">
      <formula>$O$1</formula>
    </cfRule>
  </conditionalFormatting>
  <conditionalFormatting sqref="B2:L3 B31:L37">
    <cfRule type="expression" dxfId="6" priority="5">
      <formula>$Q$2="PL2"</formula>
    </cfRule>
    <cfRule type="expression" dxfId="5" priority="6">
      <formula>$Q$2="PL1"</formula>
    </cfRule>
  </conditionalFormatting>
  <conditionalFormatting sqref="B2:L2">
    <cfRule type="expression" dxfId="4" priority="4">
      <formula>$Q$3="DefenseOk"</formula>
    </cfRule>
  </conditionalFormatting>
  <pageMargins left="0.7" right="0.7"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2"/>
  <sheetViews>
    <sheetView topLeftCell="A9" workbookViewId="0"/>
  </sheetViews>
  <sheetFormatPr defaultRowHeight="15" x14ac:dyDescent="0.25"/>
  <cols>
    <col min="2" max="2" width="19.140625" bestFit="1" customWidth="1"/>
    <col min="3" max="3" width="15.42578125" bestFit="1" customWidth="1"/>
    <col min="8" max="8" width="24.85546875" bestFit="1" customWidth="1"/>
    <col min="9" max="9" width="6.85546875" customWidth="1"/>
    <col min="10" max="10" width="14.42578125" customWidth="1"/>
  </cols>
  <sheetData>
    <row r="1" spans="1:12" x14ac:dyDescent="0.25">
      <c r="A1" s="117" t="s">
        <v>1066</v>
      </c>
    </row>
    <row r="3" spans="1:12" x14ac:dyDescent="0.25">
      <c r="B3" s="144" t="s">
        <v>1373</v>
      </c>
    </row>
    <row r="4" spans="1:12" x14ac:dyDescent="0.25">
      <c r="B4" s="162"/>
    </row>
    <row r="5" spans="1:12" x14ac:dyDescent="0.25">
      <c r="H5" t="s">
        <v>612</v>
      </c>
      <c r="I5" t="s">
        <v>628</v>
      </c>
      <c r="J5" t="s">
        <v>613</v>
      </c>
    </row>
    <row r="6" spans="1:12" x14ac:dyDescent="0.25">
      <c r="B6" s="144" t="s">
        <v>1020</v>
      </c>
      <c r="C6" s="124">
        <f>Setup!AC49</f>
        <v>0</v>
      </c>
      <c r="H6" t="s">
        <v>614</v>
      </c>
      <c r="I6" t="s">
        <v>628</v>
      </c>
      <c r="J6" t="s">
        <v>615</v>
      </c>
    </row>
    <row r="7" spans="1:12" x14ac:dyDescent="0.25">
      <c r="B7" s="144" t="s">
        <v>1380</v>
      </c>
      <c r="C7" s="124" t="str">
        <f>IF(C6="PL2",Setup!AD66,IF(C6="PL1",Setup!AC66,"Undecided"))</f>
        <v>Undecided</v>
      </c>
      <c r="H7" t="s">
        <v>616</v>
      </c>
      <c r="I7" t="s">
        <v>628</v>
      </c>
      <c r="J7" t="s">
        <v>617</v>
      </c>
    </row>
    <row r="8" spans="1:12" x14ac:dyDescent="0.25">
      <c r="B8" s="144" t="s">
        <v>1381</v>
      </c>
      <c r="C8" s="124" t="str">
        <f>IF(ISNA(IF(VLOOKUP(B4,H:K,4,0)="","SelectionOk",VLOOKUP(B4,H:K,4,0))),"NoSelection",IF(VLOOKUP(B4,H:K,4,0)="","SelectionOk",VLOOKUP(B4,H:K,4,0)))</f>
        <v>NoSelection</v>
      </c>
      <c r="H8" t="s">
        <v>618</v>
      </c>
      <c r="I8" t="s">
        <v>628</v>
      </c>
      <c r="J8" t="s">
        <v>619</v>
      </c>
    </row>
    <row r="9" spans="1:12" x14ac:dyDescent="0.25">
      <c r="B9" s="144" t="s">
        <v>1382</v>
      </c>
      <c r="C9" s="124" t="str">
        <f>IF(ISNA(IF($C$6="PL1",VLOOKUP(C7,F:H,3,0),IF($C$6="PL2",VLOOKUP(C7,G:H,2,0),"Undecided"))),"NeedDefense",IF($C$6="PL1",VLOOKUP(C7,F:H,3,0),IF($C$6="PL2",VLOOKUP(C7,G:H,2,0),"Undecided")))</f>
        <v>Undecided</v>
      </c>
      <c r="H9" t="s">
        <v>620</v>
      </c>
      <c r="I9" t="s">
        <v>628</v>
      </c>
      <c r="J9" t="s">
        <v>621</v>
      </c>
    </row>
    <row r="10" spans="1:12" x14ac:dyDescent="0.25">
      <c r="B10" s="144" t="s">
        <v>1377</v>
      </c>
      <c r="C10" s="124" t="str">
        <f>IF(COUNTIF($H$14:$H$91,C9)=1,"DefenseOk",IF(C8="SelectionOK","DefenseOk","NeedDefense"))</f>
        <v>NeedDefense</v>
      </c>
      <c r="H10" t="s">
        <v>622</v>
      </c>
      <c r="I10" t="s">
        <v>628</v>
      </c>
      <c r="J10" t="s">
        <v>623</v>
      </c>
    </row>
    <row r="11" spans="1:12" x14ac:dyDescent="0.25">
      <c r="H11" t="s">
        <v>624</v>
      </c>
      <c r="I11" t="s">
        <v>628</v>
      </c>
      <c r="J11" t="s">
        <v>625</v>
      </c>
    </row>
    <row r="12" spans="1:12" x14ac:dyDescent="0.25">
      <c r="B12" s="144" t="s">
        <v>1383</v>
      </c>
      <c r="C12" s="124" t="str">
        <f>IF(B4="",C10,B4)</f>
        <v>NeedDefense</v>
      </c>
      <c r="H12" t="s">
        <v>626</v>
      </c>
      <c r="I12" t="s">
        <v>628</v>
      </c>
      <c r="J12" t="s">
        <v>627</v>
      </c>
    </row>
    <row r="13" spans="1:12" x14ac:dyDescent="0.25">
      <c r="E13" s="144" t="s">
        <v>1372</v>
      </c>
      <c r="F13" s="144" t="s">
        <v>1375</v>
      </c>
      <c r="G13" s="144" t="s">
        <v>1374</v>
      </c>
      <c r="H13" s="144" t="s">
        <v>794</v>
      </c>
      <c r="I13" s="144" t="s">
        <v>376</v>
      </c>
      <c r="J13" s="144" t="s">
        <v>795</v>
      </c>
      <c r="K13" s="144" t="s">
        <v>1379</v>
      </c>
      <c r="L13" s="2"/>
    </row>
    <row r="14" spans="1:12" x14ac:dyDescent="0.25">
      <c r="B14" s="144" t="s">
        <v>1385</v>
      </c>
      <c r="C14" s="124" t="e">
        <f>VLOOKUP(C15,Setup!L:M,2,0)&amp;IF(C16="",""," and "&amp;VLOOKUP(C16,Setup!L:M,2,0))</f>
        <v>#N/A</v>
      </c>
      <c r="E14" s="124" t="str">
        <f>IF(IF(H14=$B$4,$C$7,IF($C$6="PL1",F14,IF($C$6="PL2",G14,"")))=0,"",IF(H14=$B$4,$C$7,IF($C$6="PL1",F14,IF($C$6="PL2",G14,""))))</f>
        <v/>
      </c>
      <c r="F14" s="162"/>
      <c r="G14" s="162"/>
      <c r="H14" t="s">
        <v>425</v>
      </c>
      <c r="I14" t="s">
        <v>5</v>
      </c>
      <c r="J14" t="s">
        <v>529</v>
      </c>
      <c r="K14" s="124" t="str">
        <f>IF($C$6="PL1",IF(F14="",""," is Taken"),IF($C$6="PL2",IF(G14="",""," is Taken"),""))</f>
        <v/>
      </c>
      <c r="L14" s="2"/>
    </row>
    <row r="15" spans="1:12" x14ac:dyDescent="0.25">
      <c r="C15" s="124" t="str">
        <f>IF(Setup!AK6="Yes",IF(C6="PL1",Setup!AC60,IF(C6="PL2",Setup!AD60,"Undecided")),VLOOKUP(C7,Setup!K:L,2,0))</f>
        <v>Undecided</v>
      </c>
      <c r="E15" s="124" t="str">
        <f t="shared" ref="E15:E78" si="0">IF(IF(H15=$B$4,$C$7,IF($C$6="PL1",F15,IF($C$6="PL2",G15,"")))=0,"",IF(H15=$B$4,$C$7,IF($C$6="PL1",F15,IF($C$6="PL2",G15,""))))</f>
        <v/>
      </c>
      <c r="F15" s="162"/>
      <c r="G15" s="162"/>
      <c r="H15" t="s">
        <v>429</v>
      </c>
      <c r="I15" t="s">
        <v>5</v>
      </c>
      <c r="J15" t="s">
        <v>531</v>
      </c>
      <c r="K15" s="124" t="str">
        <f t="shared" ref="K15:K78" si="1">IF($C$6="PL1",IF(F15="",""," is Taken"),IF($C$6="PL2",IF(G15="",""," is Taken"),""))</f>
        <v/>
      </c>
      <c r="L15" s="2"/>
    </row>
    <row r="16" spans="1:12" x14ac:dyDescent="0.25">
      <c r="C16" s="124" t="str">
        <f>IF(Setup!AK6="Yes",IF(C6="PL1",Setup!AC61,IF(C6="PL2",Setup!AD61,"Undecided")),"")</f>
        <v>Undecided</v>
      </c>
      <c r="E16" s="124" t="str">
        <f t="shared" si="0"/>
        <v/>
      </c>
      <c r="F16" s="162"/>
      <c r="G16" s="162"/>
      <c r="H16" t="s">
        <v>433</v>
      </c>
      <c r="I16" t="s">
        <v>5</v>
      </c>
      <c r="J16" t="s">
        <v>533</v>
      </c>
      <c r="K16" s="124" t="str">
        <f t="shared" si="1"/>
        <v/>
      </c>
      <c r="L16" s="2"/>
    </row>
    <row r="17" spans="2:12" x14ac:dyDescent="0.25">
      <c r="E17" s="124" t="str">
        <f t="shared" si="0"/>
        <v/>
      </c>
      <c r="F17" s="162"/>
      <c r="G17" s="162"/>
      <c r="H17" t="s">
        <v>438</v>
      </c>
      <c r="I17" t="s">
        <v>5</v>
      </c>
      <c r="J17" t="s">
        <v>535</v>
      </c>
      <c r="K17" s="124" t="str">
        <f t="shared" si="1"/>
        <v/>
      </c>
      <c r="L17" s="2"/>
    </row>
    <row r="18" spans="2:12" x14ac:dyDescent="0.25">
      <c r="B18" s="144" t="s">
        <v>1431</v>
      </c>
      <c r="C18" s="124" t="str">
        <f>IF(C9="NeedDefense",B4,C9)</f>
        <v>Undecided</v>
      </c>
      <c r="E18" s="124" t="str">
        <f t="shared" si="0"/>
        <v/>
      </c>
      <c r="F18" s="162"/>
      <c r="G18" s="162"/>
      <c r="H18" t="s">
        <v>442</v>
      </c>
      <c r="I18" t="s">
        <v>5</v>
      </c>
      <c r="J18" t="s">
        <v>537</v>
      </c>
      <c r="K18" s="124" t="str">
        <f t="shared" si="1"/>
        <v/>
      </c>
      <c r="L18" s="2"/>
    </row>
    <row r="19" spans="2:12" x14ac:dyDescent="0.25">
      <c r="E19" s="124" t="str">
        <f t="shared" si="0"/>
        <v/>
      </c>
      <c r="F19" s="162"/>
      <c r="G19" s="162"/>
      <c r="H19" t="s">
        <v>446</v>
      </c>
      <c r="I19" t="s">
        <v>5</v>
      </c>
      <c r="J19" t="s">
        <v>539</v>
      </c>
      <c r="K19" s="124" t="str">
        <f t="shared" si="1"/>
        <v/>
      </c>
      <c r="L19" s="2"/>
    </row>
    <row r="20" spans="2:12" x14ac:dyDescent="0.25">
      <c r="B20" s="144" t="s">
        <v>800</v>
      </c>
      <c r="C20" s="124">
        <f>78-COUNTBLANK(F14:F91)</f>
        <v>0</v>
      </c>
      <c r="E20" s="124" t="str">
        <f t="shared" si="0"/>
        <v/>
      </c>
      <c r="F20" s="162"/>
      <c r="G20" s="162"/>
      <c r="H20" t="s">
        <v>448</v>
      </c>
      <c r="I20" t="s">
        <v>5</v>
      </c>
      <c r="J20" t="s">
        <v>541</v>
      </c>
      <c r="K20" s="124" t="str">
        <f t="shared" si="1"/>
        <v/>
      </c>
      <c r="L20" s="2"/>
    </row>
    <row r="21" spans="2:12" x14ac:dyDescent="0.25">
      <c r="B21" s="144" t="s">
        <v>801</v>
      </c>
      <c r="C21" s="124">
        <f>78-COUNTBLANK(G14:G91)</f>
        <v>0</v>
      </c>
      <c r="E21" s="124" t="str">
        <f t="shared" si="0"/>
        <v/>
      </c>
      <c r="F21" s="162"/>
      <c r="G21" s="162"/>
      <c r="H21" t="s">
        <v>451</v>
      </c>
      <c r="I21" t="s">
        <v>5</v>
      </c>
      <c r="J21" t="s">
        <v>543</v>
      </c>
      <c r="K21" s="124" t="str">
        <f t="shared" si="1"/>
        <v/>
      </c>
      <c r="L21" s="2"/>
    </row>
    <row r="22" spans="2:12" x14ac:dyDescent="0.25">
      <c r="E22" s="124" t="str">
        <f t="shared" si="0"/>
        <v/>
      </c>
      <c r="F22" s="162"/>
      <c r="G22" s="162"/>
      <c r="H22" t="s">
        <v>454</v>
      </c>
      <c r="I22" t="s">
        <v>5</v>
      </c>
      <c r="J22" t="s">
        <v>545</v>
      </c>
      <c r="K22" s="124" t="str">
        <f t="shared" si="1"/>
        <v/>
      </c>
      <c r="L22" s="2"/>
    </row>
    <row r="23" spans="2:12" x14ac:dyDescent="0.25">
      <c r="E23" s="124" t="str">
        <f t="shared" si="0"/>
        <v/>
      </c>
      <c r="F23" s="162"/>
      <c r="G23" s="162"/>
      <c r="H23" t="s">
        <v>457</v>
      </c>
      <c r="I23" t="s">
        <v>5</v>
      </c>
      <c r="J23" t="s">
        <v>547</v>
      </c>
      <c r="K23" s="124" t="str">
        <f t="shared" si="1"/>
        <v/>
      </c>
      <c r="L23" s="2"/>
    </row>
    <row r="24" spans="2:12" x14ac:dyDescent="0.25">
      <c r="E24" s="124" t="str">
        <f t="shared" si="0"/>
        <v/>
      </c>
      <c r="F24" s="162"/>
      <c r="G24" s="162"/>
      <c r="H24" t="s">
        <v>460</v>
      </c>
      <c r="I24" t="s">
        <v>5</v>
      </c>
      <c r="J24" t="s">
        <v>549</v>
      </c>
      <c r="K24" s="124" t="str">
        <f t="shared" si="1"/>
        <v/>
      </c>
      <c r="L24" s="2"/>
    </row>
    <row r="25" spans="2:12" x14ac:dyDescent="0.25">
      <c r="E25" s="124" t="str">
        <f t="shared" si="0"/>
        <v/>
      </c>
      <c r="F25" s="162"/>
      <c r="G25" s="162"/>
      <c r="H25" t="s">
        <v>463</v>
      </c>
      <c r="I25" t="s">
        <v>5</v>
      </c>
      <c r="J25" t="s">
        <v>551</v>
      </c>
      <c r="K25" s="124" t="str">
        <f t="shared" si="1"/>
        <v/>
      </c>
      <c r="L25" s="2"/>
    </row>
    <row r="26" spans="2:12" x14ac:dyDescent="0.25">
      <c r="E26" s="124" t="str">
        <f t="shared" si="0"/>
        <v/>
      </c>
      <c r="F26" s="162"/>
      <c r="G26" s="162"/>
      <c r="H26" t="s">
        <v>526</v>
      </c>
      <c r="I26" t="s">
        <v>5</v>
      </c>
      <c r="J26" t="s">
        <v>591</v>
      </c>
      <c r="K26" s="124" t="str">
        <f t="shared" si="1"/>
        <v/>
      </c>
      <c r="L26" s="2"/>
    </row>
    <row r="27" spans="2:12" x14ac:dyDescent="0.25">
      <c r="E27" s="124" t="str">
        <f t="shared" si="0"/>
        <v/>
      </c>
      <c r="F27" s="162"/>
      <c r="G27" s="162"/>
      <c r="H27" t="s">
        <v>466</v>
      </c>
      <c r="I27" t="s">
        <v>7</v>
      </c>
      <c r="J27" t="s">
        <v>553</v>
      </c>
      <c r="K27" s="124" t="str">
        <f t="shared" si="1"/>
        <v/>
      </c>
      <c r="L27" s="2"/>
    </row>
    <row r="28" spans="2:12" x14ac:dyDescent="0.25">
      <c r="E28" s="124" t="str">
        <f t="shared" si="0"/>
        <v/>
      </c>
      <c r="F28" s="162"/>
      <c r="G28" s="162"/>
      <c r="H28" t="s">
        <v>469</v>
      </c>
      <c r="I28" t="s">
        <v>7</v>
      </c>
      <c r="J28" t="s">
        <v>555</v>
      </c>
      <c r="K28" s="124" t="str">
        <f t="shared" si="1"/>
        <v/>
      </c>
      <c r="L28" s="2"/>
    </row>
    <row r="29" spans="2:12" x14ac:dyDescent="0.25">
      <c r="E29" s="124" t="str">
        <f t="shared" si="0"/>
        <v/>
      </c>
      <c r="F29" s="162"/>
      <c r="G29" s="162"/>
      <c r="H29" t="s">
        <v>471</v>
      </c>
      <c r="I29" t="s">
        <v>7</v>
      </c>
      <c r="J29" t="s">
        <v>557</v>
      </c>
      <c r="K29" s="124" t="str">
        <f t="shared" si="1"/>
        <v/>
      </c>
      <c r="L29" s="2"/>
    </row>
    <row r="30" spans="2:12" x14ac:dyDescent="0.25">
      <c r="E30" s="124" t="str">
        <f t="shared" si="0"/>
        <v/>
      </c>
      <c r="F30" s="162"/>
      <c r="G30" s="162"/>
      <c r="H30" t="s">
        <v>473</v>
      </c>
      <c r="I30" t="s">
        <v>7</v>
      </c>
      <c r="J30" t="s">
        <v>559</v>
      </c>
      <c r="K30" s="124" t="str">
        <f t="shared" si="1"/>
        <v/>
      </c>
      <c r="L30" s="2"/>
    </row>
    <row r="31" spans="2:12" x14ac:dyDescent="0.25">
      <c r="E31" s="124" t="str">
        <f t="shared" si="0"/>
        <v/>
      </c>
      <c r="F31" s="162"/>
      <c r="G31" s="162"/>
      <c r="H31" t="s">
        <v>474</v>
      </c>
      <c r="I31" t="s">
        <v>7</v>
      </c>
      <c r="J31" t="s">
        <v>561</v>
      </c>
      <c r="K31" s="124" t="str">
        <f t="shared" si="1"/>
        <v/>
      </c>
      <c r="L31" s="2"/>
    </row>
    <row r="32" spans="2:12" x14ac:dyDescent="0.25">
      <c r="E32" s="124" t="str">
        <f t="shared" si="0"/>
        <v/>
      </c>
      <c r="F32" s="162"/>
      <c r="G32" s="162"/>
      <c r="H32" t="s">
        <v>476</v>
      </c>
      <c r="I32" t="s">
        <v>7</v>
      </c>
      <c r="J32" t="s">
        <v>563</v>
      </c>
      <c r="K32" s="124" t="str">
        <f t="shared" si="1"/>
        <v/>
      </c>
      <c r="L32" s="2"/>
    </row>
    <row r="33" spans="5:12" x14ac:dyDescent="0.25">
      <c r="E33" s="124" t="str">
        <f t="shared" si="0"/>
        <v/>
      </c>
      <c r="F33" s="162"/>
      <c r="G33" s="162"/>
      <c r="H33" t="s">
        <v>478</v>
      </c>
      <c r="I33" t="s">
        <v>7</v>
      </c>
      <c r="J33" t="s">
        <v>565</v>
      </c>
      <c r="K33" s="124" t="str">
        <f t="shared" si="1"/>
        <v/>
      </c>
      <c r="L33" s="2"/>
    </row>
    <row r="34" spans="5:12" x14ac:dyDescent="0.25">
      <c r="E34" s="124" t="str">
        <f t="shared" si="0"/>
        <v/>
      </c>
      <c r="F34" s="162"/>
      <c r="G34" s="162"/>
      <c r="H34" t="s">
        <v>480</v>
      </c>
      <c r="I34" t="s">
        <v>7</v>
      </c>
      <c r="J34" t="s">
        <v>567</v>
      </c>
      <c r="K34" s="124" t="str">
        <f t="shared" si="1"/>
        <v/>
      </c>
      <c r="L34" s="2"/>
    </row>
    <row r="35" spans="5:12" x14ac:dyDescent="0.25">
      <c r="E35" s="124" t="str">
        <f t="shared" si="0"/>
        <v/>
      </c>
      <c r="F35" s="162"/>
      <c r="G35" s="162"/>
      <c r="H35" t="s">
        <v>482</v>
      </c>
      <c r="I35" t="s">
        <v>7</v>
      </c>
      <c r="J35" t="s">
        <v>568</v>
      </c>
      <c r="K35" s="124" t="str">
        <f t="shared" si="1"/>
        <v/>
      </c>
      <c r="L35" s="2"/>
    </row>
    <row r="36" spans="5:12" x14ac:dyDescent="0.25">
      <c r="E36" s="124" t="str">
        <f t="shared" si="0"/>
        <v/>
      </c>
      <c r="F36" s="162"/>
      <c r="G36" s="162"/>
      <c r="H36" t="s">
        <v>484</v>
      </c>
      <c r="I36" t="s">
        <v>7</v>
      </c>
      <c r="J36" t="s">
        <v>569</v>
      </c>
      <c r="K36" s="124" t="str">
        <f t="shared" si="1"/>
        <v/>
      </c>
      <c r="L36" s="2"/>
    </row>
    <row r="37" spans="5:12" x14ac:dyDescent="0.25">
      <c r="E37" s="124" t="str">
        <f t="shared" si="0"/>
        <v/>
      </c>
      <c r="F37" s="162"/>
      <c r="G37" s="162"/>
      <c r="H37" t="s">
        <v>486</v>
      </c>
      <c r="I37" t="s">
        <v>7</v>
      </c>
      <c r="J37" t="s">
        <v>570</v>
      </c>
      <c r="K37" s="124" t="str">
        <f t="shared" si="1"/>
        <v/>
      </c>
      <c r="L37" s="2"/>
    </row>
    <row r="38" spans="5:12" x14ac:dyDescent="0.25">
      <c r="E38" s="124" t="str">
        <f t="shared" si="0"/>
        <v/>
      </c>
      <c r="F38" s="162"/>
      <c r="G38" s="162"/>
      <c r="H38" t="s">
        <v>488</v>
      </c>
      <c r="I38" t="s">
        <v>7</v>
      </c>
      <c r="J38" t="s">
        <v>571</v>
      </c>
      <c r="K38" s="124" t="str">
        <f t="shared" si="1"/>
        <v/>
      </c>
      <c r="L38" s="2"/>
    </row>
    <row r="39" spans="5:12" x14ac:dyDescent="0.25">
      <c r="E39" s="124" t="str">
        <f t="shared" si="0"/>
        <v/>
      </c>
      <c r="F39" s="162"/>
      <c r="G39" s="162"/>
      <c r="H39" t="s">
        <v>566</v>
      </c>
      <c r="I39" t="s">
        <v>7</v>
      </c>
      <c r="J39" t="s">
        <v>611</v>
      </c>
      <c r="K39" s="124" t="str">
        <f t="shared" si="1"/>
        <v/>
      </c>
      <c r="L39" s="2"/>
    </row>
    <row r="40" spans="5:12" x14ac:dyDescent="0.25">
      <c r="E40" s="124" t="str">
        <f t="shared" si="0"/>
        <v/>
      </c>
      <c r="F40" s="162"/>
      <c r="G40" s="162"/>
      <c r="H40" t="s">
        <v>490</v>
      </c>
      <c r="I40" t="s">
        <v>6</v>
      </c>
      <c r="J40" t="s">
        <v>572</v>
      </c>
      <c r="K40" s="124" t="str">
        <f t="shared" si="1"/>
        <v/>
      </c>
      <c r="L40" s="2"/>
    </row>
    <row r="41" spans="5:12" x14ac:dyDescent="0.25">
      <c r="E41" s="124" t="str">
        <f t="shared" si="0"/>
        <v/>
      </c>
      <c r="F41" s="162"/>
      <c r="G41" s="162"/>
      <c r="H41" t="s">
        <v>492</v>
      </c>
      <c r="I41" t="s">
        <v>6</v>
      </c>
      <c r="J41" t="s">
        <v>573</v>
      </c>
      <c r="K41" s="124" t="str">
        <f t="shared" si="1"/>
        <v/>
      </c>
      <c r="L41" s="2"/>
    </row>
    <row r="42" spans="5:12" x14ac:dyDescent="0.25">
      <c r="E42" s="124" t="str">
        <f t="shared" si="0"/>
        <v/>
      </c>
      <c r="F42" s="162"/>
      <c r="G42" s="162"/>
      <c r="H42" t="s">
        <v>494</v>
      </c>
      <c r="I42" t="s">
        <v>6</v>
      </c>
      <c r="J42" t="s">
        <v>574</v>
      </c>
      <c r="K42" s="124" t="str">
        <f t="shared" si="1"/>
        <v/>
      </c>
      <c r="L42" s="2"/>
    </row>
    <row r="43" spans="5:12" x14ac:dyDescent="0.25">
      <c r="E43" s="124" t="str">
        <f>IF(IF(H43=$B$4,$C$7,IF($C$6="PL1",F43,IF($C$6="PL2",G43,"")))=0,"",IF(H43=$B$4,$C$7,IF($C$6="PL1",F43,IF($C$6="PL2",G43,""))))</f>
        <v/>
      </c>
      <c r="F43" s="162"/>
      <c r="G43" s="162"/>
      <c r="H43" t="s">
        <v>496</v>
      </c>
      <c r="I43" t="s">
        <v>6</v>
      </c>
      <c r="J43" t="s">
        <v>575</v>
      </c>
      <c r="K43" s="124" t="str">
        <f t="shared" si="1"/>
        <v/>
      </c>
      <c r="L43" s="2"/>
    </row>
    <row r="44" spans="5:12" x14ac:dyDescent="0.25">
      <c r="E44" s="124" t="str">
        <f t="shared" si="0"/>
        <v/>
      </c>
      <c r="F44" s="162"/>
      <c r="G44" s="162"/>
      <c r="H44" t="s">
        <v>498</v>
      </c>
      <c r="I44" t="s">
        <v>6</v>
      </c>
      <c r="J44" t="s">
        <v>576</v>
      </c>
      <c r="K44" s="124" t="str">
        <f t="shared" si="1"/>
        <v/>
      </c>
      <c r="L44" s="2"/>
    </row>
    <row r="45" spans="5:12" x14ac:dyDescent="0.25">
      <c r="E45" s="124" t="str">
        <f t="shared" si="0"/>
        <v/>
      </c>
      <c r="F45" s="162"/>
      <c r="G45" s="162"/>
      <c r="H45" t="s">
        <v>499</v>
      </c>
      <c r="I45" t="s">
        <v>6</v>
      </c>
      <c r="J45" t="s">
        <v>577</v>
      </c>
      <c r="K45" s="124" t="str">
        <f t="shared" si="1"/>
        <v/>
      </c>
      <c r="L45" s="2"/>
    </row>
    <row r="46" spans="5:12" x14ac:dyDescent="0.25">
      <c r="E46" s="124" t="str">
        <f t="shared" si="0"/>
        <v/>
      </c>
      <c r="F46" s="162"/>
      <c r="G46" s="162"/>
      <c r="H46" t="s">
        <v>500</v>
      </c>
      <c r="I46" t="s">
        <v>6</v>
      </c>
      <c r="J46" t="s">
        <v>578</v>
      </c>
      <c r="K46" s="124" t="str">
        <f t="shared" si="1"/>
        <v/>
      </c>
      <c r="L46" s="2"/>
    </row>
    <row r="47" spans="5:12" x14ac:dyDescent="0.25">
      <c r="E47" s="124" t="str">
        <f t="shared" si="0"/>
        <v/>
      </c>
      <c r="F47" s="162"/>
      <c r="G47" s="162"/>
      <c r="H47" t="s">
        <v>502</v>
      </c>
      <c r="I47" t="s">
        <v>6</v>
      </c>
      <c r="J47" t="s">
        <v>579</v>
      </c>
      <c r="K47" s="124" t="str">
        <f t="shared" si="1"/>
        <v/>
      </c>
      <c r="L47" s="2"/>
    </row>
    <row r="48" spans="5:12" x14ac:dyDescent="0.25">
      <c r="E48" s="124" t="str">
        <f t="shared" si="0"/>
        <v/>
      </c>
      <c r="F48" s="162"/>
      <c r="G48" s="162"/>
      <c r="H48" t="s">
        <v>504</v>
      </c>
      <c r="I48" t="s">
        <v>6</v>
      </c>
      <c r="J48" t="s">
        <v>580</v>
      </c>
      <c r="K48" s="124" t="str">
        <f t="shared" si="1"/>
        <v/>
      </c>
      <c r="L48" s="2"/>
    </row>
    <row r="49" spans="5:12" x14ac:dyDescent="0.25">
      <c r="E49" s="124" t="str">
        <f t="shared" si="0"/>
        <v/>
      </c>
      <c r="F49" s="162"/>
      <c r="G49" s="162"/>
      <c r="H49" t="s">
        <v>506</v>
      </c>
      <c r="I49" t="s">
        <v>6</v>
      </c>
      <c r="J49" t="s">
        <v>581</v>
      </c>
      <c r="K49" s="124" t="str">
        <f t="shared" si="1"/>
        <v/>
      </c>
      <c r="L49" s="2"/>
    </row>
    <row r="50" spans="5:12" x14ac:dyDescent="0.25">
      <c r="E50" s="124" t="str">
        <f t="shared" si="0"/>
        <v/>
      </c>
      <c r="F50" s="162"/>
      <c r="G50" s="162"/>
      <c r="H50" t="s">
        <v>508</v>
      </c>
      <c r="I50" t="s">
        <v>6</v>
      </c>
      <c r="J50" t="s">
        <v>582</v>
      </c>
      <c r="K50" s="124" t="str">
        <f t="shared" si="1"/>
        <v/>
      </c>
      <c r="L50" s="2"/>
    </row>
    <row r="51" spans="5:12" x14ac:dyDescent="0.25">
      <c r="E51" s="124" t="str">
        <f t="shared" si="0"/>
        <v/>
      </c>
      <c r="F51" s="162"/>
      <c r="G51" s="162"/>
      <c r="H51" t="s">
        <v>510</v>
      </c>
      <c r="I51" t="s">
        <v>6</v>
      </c>
      <c r="J51" t="s">
        <v>583</v>
      </c>
      <c r="K51" s="124" t="str">
        <f t="shared" si="1"/>
        <v/>
      </c>
      <c r="L51" s="2"/>
    </row>
    <row r="52" spans="5:12" x14ac:dyDescent="0.25">
      <c r="E52" s="124" t="str">
        <f t="shared" si="0"/>
        <v/>
      </c>
      <c r="F52" s="162"/>
      <c r="G52" s="162"/>
      <c r="H52" t="s">
        <v>512</v>
      </c>
      <c r="I52" t="s">
        <v>6</v>
      </c>
      <c r="J52" t="s">
        <v>584</v>
      </c>
      <c r="K52" s="124" t="str">
        <f t="shared" si="1"/>
        <v/>
      </c>
      <c r="L52" s="2"/>
    </row>
    <row r="53" spans="5:12" x14ac:dyDescent="0.25">
      <c r="E53" s="124" t="str">
        <f t="shared" si="0"/>
        <v/>
      </c>
      <c r="F53" s="162"/>
      <c r="G53" s="162"/>
      <c r="H53" t="s">
        <v>379</v>
      </c>
      <c r="I53" t="s">
        <v>380</v>
      </c>
      <c r="J53" t="s">
        <v>501</v>
      </c>
      <c r="K53" s="124" t="str">
        <f t="shared" si="1"/>
        <v/>
      </c>
      <c r="L53" s="2"/>
    </row>
    <row r="54" spans="5:12" x14ac:dyDescent="0.25">
      <c r="E54" s="124" t="str">
        <f t="shared" si="0"/>
        <v/>
      </c>
      <c r="F54" s="162"/>
      <c r="G54" s="162"/>
      <c r="H54" t="s">
        <v>393</v>
      </c>
      <c r="I54" t="s">
        <v>380</v>
      </c>
      <c r="J54" t="s">
        <v>505</v>
      </c>
      <c r="K54" s="124" t="str">
        <f t="shared" si="1"/>
        <v/>
      </c>
      <c r="L54" s="2"/>
    </row>
    <row r="55" spans="5:12" x14ac:dyDescent="0.25">
      <c r="E55" s="124" t="str">
        <f t="shared" si="0"/>
        <v/>
      </c>
      <c r="F55" s="162"/>
      <c r="G55" s="162"/>
      <c r="H55" t="s">
        <v>398</v>
      </c>
      <c r="I55" t="s">
        <v>380</v>
      </c>
      <c r="J55" t="s">
        <v>507</v>
      </c>
      <c r="K55" s="124" t="str">
        <f t="shared" si="1"/>
        <v/>
      </c>
      <c r="L55" s="2"/>
    </row>
    <row r="56" spans="5:12" x14ac:dyDescent="0.25">
      <c r="E56" s="124" t="str">
        <f t="shared" si="0"/>
        <v/>
      </c>
      <c r="F56" s="162"/>
      <c r="G56" s="162"/>
      <c r="H56" t="s">
        <v>403</v>
      </c>
      <c r="I56" t="s">
        <v>380</v>
      </c>
      <c r="J56" t="s">
        <v>509</v>
      </c>
      <c r="K56" s="124" t="str">
        <f t="shared" si="1"/>
        <v/>
      </c>
      <c r="L56" s="2"/>
    </row>
    <row r="57" spans="5:12" x14ac:dyDescent="0.25">
      <c r="E57" s="124" t="str">
        <f t="shared" si="0"/>
        <v/>
      </c>
      <c r="F57" s="162"/>
      <c r="G57" s="162"/>
      <c r="H57" t="s">
        <v>408</v>
      </c>
      <c r="I57" t="s">
        <v>380</v>
      </c>
      <c r="J57" t="s">
        <v>511</v>
      </c>
      <c r="K57" s="124" t="str">
        <f t="shared" si="1"/>
        <v/>
      </c>
      <c r="L57" s="2"/>
    </row>
    <row r="58" spans="5:12" x14ac:dyDescent="0.25">
      <c r="E58" s="124" t="str">
        <f t="shared" si="0"/>
        <v/>
      </c>
      <c r="F58" s="162"/>
      <c r="G58" s="162"/>
      <c r="H58" t="s">
        <v>410</v>
      </c>
      <c r="I58" t="s">
        <v>380</v>
      </c>
      <c r="J58" t="s">
        <v>513</v>
      </c>
      <c r="K58" s="124" t="str">
        <f t="shared" si="1"/>
        <v/>
      </c>
      <c r="L58" s="2"/>
    </row>
    <row r="59" spans="5:12" x14ac:dyDescent="0.25">
      <c r="E59" s="124" t="str">
        <f t="shared" si="0"/>
        <v/>
      </c>
      <c r="F59" s="162"/>
      <c r="G59" s="162"/>
      <c r="H59" t="s">
        <v>411</v>
      </c>
      <c r="I59" t="s">
        <v>380</v>
      </c>
      <c r="J59" t="s">
        <v>515</v>
      </c>
      <c r="K59" s="124" t="str">
        <f t="shared" si="1"/>
        <v/>
      </c>
      <c r="L59" s="2"/>
    </row>
    <row r="60" spans="5:12" x14ac:dyDescent="0.25">
      <c r="E60" s="124" t="str">
        <f t="shared" si="0"/>
        <v/>
      </c>
      <c r="F60" s="162"/>
      <c r="G60" s="162"/>
      <c r="H60" t="s">
        <v>412</v>
      </c>
      <c r="I60" t="s">
        <v>380</v>
      </c>
      <c r="J60" t="s">
        <v>517</v>
      </c>
      <c r="K60" s="124" t="str">
        <f t="shared" si="1"/>
        <v/>
      </c>
      <c r="L60" s="2"/>
    </row>
    <row r="61" spans="5:12" x14ac:dyDescent="0.25">
      <c r="E61" s="124" t="str">
        <f t="shared" si="0"/>
        <v/>
      </c>
      <c r="F61" s="162"/>
      <c r="G61" s="162"/>
      <c r="H61" t="s">
        <v>413</v>
      </c>
      <c r="I61" t="s">
        <v>380</v>
      </c>
      <c r="J61" t="s">
        <v>519</v>
      </c>
      <c r="K61" s="124" t="str">
        <f t="shared" si="1"/>
        <v/>
      </c>
      <c r="L61" s="2"/>
    </row>
    <row r="62" spans="5:12" x14ac:dyDescent="0.25">
      <c r="E62" s="124" t="str">
        <f t="shared" si="0"/>
        <v/>
      </c>
      <c r="F62" s="162"/>
      <c r="G62" s="162"/>
      <c r="H62" t="s">
        <v>414</v>
      </c>
      <c r="I62" t="s">
        <v>380</v>
      </c>
      <c r="J62" t="s">
        <v>521</v>
      </c>
      <c r="K62" s="124" t="str">
        <f t="shared" si="1"/>
        <v/>
      </c>
      <c r="L62" s="2"/>
    </row>
    <row r="63" spans="5:12" x14ac:dyDescent="0.25">
      <c r="E63" s="124" t="str">
        <f t="shared" si="0"/>
        <v/>
      </c>
      <c r="F63" s="162"/>
      <c r="G63" s="162"/>
      <c r="H63" t="s">
        <v>415</v>
      </c>
      <c r="I63" t="s">
        <v>380</v>
      </c>
      <c r="J63" t="s">
        <v>523</v>
      </c>
      <c r="K63" s="124" t="str">
        <f t="shared" si="1"/>
        <v/>
      </c>
      <c r="L63" s="2"/>
    </row>
    <row r="64" spans="5:12" x14ac:dyDescent="0.25">
      <c r="E64" s="124" t="str">
        <f t="shared" si="0"/>
        <v/>
      </c>
      <c r="F64" s="162"/>
      <c r="G64" s="162"/>
      <c r="H64" t="s">
        <v>416</v>
      </c>
      <c r="I64" t="s">
        <v>380</v>
      </c>
      <c r="J64" t="s">
        <v>525</v>
      </c>
      <c r="K64" s="124" t="str">
        <f t="shared" si="1"/>
        <v/>
      </c>
      <c r="L64" s="2"/>
    </row>
    <row r="65" spans="5:12" x14ac:dyDescent="0.25">
      <c r="E65" s="124" t="str">
        <f t="shared" si="0"/>
        <v/>
      </c>
      <c r="F65" s="162"/>
      <c r="G65" s="162"/>
      <c r="H65" t="s">
        <v>421</v>
      </c>
      <c r="I65" t="s">
        <v>380</v>
      </c>
      <c r="J65" t="s">
        <v>527</v>
      </c>
      <c r="K65" s="124" t="str">
        <f t="shared" si="1"/>
        <v/>
      </c>
      <c r="L65" s="2"/>
    </row>
    <row r="66" spans="5:12" x14ac:dyDescent="0.25">
      <c r="E66" s="124" t="str">
        <f t="shared" si="0"/>
        <v/>
      </c>
      <c r="F66" s="162"/>
      <c r="G66" s="162"/>
      <c r="H66" t="s">
        <v>386</v>
      </c>
      <c r="I66" t="s">
        <v>4</v>
      </c>
      <c r="J66" t="s">
        <v>503</v>
      </c>
      <c r="K66" s="124" t="str">
        <f t="shared" si="1"/>
        <v/>
      </c>
      <c r="L66" s="2"/>
    </row>
    <row r="67" spans="5:12" x14ac:dyDescent="0.25">
      <c r="E67" s="124" t="str">
        <f t="shared" si="0"/>
        <v/>
      </c>
      <c r="F67" s="162"/>
      <c r="G67" s="162"/>
      <c r="H67" t="s">
        <v>514</v>
      </c>
      <c r="I67" t="s">
        <v>4</v>
      </c>
      <c r="J67" t="s">
        <v>585</v>
      </c>
      <c r="K67" s="124" t="str">
        <f t="shared" si="1"/>
        <v/>
      </c>
      <c r="L67" s="2"/>
    </row>
    <row r="68" spans="5:12" x14ac:dyDescent="0.25">
      <c r="E68" s="124" t="str">
        <f t="shared" si="0"/>
        <v/>
      </c>
      <c r="F68" s="162"/>
      <c r="G68" s="162"/>
      <c r="H68" t="s">
        <v>516</v>
      </c>
      <c r="I68" t="s">
        <v>4</v>
      </c>
      <c r="J68" t="s">
        <v>586</v>
      </c>
      <c r="K68" s="124" t="str">
        <f t="shared" si="1"/>
        <v/>
      </c>
      <c r="L68" s="2"/>
    </row>
    <row r="69" spans="5:12" x14ac:dyDescent="0.25">
      <c r="E69" s="124" t="str">
        <f t="shared" si="0"/>
        <v/>
      </c>
      <c r="F69" s="162"/>
      <c r="G69" s="162"/>
      <c r="H69" t="s">
        <v>518</v>
      </c>
      <c r="I69" t="s">
        <v>4</v>
      </c>
      <c r="J69" t="s">
        <v>587</v>
      </c>
      <c r="K69" s="124" t="str">
        <f t="shared" si="1"/>
        <v/>
      </c>
      <c r="L69" s="2"/>
    </row>
    <row r="70" spans="5:12" x14ac:dyDescent="0.25">
      <c r="E70" s="124" t="str">
        <f t="shared" si="0"/>
        <v/>
      </c>
      <c r="F70" s="162"/>
      <c r="G70" s="162"/>
      <c r="H70" t="s">
        <v>520</v>
      </c>
      <c r="I70" t="s">
        <v>4</v>
      </c>
      <c r="J70" t="s">
        <v>588</v>
      </c>
      <c r="K70" s="124" t="str">
        <f t="shared" si="1"/>
        <v/>
      </c>
      <c r="L70" s="2"/>
    </row>
    <row r="71" spans="5:12" x14ac:dyDescent="0.25">
      <c r="E71" s="124" t="str">
        <f t="shared" si="0"/>
        <v/>
      </c>
      <c r="F71" s="162"/>
      <c r="G71" s="162"/>
      <c r="H71" t="s">
        <v>522</v>
      </c>
      <c r="I71" t="s">
        <v>4</v>
      </c>
      <c r="J71" t="s">
        <v>589</v>
      </c>
      <c r="K71" s="124" t="str">
        <f t="shared" si="1"/>
        <v/>
      </c>
      <c r="L71" s="2"/>
    </row>
    <row r="72" spans="5:12" x14ac:dyDescent="0.25">
      <c r="E72" s="124" t="str">
        <f t="shared" si="0"/>
        <v/>
      </c>
      <c r="F72" s="162"/>
      <c r="G72" s="162"/>
      <c r="H72" t="s">
        <v>524</v>
      </c>
      <c r="I72" t="s">
        <v>4</v>
      </c>
      <c r="J72" t="s">
        <v>590</v>
      </c>
      <c r="K72" s="124" t="str">
        <f t="shared" si="1"/>
        <v/>
      </c>
      <c r="L72" s="2"/>
    </row>
    <row r="73" spans="5:12" x14ac:dyDescent="0.25">
      <c r="E73" s="124" t="str">
        <f t="shared" si="0"/>
        <v/>
      </c>
      <c r="F73" s="162"/>
      <c r="G73" s="162"/>
      <c r="H73" t="s">
        <v>528</v>
      </c>
      <c r="I73" t="s">
        <v>4</v>
      </c>
      <c r="J73" t="s">
        <v>592</v>
      </c>
      <c r="K73" s="124" t="str">
        <f t="shared" si="1"/>
        <v/>
      </c>
      <c r="L73" s="2"/>
    </row>
    <row r="74" spans="5:12" x14ac:dyDescent="0.25">
      <c r="E74" s="124" t="str">
        <f t="shared" si="0"/>
        <v/>
      </c>
      <c r="F74" s="162"/>
      <c r="G74" s="162"/>
      <c r="H74" t="s">
        <v>530</v>
      </c>
      <c r="I74" t="s">
        <v>4</v>
      </c>
      <c r="J74" t="s">
        <v>593</v>
      </c>
      <c r="K74" s="124" t="str">
        <f t="shared" si="1"/>
        <v/>
      </c>
      <c r="L74" s="2"/>
    </row>
    <row r="75" spans="5:12" x14ac:dyDescent="0.25">
      <c r="E75" s="124" t="str">
        <f t="shared" si="0"/>
        <v/>
      </c>
      <c r="F75" s="162"/>
      <c r="G75" s="162"/>
      <c r="H75" t="s">
        <v>532</v>
      </c>
      <c r="I75" t="s">
        <v>4</v>
      </c>
      <c r="J75" t="s">
        <v>594</v>
      </c>
      <c r="K75" s="124" t="str">
        <f t="shared" si="1"/>
        <v/>
      </c>
      <c r="L75" s="2"/>
    </row>
    <row r="76" spans="5:12" x14ac:dyDescent="0.25">
      <c r="E76" s="124" t="str">
        <f t="shared" si="0"/>
        <v/>
      </c>
      <c r="F76" s="162"/>
      <c r="G76" s="162"/>
      <c r="H76" t="s">
        <v>534</v>
      </c>
      <c r="I76" t="s">
        <v>4</v>
      </c>
      <c r="J76" t="s">
        <v>595</v>
      </c>
      <c r="K76" s="124" t="str">
        <f t="shared" si="1"/>
        <v/>
      </c>
      <c r="L76" s="2"/>
    </row>
    <row r="77" spans="5:12" x14ac:dyDescent="0.25">
      <c r="E77" s="124" t="str">
        <f t="shared" si="0"/>
        <v/>
      </c>
      <c r="F77" s="162"/>
      <c r="G77" s="162"/>
      <c r="H77" t="s">
        <v>536</v>
      </c>
      <c r="I77" t="s">
        <v>4</v>
      </c>
      <c r="J77" t="s">
        <v>596</v>
      </c>
      <c r="K77" s="124" t="str">
        <f t="shared" si="1"/>
        <v/>
      </c>
      <c r="L77" s="2"/>
    </row>
    <row r="78" spans="5:12" x14ac:dyDescent="0.25">
      <c r="E78" s="124" t="str">
        <f t="shared" si="0"/>
        <v/>
      </c>
      <c r="F78" s="162"/>
      <c r="G78" s="162"/>
      <c r="H78" t="s">
        <v>538</v>
      </c>
      <c r="I78" t="s">
        <v>4</v>
      </c>
      <c r="J78" t="s">
        <v>597</v>
      </c>
      <c r="K78" s="124" t="str">
        <f t="shared" si="1"/>
        <v/>
      </c>
      <c r="L78" s="2"/>
    </row>
    <row r="79" spans="5:12" x14ac:dyDescent="0.25">
      <c r="E79" s="124" t="str">
        <f t="shared" ref="E79:E91" si="2">IF(IF(H79=$B$4,$C$7,IF($C$6="PL1",F79,IF($C$6="PL2",G79,"")))=0,"",IF(H79=$B$4,$C$7,IF($C$6="PL1",F79,IF($C$6="PL2",G79,""))))</f>
        <v/>
      </c>
      <c r="F79" s="162"/>
      <c r="G79" s="162"/>
      <c r="H79" t="s">
        <v>540</v>
      </c>
      <c r="I79" t="s">
        <v>3</v>
      </c>
      <c r="J79" t="s">
        <v>598</v>
      </c>
      <c r="K79" s="124" t="str">
        <f t="shared" ref="K79:K91" si="3">IF($C$6="PL1",IF(F79="",""," is Taken"),IF($C$6="PL2",IF(G79="",""," is Taken"),""))</f>
        <v/>
      </c>
      <c r="L79" s="2"/>
    </row>
    <row r="80" spans="5:12" x14ac:dyDescent="0.25">
      <c r="E80" s="124" t="str">
        <f t="shared" si="2"/>
        <v/>
      </c>
      <c r="F80" s="162"/>
      <c r="G80" s="162"/>
      <c r="H80" t="s">
        <v>542</v>
      </c>
      <c r="I80" t="s">
        <v>3</v>
      </c>
      <c r="J80" t="s">
        <v>599</v>
      </c>
      <c r="K80" s="124" t="str">
        <f t="shared" si="3"/>
        <v/>
      </c>
      <c r="L80" s="2"/>
    </row>
    <row r="81" spans="5:12" x14ac:dyDescent="0.25">
      <c r="E81" s="124" t="str">
        <f t="shared" si="2"/>
        <v/>
      </c>
      <c r="F81" s="162"/>
      <c r="G81" s="162"/>
      <c r="H81" t="s">
        <v>544</v>
      </c>
      <c r="I81" t="s">
        <v>3</v>
      </c>
      <c r="J81" t="s">
        <v>600</v>
      </c>
      <c r="K81" s="124" t="str">
        <f t="shared" si="3"/>
        <v/>
      </c>
      <c r="L81" s="2"/>
    </row>
    <row r="82" spans="5:12" x14ac:dyDescent="0.25">
      <c r="E82" s="124" t="str">
        <f t="shared" si="2"/>
        <v/>
      </c>
      <c r="F82" s="162"/>
      <c r="G82" s="162"/>
      <c r="H82" t="s">
        <v>546</v>
      </c>
      <c r="I82" t="s">
        <v>3</v>
      </c>
      <c r="J82" t="s">
        <v>601</v>
      </c>
      <c r="K82" s="124" t="str">
        <f t="shared" si="3"/>
        <v/>
      </c>
      <c r="L82" s="2"/>
    </row>
    <row r="83" spans="5:12" x14ac:dyDescent="0.25">
      <c r="E83" s="124" t="str">
        <f t="shared" si="2"/>
        <v/>
      </c>
      <c r="F83" s="162"/>
      <c r="G83" s="162"/>
      <c r="H83" t="s">
        <v>548</v>
      </c>
      <c r="I83" t="s">
        <v>3</v>
      </c>
      <c r="J83" t="s">
        <v>602</v>
      </c>
      <c r="K83" s="124" t="str">
        <f t="shared" si="3"/>
        <v/>
      </c>
      <c r="L83" s="2"/>
    </row>
    <row r="84" spans="5:12" x14ac:dyDescent="0.25">
      <c r="E84" s="124" t="str">
        <f t="shared" si="2"/>
        <v/>
      </c>
      <c r="F84" s="162"/>
      <c r="G84" s="162"/>
      <c r="H84" t="s">
        <v>550</v>
      </c>
      <c r="I84" t="s">
        <v>3</v>
      </c>
      <c r="J84" t="s">
        <v>603</v>
      </c>
      <c r="K84" s="124" t="str">
        <f t="shared" si="3"/>
        <v/>
      </c>
      <c r="L84" s="2"/>
    </row>
    <row r="85" spans="5:12" x14ac:dyDescent="0.25">
      <c r="E85" s="124" t="str">
        <f t="shared" si="2"/>
        <v/>
      </c>
      <c r="F85" s="162"/>
      <c r="G85" s="162"/>
      <c r="H85" t="s">
        <v>552</v>
      </c>
      <c r="I85" t="s">
        <v>3</v>
      </c>
      <c r="J85" t="s">
        <v>604</v>
      </c>
      <c r="K85" s="124" t="str">
        <f t="shared" si="3"/>
        <v/>
      </c>
      <c r="L85" s="2"/>
    </row>
    <row r="86" spans="5:12" x14ac:dyDescent="0.25">
      <c r="E86" s="124" t="str">
        <f t="shared" si="2"/>
        <v/>
      </c>
      <c r="F86" s="162"/>
      <c r="G86" s="162"/>
      <c r="H86" t="s">
        <v>554</v>
      </c>
      <c r="I86" t="s">
        <v>3</v>
      </c>
      <c r="J86" t="s">
        <v>605</v>
      </c>
      <c r="K86" s="124" t="str">
        <f t="shared" si="3"/>
        <v/>
      </c>
      <c r="L86" s="2"/>
    </row>
    <row r="87" spans="5:12" x14ac:dyDescent="0.25">
      <c r="E87" s="124" t="str">
        <f t="shared" si="2"/>
        <v/>
      </c>
      <c r="F87" s="162"/>
      <c r="G87" s="162"/>
      <c r="H87" t="s">
        <v>556</v>
      </c>
      <c r="I87" t="s">
        <v>3</v>
      </c>
      <c r="J87" t="s">
        <v>606</v>
      </c>
      <c r="K87" s="124" t="str">
        <f t="shared" si="3"/>
        <v/>
      </c>
      <c r="L87" s="2"/>
    </row>
    <row r="88" spans="5:12" x14ac:dyDescent="0.25">
      <c r="E88" s="124" t="str">
        <f t="shared" si="2"/>
        <v/>
      </c>
      <c r="F88" s="162"/>
      <c r="G88" s="162"/>
      <c r="H88" t="s">
        <v>558</v>
      </c>
      <c r="I88" t="s">
        <v>3</v>
      </c>
      <c r="J88" t="s">
        <v>607</v>
      </c>
      <c r="K88" s="124" t="str">
        <f t="shared" si="3"/>
        <v/>
      </c>
      <c r="L88" s="2"/>
    </row>
    <row r="89" spans="5:12" x14ac:dyDescent="0.25">
      <c r="E89" s="124" t="str">
        <f t="shared" si="2"/>
        <v/>
      </c>
      <c r="F89" s="162"/>
      <c r="G89" s="162"/>
      <c r="H89" t="s">
        <v>560</v>
      </c>
      <c r="I89" t="s">
        <v>3</v>
      </c>
      <c r="J89" t="s">
        <v>608</v>
      </c>
      <c r="K89" s="124" t="str">
        <f t="shared" si="3"/>
        <v/>
      </c>
      <c r="L89" s="2"/>
    </row>
    <row r="90" spans="5:12" x14ac:dyDescent="0.25">
      <c r="E90" s="124" t="str">
        <f t="shared" si="2"/>
        <v/>
      </c>
      <c r="F90" s="162"/>
      <c r="G90" s="162"/>
      <c r="H90" t="s">
        <v>562</v>
      </c>
      <c r="I90" t="s">
        <v>3</v>
      </c>
      <c r="J90" t="s">
        <v>609</v>
      </c>
      <c r="K90" s="124" t="str">
        <f t="shared" si="3"/>
        <v/>
      </c>
      <c r="L90" s="2"/>
    </row>
    <row r="91" spans="5:12" x14ac:dyDescent="0.25">
      <c r="E91" s="124" t="str">
        <f t="shared" si="2"/>
        <v/>
      </c>
      <c r="F91" s="162"/>
      <c r="G91" s="162"/>
      <c r="H91" t="s">
        <v>564</v>
      </c>
      <c r="I91" t="s">
        <v>3</v>
      </c>
      <c r="J91" t="s">
        <v>610</v>
      </c>
      <c r="K91" s="124" t="str">
        <f t="shared" si="3"/>
        <v/>
      </c>
      <c r="L91" s="2"/>
    </row>
    <row r="92" spans="5:12" x14ac:dyDescent="0.25">
      <c r="E92" s="1"/>
      <c r="F92" s="1"/>
      <c r="G92" s="1"/>
      <c r="H92" s="1"/>
      <c r="I92" s="1"/>
      <c r="J92" s="1"/>
      <c r="K92" s="1"/>
      <c r="L92" s="2"/>
    </row>
  </sheetData>
  <sortState ref="S14:S91">
    <sortCondition ref="S14"/>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B88"/>
  <sheetViews>
    <sheetView topLeftCell="F7" workbookViewId="0">
      <selection activeCell="H55" sqref="H55"/>
    </sheetView>
  </sheetViews>
  <sheetFormatPr defaultRowHeight="15" x14ac:dyDescent="0.25"/>
  <cols>
    <col min="7" max="7" width="12" bestFit="1" customWidth="1"/>
    <col min="8" max="8" width="25.85546875" bestFit="1" customWidth="1"/>
    <col min="13" max="13" width="55.5703125" customWidth="1"/>
    <col min="17" max="17" width="16" bestFit="1" customWidth="1"/>
  </cols>
  <sheetData>
    <row r="1" spans="1:28" x14ac:dyDescent="0.25">
      <c r="A1" s="117" t="s">
        <v>1066</v>
      </c>
    </row>
    <row r="3" spans="1:28" x14ac:dyDescent="0.25">
      <c r="R3" s="144" t="s">
        <v>1429</v>
      </c>
      <c r="S3" s="144" t="s">
        <v>1430</v>
      </c>
    </row>
    <row r="4" spans="1:28" x14ac:dyDescent="0.25">
      <c r="B4" s="144" t="s">
        <v>1421</v>
      </c>
      <c r="C4" s="124" t="str">
        <f ca="1">IF(Setup!AA45="Initiative Game","",IF(ISNA(IF(MAX(B:B)=0,"None",VLOOKUP(RANDBETWEEN(1,MAX(B:B)),B:H,7,0))),"",IF(MAX(B:B)=0,"None",VLOOKUP(RANDBETWEEN(1,MAX(B:B)),B:H,7,0))))</f>
        <v/>
      </c>
      <c r="Q4" s="144" t="s">
        <v>800</v>
      </c>
      <c r="R4" s="124">
        <f>Setup!AC19</f>
        <v>0</v>
      </c>
      <c r="S4" s="124">
        <f>Setup!AD19</f>
        <v>0</v>
      </c>
    </row>
    <row r="5" spans="1:28" x14ac:dyDescent="0.25">
      <c r="Q5" s="144" t="s">
        <v>801</v>
      </c>
      <c r="R5" s="124">
        <f>Setup!AC20</f>
        <v>0</v>
      </c>
      <c r="S5" s="124">
        <f>Setup!AD20</f>
        <v>0</v>
      </c>
    </row>
    <row r="10" spans="1:28" x14ac:dyDescent="0.25">
      <c r="U10" s="144" t="s">
        <v>800</v>
      </c>
      <c r="Y10" s="144" t="s">
        <v>801</v>
      </c>
    </row>
    <row r="11" spans="1:28" x14ac:dyDescent="0.25">
      <c r="A11" s="144" t="s">
        <v>1009</v>
      </c>
      <c r="B11" s="144" t="s">
        <v>1420</v>
      </c>
      <c r="C11" s="144"/>
      <c r="D11" s="144" t="s">
        <v>1474</v>
      </c>
      <c r="E11" s="144" t="s">
        <v>1475</v>
      </c>
      <c r="F11" s="144" t="s">
        <v>902</v>
      </c>
      <c r="G11" s="144"/>
      <c r="H11" s="144" t="s">
        <v>630</v>
      </c>
      <c r="I11" s="144" t="s">
        <v>631</v>
      </c>
      <c r="J11" s="144" t="s">
        <v>383</v>
      </c>
      <c r="K11" s="144" t="s">
        <v>1001</v>
      </c>
      <c r="L11" s="144" t="s">
        <v>1185</v>
      </c>
      <c r="M11" s="144" t="s">
        <v>632</v>
      </c>
      <c r="N11" s="144" t="s">
        <v>1423</v>
      </c>
      <c r="O11" s="144" t="s">
        <v>1424</v>
      </c>
      <c r="P11" s="144" t="s">
        <v>1425</v>
      </c>
      <c r="Q11" s="144" t="s">
        <v>1426</v>
      </c>
      <c r="R11" s="144" t="s">
        <v>1427</v>
      </c>
      <c r="S11" s="144" t="s">
        <v>1428</v>
      </c>
      <c r="T11" s="144" t="s">
        <v>1473</v>
      </c>
      <c r="U11" s="144" t="str">
        <f>I11</f>
        <v>Hand</v>
      </c>
      <c r="V11" s="144" t="str">
        <f t="shared" ref="V11:X11" si="0">J11</f>
        <v>Life</v>
      </c>
      <c r="W11" s="144" t="str">
        <f t="shared" si="0"/>
        <v>Power</v>
      </c>
      <c r="X11" s="144" t="str">
        <f t="shared" si="0"/>
        <v>Toughness</v>
      </c>
      <c r="Y11" s="144" t="str">
        <f>U11</f>
        <v>Hand</v>
      </c>
      <c r="Z11" s="144" t="str">
        <f t="shared" ref="Z11:AB11" si="1">V11</f>
        <v>Life</v>
      </c>
      <c r="AA11" s="144" t="str">
        <f t="shared" si="1"/>
        <v>Power</v>
      </c>
      <c r="AB11" s="144" t="str">
        <f t="shared" si="1"/>
        <v>Toughness</v>
      </c>
    </row>
    <row r="12" spans="1:28" x14ac:dyDescent="0.25">
      <c r="A12" s="144">
        <v>1</v>
      </c>
      <c r="B12" s="124">
        <f>IF(F12="Available",1,0)</f>
        <v>1</v>
      </c>
      <c r="D12">
        <f>IF(T12="PL1",1,0)</f>
        <v>0</v>
      </c>
      <c r="E12">
        <f>IF(T12="PL2",1,0)</f>
        <v>0</v>
      </c>
      <c r="F12" s="124" t="str">
        <f>IF(Q12="Available","Available","Taken")</f>
        <v>Available</v>
      </c>
      <c r="H12" t="s">
        <v>633</v>
      </c>
      <c r="I12">
        <v>1</v>
      </c>
      <c r="J12">
        <v>7</v>
      </c>
      <c r="M12" t="s">
        <v>634</v>
      </c>
      <c r="N12" s="124" t="str">
        <f>IF(ISNA(VLOOKUP(H12,GameLog!$U$2:$Z$2999,6,0)),"Available",VLOOKUP(H12,GameLog!$U$2:$Z$2999,6,0))</f>
        <v>Available</v>
      </c>
      <c r="O12" s="124" t="str">
        <f>IF(ISNA(VLOOKUP(H12,GameLog!$U$2:$AA$2999,7,0)),"Available",VLOOKUP(H12,GameLog!$U$2:$AA$2999,7,0))</f>
        <v>Available</v>
      </c>
      <c r="P12" s="124" t="str">
        <f>IF(N12="Available","Available",IF(VLOOKUP(N12,Setup!$L:$N,3,0)="Dead","Available",VLOOKUP(N12,Setup!$L:$N,3,0)))</f>
        <v>Available</v>
      </c>
      <c r="Q12" s="124" t="str">
        <f>IF(ISNA(IF(O12="Available","Available",IF(VLOOKUP(O12,Setup!$L:$N,3,0)="Dead","Available",VLOOKUP(O12,Setup!$L:$N,3,0)))),"",IF(O12="Available","Available",IF(VLOOKUP(O12,Setup!$L:$N,3,0)="Dead","Available",VLOOKUP(O12,Setup!$L:$N,3,0))))</f>
        <v>Available</v>
      </c>
      <c r="R12">
        <f>COUNTIF($R$4:$S$5,N12)</f>
        <v>0</v>
      </c>
      <c r="S12">
        <f>COUNTIF($R$4:$S$5,O12)</f>
        <v>0</v>
      </c>
      <c r="T12" t="str">
        <f>IF(R12=1,LEFT(N12,3),IF(S12=1,LEFT(O12,3),""))</f>
        <v/>
      </c>
      <c r="U12" s="194" t="str">
        <f>IF($T12="PL1",I12,"")</f>
        <v/>
      </c>
      <c r="V12" s="194" t="str">
        <f t="shared" ref="V12:X12" si="2">IF($T12="PL1",J12,"")</f>
        <v/>
      </c>
      <c r="W12" s="194" t="str">
        <f t="shared" si="2"/>
        <v/>
      </c>
      <c r="X12" s="194" t="str">
        <f t="shared" si="2"/>
        <v/>
      </c>
      <c r="Y12" s="183" t="str">
        <f>IF($T12="PL2",I12,"")</f>
        <v/>
      </c>
      <c r="Z12" s="183" t="str">
        <f t="shared" ref="Z12:AB12" si="3">IF($T12="PL2",J12,"")</f>
        <v/>
      </c>
      <c r="AA12" s="183" t="str">
        <f t="shared" si="3"/>
        <v/>
      </c>
      <c r="AB12" s="183" t="str">
        <f t="shared" si="3"/>
        <v/>
      </c>
    </row>
    <row r="13" spans="1:28" x14ac:dyDescent="0.25">
      <c r="A13" s="144">
        <v>2</v>
      </c>
      <c r="B13" s="124">
        <f t="shared" ref="B13:B44" si="4">IF(F13="Available",B12+1,B12)</f>
        <v>2</v>
      </c>
      <c r="D13">
        <f>IF(T13="PL1",1+D12,D12)</f>
        <v>0</v>
      </c>
      <c r="E13">
        <f>IF(T13="PL2",1+E12,E12)</f>
        <v>0</v>
      </c>
      <c r="F13" s="124" t="str">
        <f t="shared" ref="F13:F76" si="5">IF(Q13="Available","Available","Taken")</f>
        <v>Available</v>
      </c>
      <c r="H13" t="s">
        <v>635</v>
      </c>
      <c r="I13">
        <v>0</v>
      </c>
      <c r="J13">
        <v>3</v>
      </c>
      <c r="M13" t="s">
        <v>636</v>
      </c>
      <c r="N13" s="124" t="str">
        <f>IF(ISNA(VLOOKUP(H13,GameLog!$U$2:$Z$2999,6,0)),"Available",VLOOKUP(H13,GameLog!$U$2:$Z$2999,6,0))</f>
        <v>Available</v>
      </c>
      <c r="O13" s="124" t="str">
        <f>IF(ISNA(VLOOKUP(H13,GameLog!$U$2:$AA$2999,7,0)),"Available",VLOOKUP(H13,GameLog!$U$2:$AA$2999,7,0))</f>
        <v>Available</v>
      </c>
      <c r="P13" s="124" t="str">
        <f>IF(N13="Available","Available",IF(VLOOKUP(N13,Setup!$L:$N,3,0)="Dead","Available",VLOOKUP(N13,Setup!$L:$N,3,0)))</f>
        <v>Available</v>
      </c>
      <c r="Q13" s="124" t="str">
        <f>IF(ISNA(IF(O13="Available","Available",IF(VLOOKUP(O13,Setup!$L:$N,3,0)="Dead","Available",VLOOKUP(O13,Setup!$L:$N,3,0)))),"",IF(O13="Available","Available",IF(VLOOKUP(O13,Setup!$L:$N,3,0)="Dead","Available",VLOOKUP(O13,Setup!$L:$N,3,0))))</f>
        <v>Available</v>
      </c>
      <c r="R13">
        <f t="shared" ref="R13:R76" si="6">COUNTIF($R$4:$S$5,N13)</f>
        <v>0</v>
      </c>
      <c r="S13">
        <f t="shared" ref="S13:S76" si="7">COUNTIF($R$4:$S$5,O13)</f>
        <v>0</v>
      </c>
      <c r="T13" t="str">
        <f t="shared" ref="T13:T76" si="8">IF(R13=1,LEFT(N13,3),IF(S13=1,LEFT(O13,3),""))</f>
        <v/>
      </c>
      <c r="U13" s="194" t="str">
        <f t="shared" ref="U13:U76" si="9">IF($T13="PL1",I13,"")</f>
        <v/>
      </c>
      <c r="V13" s="194" t="str">
        <f t="shared" ref="V13:V76" si="10">IF($T13="PL1",J13,"")</f>
        <v/>
      </c>
      <c r="W13" s="194" t="str">
        <f t="shared" ref="W13:W76" si="11">IF($T13="PL1",K13,"")</f>
        <v/>
      </c>
      <c r="X13" s="194" t="str">
        <f t="shared" ref="X13:X76" si="12">IF($T13="PL1",L13,"")</f>
        <v/>
      </c>
      <c r="Y13" s="183" t="str">
        <f t="shared" ref="Y13:Y76" si="13">IF($T13="PL2",I13,"")</f>
        <v/>
      </c>
      <c r="Z13" s="183" t="str">
        <f t="shared" ref="Z13:Z76" si="14">IF($T13="PL2",J13,"")</f>
        <v/>
      </c>
      <c r="AA13" s="183" t="str">
        <f t="shared" ref="AA13:AA76" si="15">IF($T13="PL2",K13,"")</f>
        <v/>
      </c>
      <c r="AB13" s="183" t="str">
        <f t="shared" ref="AB13:AB76" si="16">IF($T13="PL2",L13,"")</f>
        <v/>
      </c>
    </row>
    <row r="14" spans="1:28" x14ac:dyDescent="0.25">
      <c r="A14" s="144">
        <v>3</v>
      </c>
      <c r="B14" s="124">
        <f t="shared" si="4"/>
        <v>3</v>
      </c>
      <c r="D14">
        <f t="shared" ref="D14:D77" si="17">IF(T14="PL1",1+D13,D13)</f>
        <v>0</v>
      </c>
      <c r="E14">
        <f t="shared" ref="E14:E77" si="18">IF(T14="PL2",1+E13,E13)</f>
        <v>0</v>
      </c>
      <c r="F14" s="124" t="str">
        <f t="shared" si="5"/>
        <v>Available</v>
      </c>
      <c r="H14" t="s">
        <v>637</v>
      </c>
      <c r="I14">
        <v>1</v>
      </c>
      <c r="J14">
        <v>-8</v>
      </c>
      <c r="M14" t="s">
        <v>638</v>
      </c>
      <c r="N14" s="124" t="str">
        <f>IF(ISNA(VLOOKUP(H14,GameLog!$U$2:$Z$2999,6,0)),"Available",VLOOKUP(H14,GameLog!$U$2:$Z$2999,6,0))</f>
        <v>Available</v>
      </c>
      <c r="O14" s="124" t="str">
        <f>IF(ISNA(VLOOKUP(H14,GameLog!$U$2:$AA$2999,7,0)),"Available",VLOOKUP(H14,GameLog!$U$2:$AA$2999,7,0))</f>
        <v>Available</v>
      </c>
      <c r="P14" s="124" t="str">
        <f>IF(N14="Available","Available",IF(VLOOKUP(N14,Setup!$L:$N,3,0)="Dead","Available",VLOOKUP(N14,Setup!$L:$N,3,0)))</f>
        <v>Available</v>
      </c>
      <c r="Q14" s="124" t="str">
        <f>IF(ISNA(IF(O14="Available","Available",IF(VLOOKUP(O14,Setup!$L:$N,3,0)="Dead","Available",VLOOKUP(O14,Setup!$L:$N,3,0)))),"",IF(O14="Available","Available",IF(VLOOKUP(O14,Setup!$L:$N,3,0)="Dead","Available",VLOOKUP(O14,Setup!$L:$N,3,0))))</f>
        <v>Available</v>
      </c>
      <c r="R14">
        <f t="shared" si="6"/>
        <v>0</v>
      </c>
      <c r="S14">
        <f t="shared" si="7"/>
        <v>0</v>
      </c>
      <c r="T14" t="str">
        <f t="shared" si="8"/>
        <v/>
      </c>
      <c r="U14" s="194" t="str">
        <f t="shared" si="9"/>
        <v/>
      </c>
      <c r="V14" s="194" t="str">
        <f t="shared" si="10"/>
        <v/>
      </c>
      <c r="W14" s="194" t="str">
        <f t="shared" si="11"/>
        <v/>
      </c>
      <c r="X14" s="194" t="str">
        <f t="shared" si="12"/>
        <v/>
      </c>
      <c r="Y14" s="183" t="str">
        <f t="shared" si="13"/>
        <v/>
      </c>
      <c r="Z14" s="183" t="str">
        <f t="shared" si="14"/>
        <v/>
      </c>
      <c r="AA14" s="183" t="str">
        <f t="shared" si="15"/>
        <v/>
      </c>
      <c r="AB14" s="183" t="str">
        <f t="shared" si="16"/>
        <v/>
      </c>
    </row>
    <row r="15" spans="1:28" x14ac:dyDescent="0.25">
      <c r="A15" s="144">
        <v>4</v>
      </c>
      <c r="B15" s="124">
        <f t="shared" si="4"/>
        <v>4</v>
      </c>
      <c r="D15">
        <f t="shared" si="17"/>
        <v>0</v>
      </c>
      <c r="E15">
        <f t="shared" si="18"/>
        <v>0</v>
      </c>
      <c r="F15" s="124" t="str">
        <f t="shared" si="5"/>
        <v>Available</v>
      </c>
      <c r="H15" t="s">
        <v>639</v>
      </c>
      <c r="I15">
        <v>0</v>
      </c>
      <c r="J15">
        <v>6</v>
      </c>
      <c r="M15" t="s">
        <v>640</v>
      </c>
      <c r="N15" s="124" t="str">
        <f>IF(ISNA(VLOOKUP(H15,GameLog!$U$2:$Z$2999,6,0)),"Available",VLOOKUP(H15,GameLog!$U$2:$Z$2999,6,0))</f>
        <v>Available</v>
      </c>
      <c r="O15" s="124" t="str">
        <f>IF(ISNA(VLOOKUP(H15,GameLog!$U$2:$AA$2999,7,0)),"Available",VLOOKUP(H15,GameLog!$U$2:$AA$2999,7,0))</f>
        <v>Available</v>
      </c>
      <c r="P15" s="124" t="str">
        <f>IF(N15="Available","Available",IF(VLOOKUP(N15,Setup!$L:$N,3,0)="Dead","Available",VLOOKUP(N15,Setup!$L:$N,3,0)))</f>
        <v>Available</v>
      </c>
      <c r="Q15" s="124" t="str">
        <f>IF(ISNA(IF(O15="Available","Available",IF(VLOOKUP(O15,Setup!$L:$N,3,0)="Dead","Available",VLOOKUP(O15,Setup!$L:$N,3,0)))),"",IF(O15="Available","Available",IF(VLOOKUP(O15,Setup!$L:$N,3,0)="Dead","Available",VLOOKUP(O15,Setup!$L:$N,3,0))))</f>
        <v>Available</v>
      </c>
      <c r="R15">
        <f t="shared" si="6"/>
        <v>0</v>
      </c>
      <c r="S15">
        <f t="shared" si="7"/>
        <v>0</v>
      </c>
      <c r="T15" t="str">
        <f t="shared" si="8"/>
        <v/>
      </c>
      <c r="U15" s="194" t="str">
        <f t="shared" si="9"/>
        <v/>
      </c>
      <c r="V15" s="194" t="str">
        <f t="shared" si="10"/>
        <v/>
      </c>
      <c r="W15" s="194" t="str">
        <f t="shared" si="11"/>
        <v/>
      </c>
      <c r="X15" s="194" t="str">
        <f t="shared" si="12"/>
        <v/>
      </c>
      <c r="Y15" s="183" t="str">
        <f t="shared" si="13"/>
        <v/>
      </c>
      <c r="Z15" s="183" t="str">
        <f t="shared" si="14"/>
        <v/>
      </c>
      <c r="AA15" s="183" t="str">
        <f t="shared" si="15"/>
        <v/>
      </c>
      <c r="AB15" s="183" t="str">
        <f t="shared" si="16"/>
        <v/>
      </c>
    </row>
    <row r="16" spans="1:28" x14ac:dyDescent="0.25">
      <c r="A16" s="144">
        <v>5</v>
      </c>
      <c r="B16" s="124">
        <f t="shared" si="4"/>
        <v>5</v>
      </c>
      <c r="D16">
        <f t="shared" si="17"/>
        <v>0</v>
      </c>
      <c r="E16">
        <f t="shared" si="18"/>
        <v>0</v>
      </c>
      <c r="F16" s="124" t="str">
        <f t="shared" si="5"/>
        <v>Available</v>
      </c>
      <c r="H16" t="s">
        <v>641</v>
      </c>
      <c r="I16">
        <v>0</v>
      </c>
      <c r="J16">
        <v>-3</v>
      </c>
      <c r="M16" t="s">
        <v>642</v>
      </c>
      <c r="N16" s="124" t="str">
        <f>IF(ISNA(VLOOKUP(H16,GameLog!$U$2:$Z$2999,6,0)),"Available",VLOOKUP(H16,GameLog!$U$2:$Z$2999,6,0))</f>
        <v>Available</v>
      </c>
      <c r="O16" s="124" t="str">
        <f>IF(ISNA(VLOOKUP(H16,GameLog!$U$2:$AA$2999,7,0)),"Available",VLOOKUP(H16,GameLog!$U$2:$AA$2999,7,0))</f>
        <v>Available</v>
      </c>
      <c r="P16" s="124" t="str">
        <f>IF(N16="Available","Available",IF(VLOOKUP(N16,Setup!$L:$N,3,0)="Dead","Available",VLOOKUP(N16,Setup!$L:$N,3,0)))</f>
        <v>Available</v>
      </c>
      <c r="Q16" s="124" t="str">
        <f>IF(ISNA(IF(O16="Available","Available",IF(VLOOKUP(O16,Setup!$L:$N,3,0)="Dead","Available",VLOOKUP(O16,Setup!$L:$N,3,0)))),"",IF(O16="Available","Available",IF(VLOOKUP(O16,Setup!$L:$N,3,0)="Dead","Available",VLOOKUP(O16,Setup!$L:$N,3,0))))</f>
        <v>Available</v>
      </c>
      <c r="R16">
        <f t="shared" si="6"/>
        <v>0</v>
      </c>
      <c r="S16">
        <f t="shared" si="7"/>
        <v>0</v>
      </c>
      <c r="T16" t="str">
        <f t="shared" si="8"/>
        <v/>
      </c>
      <c r="U16" s="194" t="str">
        <f t="shared" si="9"/>
        <v/>
      </c>
      <c r="V16" s="194" t="str">
        <f t="shared" si="10"/>
        <v/>
      </c>
      <c r="W16" s="194" t="str">
        <f t="shared" si="11"/>
        <v/>
      </c>
      <c r="X16" s="194" t="str">
        <f t="shared" si="12"/>
        <v/>
      </c>
      <c r="Y16" s="183" t="str">
        <f t="shared" si="13"/>
        <v/>
      </c>
      <c r="Z16" s="183" t="str">
        <f t="shared" si="14"/>
        <v/>
      </c>
      <c r="AA16" s="183" t="str">
        <f t="shared" si="15"/>
        <v/>
      </c>
      <c r="AB16" s="183" t="str">
        <f t="shared" si="16"/>
        <v/>
      </c>
    </row>
    <row r="17" spans="1:28" x14ac:dyDescent="0.25">
      <c r="A17" s="144">
        <v>6</v>
      </c>
      <c r="B17" s="124">
        <f t="shared" si="4"/>
        <v>6</v>
      </c>
      <c r="D17">
        <f t="shared" si="17"/>
        <v>0</v>
      </c>
      <c r="E17">
        <f t="shared" si="18"/>
        <v>0</v>
      </c>
      <c r="F17" s="124" t="str">
        <f t="shared" si="5"/>
        <v>Available</v>
      </c>
      <c r="H17" t="s">
        <v>643</v>
      </c>
      <c r="I17">
        <v>0</v>
      </c>
      <c r="J17">
        <v>-2</v>
      </c>
      <c r="M17" t="s">
        <v>644</v>
      </c>
      <c r="N17" s="124" t="str">
        <f>IF(ISNA(VLOOKUP(H17,GameLog!$U$2:$Z$2999,6,0)),"Available",VLOOKUP(H17,GameLog!$U$2:$Z$2999,6,0))</f>
        <v>Available</v>
      </c>
      <c r="O17" s="124" t="str">
        <f>IF(ISNA(VLOOKUP(H17,GameLog!$U$2:$AA$2999,7,0)),"Available",VLOOKUP(H17,GameLog!$U$2:$AA$2999,7,0))</f>
        <v>Available</v>
      </c>
      <c r="P17" s="124" t="str">
        <f>IF(N17="Available","Available",IF(VLOOKUP(N17,Setup!$L:$N,3,0)="Dead","Available",VLOOKUP(N17,Setup!$L:$N,3,0)))</f>
        <v>Available</v>
      </c>
      <c r="Q17" s="124" t="str">
        <f>IF(ISNA(IF(O17="Available","Available",IF(VLOOKUP(O17,Setup!$L:$N,3,0)="Dead","Available",VLOOKUP(O17,Setup!$L:$N,3,0)))),"",IF(O17="Available","Available",IF(VLOOKUP(O17,Setup!$L:$N,3,0)="Dead","Available",VLOOKUP(O17,Setup!$L:$N,3,0))))</f>
        <v>Available</v>
      </c>
      <c r="R17">
        <f t="shared" si="6"/>
        <v>0</v>
      </c>
      <c r="S17">
        <f t="shared" si="7"/>
        <v>0</v>
      </c>
      <c r="T17" t="str">
        <f t="shared" si="8"/>
        <v/>
      </c>
      <c r="U17" s="194" t="str">
        <f t="shared" si="9"/>
        <v/>
      </c>
      <c r="V17" s="194" t="str">
        <f t="shared" si="10"/>
        <v/>
      </c>
      <c r="W17" s="194" t="str">
        <f t="shared" si="11"/>
        <v/>
      </c>
      <c r="X17" s="194" t="str">
        <f t="shared" si="12"/>
        <v/>
      </c>
      <c r="Y17" s="183" t="str">
        <f t="shared" si="13"/>
        <v/>
      </c>
      <c r="Z17" s="183" t="str">
        <f t="shared" si="14"/>
        <v/>
      </c>
      <c r="AA17" s="183" t="str">
        <f t="shared" si="15"/>
        <v/>
      </c>
      <c r="AB17" s="183" t="str">
        <f t="shared" si="16"/>
        <v/>
      </c>
    </row>
    <row r="18" spans="1:28" x14ac:dyDescent="0.25">
      <c r="A18" s="144">
        <v>7</v>
      </c>
      <c r="B18" s="124">
        <f t="shared" si="4"/>
        <v>7</v>
      </c>
      <c r="D18">
        <f t="shared" si="17"/>
        <v>0</v>
      </c>
      <c r="E18">
        <f t="shared" si="18"/>
        <v>0</v>
      </c>
      <c r="F18" s="124" t="str">
        <f t="shared" si="5"/>
        <v>Available</v>
      </c>
      <c r="H18" t="s">
        <v>645</v>
      </c>
      <c r="I18">
        <v>0</v>
      </c>
      <c r="J18">
        <v>3</v>
      </c>
      <c r="M18" t="s">
        <v>646</v>
      </c>
      <c r="N18" s="124" t="str">
        <f>IF(ISNA(VLOOKUP(H18,GameLog!$U$2:$Z$2999,6,0)),"Available",VLOOKUP(H18,GameLog!$U$2:$Z$2999,6,0))</f>
        <v>Available</v>
      </c>
      <c r="O18" s="124" t="str">
        <f>IF(ISNA(VLOOKUP(H18,GameLog!$U$2:$AA$2999,7,0)),"Available",VLOOKUP(H18,GameLog!$U$2:$AA$2999,7,0))</f>
        <v>Available</v>
      </c>
      <c r="P18" s="124" t="str">
        <f>IF(N18="Available","Available",IF(VLOOKUP(N18,Setup!$L:$N,3,0)="Dead","Available",VLOOKUP(N18,Setup!$L:$N,3,0)))</f>
        <v>Available</v>
      </c>
      <c r="Q18" s="124" t="str">
        <f>IF(ISNA(IF(O18="Available","Available",IF(VLOOKUP(O18,Setup!$L:$N,3,0)="Dead","Available",VLOOKUP(O18,Setup!$L:$N,3,0)))),"",IF(O18="Available","Available",IF(VLOOKUP(O18,Setup!$L:$N,3,0)="Dead","Available",VLOOKUP(O18,Setup!$L:$N,3,0))))</f>
        <v>Available</v>
      </c>
      <c r="R18">
        <f t="shared" si="6"/>
        <v>0</v>
      </c>
      <c r="S18">
        <f t="shared" si="7"/>
        <v>0</v>
      </c>
      <c r="T18" t="str">
        <f t="shared" si="8"/>
        <v/>
      </c>
      <c r="U18" s="194" t="str">
        <f t="shared" si="9"/>
        <v/>
      </c>
      <c r="V18" s="194" t="str">
        <f t="shared" si="10"/>
        <v/>
      </c>
      <c r="W18" s="194" t="str">
        <f t="shared" si="11"/>
        <v/>
      </c>
      <c r="X18" s="194" t="str">
        <f t="shared" si="12"/>
        <v/>
      </c>
      <c r="Y18" s="183" t="str">
        <f t="shared" si="13"/>
        <v/>
      </c>
      <c r="Z18" s="183" t="str">
        <f t="shared" si="14"/>
        <v/>
      </c>
      <c r="AA18" s="183" t="str">
        <f t="shared" si="15"/>
        <v/>
      </c>
      <c r="AB18" s="183" t="str">
        <f t="shared" si="16"/>
        <v/>
      </c>
    </row>
    <row r="19" spans="1:28" x14ac:dyDescent="0.25">
      <c r="A19" s="144">
        <v>8</v>
      </c>
      <c r="B19" s="124">
        <f t="shared" si="4"/>
        <v>8</v>
      </c>
      <c r="D19">
        <f t="shared" si="17"/>
        <v>0</v>
      </c>
      <c r="E19">
        <f t="shared" si="18"/>
        <v>0</v>
      </c>
      <c r="F19" s="124" t="str">
        <f t="shared" si="5"/>
        <v>Available</v>
      </c>
      <c r="H19" t="s">
        <v>647</v>
      </c>
      <c r="I19">
        <v>-1</v>
      </c>
      <c r="J19">
        <v>1</v>
      </c>
      <c r="M19" t="s">
        <v>648</v>
      </c>
      <c r="N19" s="124" t="str">
        <f>IF(ISNA(VLOOKUP(H19,GameLog!$U$2:$Z$2999,6,0)),"Available",VLOOKUP(H19,GameLog!$U$2:$Z$2999,6,0))</f>
        <v>Available</v>
      </c>
      <c r="O19" s="124" t="str">
        <f>IF(ISNA(VLOOKUP(H19,GameLog!$U$2:$AA$2999,7,0)),"Available",VLOOKUP(H19,GameLog!$U$2:$AA$2999,7,0))</f>
        <v>Available</v>
      </c>
      <c r="P19" s="124" t="str">
        <f>IF(N19="Available","Available",IF(VLOOKUP(N19,Setup!$L:$N,3,0)="Dead","Available",VLOOKUP(N19,Setup!$L:$N,3,0)))</f>
        <v>Available</v>
      </c>
      <c r="Q19" s="124" t="str">
        <f>IF(ISNA(IF(O19="Available","Available",IF(VLOOKUP(O19,Setup!$L:$N,3,0)="Dead","Available",VLOOKUP(O19,Setup!$L:$N,3,0)))),"",IF(O19="Available","Available",IF(VLOOKUP(O19,Setup!$L:$N,3,0)="Dead","Available",VLOOKUP(O19,Setup!$L:$N,3,0))))</f>
        <v>Available</v>
      </c>
      <c r="R19">
        <f t="shared" si="6"/>
        <v>0</v>
      </c>
      <c r="S19">
        <f t="shared" si="7"/>
        <v>0</v>
      </c>
      <c r="T19" t="str">
        <f t="shared" si="8"/>
        <v/>
      </c>
      <c r="U19" s="194" t="str">
        <f t="shared" si="9"/>
        <v/>
      </c>
      <c r="V19" s="194" t="str">
        <f t="shared" si="10"/>
        <v/>
      </c>
      <c r="W19" s="194" t="str">
        <f t="shared" si="11"/>
        <v/>
      </c>
      <c r="X19" s="194" t="str">
        <f t="shared" si="12"/>
        <v/>
      </c>
      <c r="Y19" s="183" t="str">
        <f t="shared" si="13"/>
        <v/>
      </c>
      <c r="Z19" s="183" t="str">
        <f t="shared" si="14"/>
        <v/>
      </c>
      <c r="AA19" s="183" t="str">
        <f t="shared" si="15"/>
        <v/>
      </c>
      <c r="AB19" s="183" t="str">
        <f t="shared" si="16"/>
        <v/>
      </c>
    </row>
    <row r="20" spans="1:28" x14ac:dyDescent="0.25">
      <c r="A20" s="144">
        <v>9</v>
      </c>
      <c r="B20" s="124">
        <f t="shared" si="4"/>
        <v>9</v>
      </c>
      <c r="D20">
        <f t="shared" si="17"/>
        <v>0</v>
      </c>
      <c r="E20">
        <f t="shared" si="18"/>
        <v>0</v>
      </c>
      <c r="F20" s="124" t="str">
        <f t="shared" si="5"/>
        <v>Available</v>
      </c>
      <c r="H20" t="s">
        <v>649</v>
      </c>
      <c r="I20">
        <v>2</v>
      </c>
      <c r="J20">
        <v>0</v>
      </c>
      <c r="M20" t="s">
        <v>650</v>
      </c>
      <c r="N20" s="124" t="str">
        <f>IF(ISNA(VLOOKUP(H20,GameLog!$U$2:$Z$2999,6,0)),"Available",VLOOKUP(H20,GameLog!$U$2:$Z$2999,6,0))</f>
        <v>Available</v>
      </c>
      <c r="O20" s="124" t="str">
        <f>IF(ISNA(VLOOKUP(H20,GameLog!$U$2:$AA$2999,7,0)),"Available",VLOOKUP(H20,GameLog!$U$2:$AA$2999,7,0))</f>
        <v>Available</v>
      </c>
      <c r="P20" s="124" t="str">
        <f>IF(N20="Available","Available",IF(VLOOKUP(N20,Setup!$L:$N,3,0)="Dead","Available",VLOOKUP(N20,Setup!$L:$N,3,0)))</f>
        <v>Available</v>
      </c>
      <c r="Q20" s="124" t="str">
        <f>IF(ISNA(IF(O20="Available","Available",IF(VLOOKUP(O20,Setup!$L:$N,3,0)="Dead","Available",VLOOKUP(O20,Setup!$L:$N,3,0)))),"",IF(O20="Available","Available",IF(VLOOKUP(O20,Setup!$L:$N,3,0)="Dead","Available",VLOOKUP(O20,Setup!$L:$N,3,0))))</f>
        <v>Available</v>
      </c>
      <c r="R20">
        <f t="shared" si="6"/>
        <v>0</v>
      </c>
      <c r="S20">
        <f t="shared" si="7"/>
        <v>0</v>
      </c>
      <c r="T20" t="str">
        <f t="shared" si="8"/>
        <v/>
      </c>
      <c r="U20" s="194" t="str">
        <f t="shared" si="9"/>
        <v/>
      </c>
      <c r="V20" s="194" t="str">
        <f t="shared" si="10"/>
        <v/>
      </c>
      <c r="W20" s="194" t="str">
        <f t="shared" si="11"/>
        <v/>
      </c>
      <c r="X20" s="194" t="str">
        <f t="shared" si="12"/>
        <v/>
      </c>
      <c r="Y20" s="183" t="str">
        <f t="shared" si="13"/>
        <v/>
      </c>
      <c r="Z20" s="183" t="str">
        <f t="shared" si="14"/>
        <v/>
      </c>
      <c r="AA20" s="183" t="str">
        <f t="shared" si="15"/>
        <v/>
      </c>
      <c r="AB20" s="183" t="str">
        <f t="shared" si="16"/>
        <v/>
      </c>
    </row>
    <row r="21" spans="1:28" x14ac:dyDescent="0.25">
      <c r="A21" s="144">
        <v>10</v>
      </c>
      <c r="B21" s="124">
        <f t="shared" si="4"/>
        <v>10</v>
      </c>
      <c r="D21">
        <f t="shared" si="17"/>
        <v>0</v>
      </c>
      <c r="E21">
        <f t="shared" si="18"/>
        <v>0</v>
      </c>
      <c r="F21" s="124" t="str">
        <f t="shared" si="5"/>
        <v>Available</v>
      </c>
      <c r="H21" t="s">
        <v>651</v>
      </c>
      <c r="I21">
        <v>0</v>
      </c>
      <c r="J21">
        <v>5</v>
      </c>
      <c r="M21" t="s">
        <v>652</v>
      </c>
      <c r="N21" s="124" t="str">
        <f>IF(ISNA(VLOOKUP(H21,GameLog!$U$2:$Z$2999,6,0)),"Available",VLOOKUP(H21,GameLog!$U$2:$Z$2999,6,0))</f>
        <v>Available</v>
      </c>
      <c r="O21" s="124" t="str">
        <f>IF(ISNA(VLOOKUP(H21,GameLog!$U$2:$AA$2999,7,0)),"Available",VLOOKUP(H21,GameLog!$U$2:$AA$2999,7,0))</f>
        <v>Available</v>
      </c>
      <c r="P21" s="124" t="str">
        <f>IF(N21="Available","Available",IF(VLOOKUP(N21,Setup!$L:$N,3,0)="Dead","Available",VLOOKUP(N21,Setup!$L:$N,3,0)))</f>
        <v>Available</v>
      </c>
      <c r="Q21" s="124" t="str">
        <f>IF(ISNA(IF(O21="Available","Available",IF(VLOOKUP(O21,Setup!$L:$N,3,0)="Dead","Available",VLOOKUP(O21,Setup!$L:$N,3,0)))),"",IF(O21="Available","Available",IF(VLOOKUP(O21,Setup!$L:$N,3,0)="Dead","Available",VLOOKUP(O21,Setup!$L:$N,3,0))))</f>
        <v>Available</v>
      </c>
      <c r="R21">
        <f t="shared" si="6"/>
        <v>0</v>
      </c>
      <c r="S21">
        <f t="shared" si="7"/>
        <v>0</v>
      </c>
      <c r="T21" t="str">
        <f t="shared" si="8"/>
        <v/>
      </c>
      <c r="U21" s="194" t="str">
        <f t="shared" si="9"/>
        <v/>
      </c>
      <c r="V21" s="194" t="str">
        <f t="shared" si="10"/>
        <v/>
      </c>
      <c r="W21" s="194" t="str">
        <f t="shared" si="11"/>
        <v/>
      </c>
      <c r="X21" s="194" t="str">
        <f t="shared" si="12"/>
        <v/>
      </c>
      <c r="Y21" s="183" t="str">
        <f t="shared" si="13"/>
        <v/>
      </c>
      <c r="Z21" s="183" t="str">
        <f t="shared" si="14"/>
        <v/>
      </c>
      <c r="AA21" s="183" t="str">
        <f t="shared" si="15"/>
        <v/>
      </c>
      <c r="AB21" s="183" t="str">
        <f t="shared" si="16"/>
        <v/>
      </c>
    </row>
    <row r="22" spans="1:28" x14ac:dyDescent="0.25">
      <c r="A22" s="144">
        <v>11</v>
      </c>
      <c r="B22" s="124">
        <f t="shared" si="4"/>
        <v>11</v>
      </c>
      <c r="D22">
        <f t="shared" si="17"/>
        <v>0</v>
      </c>
      <c r="E22">
        <f t="shared" si="18"/>
        <v>0</v>
      </c>
      <c r="F22" s="124" t="str">
        <f t="shared" si="5"/>
        <v>Available</v>
      </c>
      <c r="H22" t="s">
        <v>653</v>
      </c>
      <c r="I22">
        <v>2</v>
      </c>
      <c r="J22">
        <v>-3</v>
      </c>
      <c r="M22" t="s">
        <v>654</v>
      </c>
      <c r="N22" s="124" t="str">
        <f>IF(ISNA(VLOOKUP(H22,GameLog!$U$2:$Z$2999,6,0)),"Available",VLOOKUP(H22,GameLog!$U$2:$Z$2999,6,0))</f>
        <v>Available</v>
      </c>
      <c r="O22" s="124" t="str">
        <f>IF(ISNA(VLOOKUP(H22,GameLog!$U$2:$AA$2999,7,0)),"Available",VLOOKUP(H22,GameLog!$U$2:$AA$2999,7,0))</f>
        <v>Available</v>
      </c>
      <c r="P22" s="124" t="str">
        <f>IF(N22="Available","Available",IF(VLOOKUP(N22,Setup!$L:$N,3,0)="Dead","Available",VLOOKUP(N22,Setup!$L:$N,3,0)))</f>
        <v>Available</v>
      </c>
      <c r="Q22" s="124" t="str">
        <f>IF(ISNA(IF(O22="Available","Available",IF(VLOOKUP(O22,Setup!$L:$N,3,0)="Dead","Available",VLOOKUP(O22,Setup!$L:$N,3,0)))),"",IF(O22="Available","Available",IF(VLOOKUP(O22,Setup!$L:$N,3,0)="Dead","Available",VLOOKUP(O22,Setup!$L:$N,3,0))))</f>
        <v>Available</v>
      </c>
      <c r="R22">
        <f t="shared" si="6"/>
        <v>0</v>
      </c>
      <c r="S22">
        <f t="shared" si="7"/>
        <v>0</v>
      </c>
      <c r="T22" t="str">
        <f t="shared" si="8"/>
        <v/>
      </c>
      <c r="U22" s="194" t="str">
        <f t="shared" si="9"/>
        <v/>
      </c>
      <c r="V22" s="194" t="str">
        <f t="shared" si="10"/>
        <v/>
      </c>
      <c r="W22" s="194" t="str">
        <f t="shared" si="11"/>
        <v/>
      </c>
      <c r="X22" s="194" t="str">
        <f t="shared" si="12"/>
        <v/>
      </c>
      <c r="Y22" s="183" t="str">
        <f t="shared" si="13"/>
        <v/>
      </c>
      <c r="Z22" s="183" t="str">
        <f t="shared" si="14"/>
        <v/>
      </c>
      <c r="AA22" s="183" t="str">
        <f t="shared" si="15"/>
        <v/>
      </c>
      <c r="AB22" s="183" t="str">
        <f t="shared" si="16"/>
        <v/>
      </c>
    </row>
    <row r="23" spans="1:28" x14ac:dyDescent="0.25">
      <c r="A23" s="144">
        <v>12</v>
      </c>
      <c r="B23" s="124">
        <f t="shared" si="4"/>
        <v>12</v>
      </c>
      <c r="D23">
        <f t="shared" si="17"/>
        <v>0</v>
      </c>
      <c r="E23">
        <f t="shared" si="18"/>
        <v>0</v>
      </c>
      <c r="F23" s="124" t="str">
        <f t="shared" si="5"/>
        <v>Available</v>
      </c>
      <c r="H23" t="s">
        <v>655</v>
      </c>
      <c r="I23">
        <v>-1</v>
      </c>
      <c r="J23">
        <v>15</v>
      </c>
      <c r="M23" t="s">
        <v>656</v>
      </c>
      <c r="N23" s="124" t="str">
        <f>IF(ISNA(VLOOKUP(H23,GameLog!$U$2:$Z$2999,6,0)),"Available",VLOOKUP(H23,GameLog!$U$2:$Z$2999,6,0))</f>
        <v>Available</v>
      </c>
      <c r="O23" s="124" t="str">
        <f>IF(ISNA(VLOOKUP(H23,GameLog!$U$2:$AA$2999,7,0)),"Available",VLOOKUP(H23,GameLog!$U$2:$AA$2999,7,0))</f>
        <v>Available</v>
      </c>
      <c r="P23" s="124" t="str">
        <f>IF(N23="Available","Available",IF(VLOOKUP(N23,Setup!$L:$N,3,0)="Dead","Available",VLOOKUP(N23,Setup!$L:$N,3,0)))</f>
        <v>Available</v>
      </c>
      <c r="Q23" s="124" t="str">
        <f>IF(ISNA(IF(O23="Available","Available",IF(VLOOKUP(O23,Setup!$L:$N,3,0)="Dead","Available",VLOOKUP(O23,Setup!$L:$N,3,0)))),"",IF(O23="Available","Available",IF(VLOOKUP(O23,Setup!$L:$N,3,0)="Dead","Available",VLOOKUP(O23,Setup!$L:$N,3,0))))</f>
        <v>Available</v>
      </c>
      <c r="R23">
        <f t="shared" si="6"/>
        <v>0</v>
      </c>
      <c r="S23">
        <f t="shared" si="7"/>
        <v>0</v>
      </c>
      <c r="T23" t="str">
        <f t="shared" si="8"/>
        <v/>
      </c>
      <c r="U23" s="194" t="str">
        <f t="shared" si="9"/>
        <v/>
      </c>
      <c r="V23" s="194" t="str">
        <f t="shared" si="10"/>
        <v/>
      </c>
      <c r="W23" s="194" t="str">
        <f t="shared" si="11"/>
        <v/>
      </c>
      <c r="X23" s="194" t="str">
        <f t="shared" si="12"/>
        <v/>
      </c>
      <c r="Y23" s="183" t="str">
        <f t="shared" si="13"/>
        <v/>
      </c>
      <c r="Z23" s="183" t="str">
        <f t="shared" si="14"/>
        <v/>
      </c>
      <c r="AA23" s="183" t="str">
        <f t="shared" si="15"/>
        <v/>
      </c>
      <c r="AB23" s="183" t="str">
        <f t="shared" si="16"/>
        <v/>
      </c>
    </row>
    <row r="24" spans="1:28" x14ac:dyDescent="0.25">
      <c r="A24" s="144">
        <v>13</v>
      </c>
      <c r="B24" s="124">
        <f t="shared" si="4"/>
        <v>13</v>
      </c>
      <c r="D24">
        <f t="shared" si="17"/>
        <v>0</v>
      </c>
      <c r="E24">
        <f t="shared" si="18"/>
        <v>0</v>
      </c>
      <c r="F24" s="124" t="str">
        <f t="shared" si="5"/>
        <v>Available</v>
      </c>
      <c r="H24" t="s">
        <v>657</v>
      </c>
      <c r="I24">
        <v>0</v>
      </c>
      <c r="J24">
        <v>-5</v>
      </c>
      <c r="M24" t="s">
        <v>658</v>
      </c>
      <c r="N24" s="124" t="str">
        <f>IF(ISNA(VLOOKUP(H24,GameLog!$U$2:$Z$2999,6,0)),"Available",VLOOKUP(H24,GameLog!$U$2:$Z$2999,6,0))</f>
        <v>Available</v>
      </c>
      <c r="O24" s="124" t="str">
        <f>IF(ISNA(VLOOKUP(H24,GameLog!$U$2:$AA$2999,7,0)),"Available",VLOOKUP(H24,GameLog!$U$2:$AA$2999,7,0))</f>
        <v>Available</v>
      </c>
      <c r="P24" s="124" t="str">
        <f>IF(N24="Available","Available",IF(VLOOKUP(N24,Setup!$L:$N,3,0)="Dead","Available",VLOOKUP(N24,Setup!$L:$N,3,0)))</f>
        <v>Available</v>
      </c>
      <c r="Q24" s="124" t="str">
        <f>IF(ISNA(IF(O24="Available","Available",IF(VLOOKUP(O24,Setup!$L:$N,3,0)="Dead","Available",VLOOKUP(O24,Setup!$L:$N,3,0)))),"",IF(O24="Available","Available",IF(VLOOKUP(O24,Setup!$L:$N,3,0)="Dead","Available",VLOOKUP(O24,Setup!$L:$N,3,0))))</f>
        <v>Available</v>
      </c>
      <c r="R24">
        <f t="shared" si="6"/>
        <v>0</v>
      </c>
      <c r="S24">
        <f t="shared" si="7"/>
        <v>0</v>
      </c>
      <c r="T24" t="str">
        <f t="shared" si="8"/>
        <v/>
      </c>
      <c r="U24" s="194" t="str">
        <f t="shared" si="9"/>
        <v/>
      </c>
      <c r="V24" s="194" t="str">
        <f t="shared" si="10"/>
        <v/>
      </c>
      <c r="W24" s="194" t="str">
        <f t="shared" si="11"/>
        <v/>
      </c>
      <c r="X24" s="194" t="str">
        <f t="shared" si="12"/>
        <v/>
      </c>
      <c r="Y24" s="183" t="str">
        <f t="shared" si="13"/>
        <v/>
      </c>
      <c r="Z24" s="183" t="str">
        <f t="shared" si="14"/>
        <v/>
      </c>
      <c r="AA24" s="183" t="str">
        <f t="shared" si="15"/>
        <v/>
      </c>
      <c r="AB24" s="183" t="str">
        <f t="shared" si="16"/>
        <v/>
      </c>
    </row>
    <row r="25" spans="1:28" x14ac:dyDescent="0.25">
      <c r="A25" s="144">
        <v>14</v>
      </c>
      <c r="B25" s="124">
        <f t="shared" si="4"/>
        <v>14</v>
      </c>
      <c r="D25">
        <f t="shared" si="17"/>
        <v>0</v>
      </c>
      <c r="E25">
        <f t="shared" si="18"/>
        <v>0</v>
      </c>
      <c r="F25" s="124" t="str">
        <f t="shared" si="5"/>
        <v>Available</v>
      </c>
      <c r="H25" t="s">
        <v>659</v>
      </c>
      <c r="I25">
        <v>0</v>
      </c>
      <c r="J25">
        <v>3</v>
      </c>
      <c r="M25" t="s">
        <v>660</v>
      </c>
      <c r="N25" s="124" t="str">
        <f>IF(ISNA(VLOOKUP(H25,GameLog!$U$2:$Z$2999,6,0)),"Available",VLOOKUP(H25,GameLog!$U$2:$Z$2999,6,0))</f>
        <v>Available</v>
      </c>
      <c r="O25" s="124" t="str">
        <f>IF(ISNA(VLOOKUP(H25,GameLog!$U$2:$AA$2999,7,0)),"Available",VLOOKUP(H25,GameLog!$U$2:$AA$2999,7,0))</f>
        <v>Available</v>
      </c>
      <c r="P25" s="124" t="str">
        <f>IF(N25="Available","Available",IF(VLOOKUP(N25,Setup!$L:$N,3,0)="Dead","Available",VLOOKUP(N25,Setup!$L:$N,3,0)))</f>
        <v>Available</v>
      </c>
      <c r="Q25" s="124" t="str">
        <f>IF(ISNA(IF(O25="Available","Available",IF(VLOOKUP(O25,Setup!$L:$N,3,0)="Dead","Available",VLOOKUP(O25,Setup!$L:$N,3,0)))),"",IF(O25="Available","Available",IF(VLOOKUP(O25,Setup!$L:$N,3,0)="Dead","Available",VLOOKUP(O25,Setup!$L:$N,3,0))))</f>
        <v>Available</v>
      </c>
      <c r="R25">
        <f t="shared" si="6"/>
        <v>0</v>
      </c>
      <c r="S25">
        <f t="shared" si="7"/>
        <v>0</v>
      </c>
      <c r="T25" t="str">
        <f t="shared" si="8"/>
        <v/>
      </c>
      <c r="U25" s="194" t="str">
        <f t="shared" si="9"/>
        <v/>
      </c>
      <c r="V25" s="194" t="str">
        <f t="shared" si="10"/>
        <v/>
      </c>
      <c r="W25" s="194" t="str">
        <f t="shared" si="11"/>
        <v/>
      </c>
      <c r="X25" s="194" t="str">
        <f t="shared" si="12"/>
        <v/>
      </c>
      <c r="Y25" s="183" t="str">
        <f t="shared" si="13"/>
        <v/>
      </c>
      <c r="Z25" s="183" t="str">
        <f t="shared" si="14"/>
        <v/>
      </c>
      <c r="AA25" s="183" t="str">
        <f t="shared" si="15"/>
        <v/>
      </c>
      <c r="AB25" s="183" t="str">
        <f t="shared" si="16"/>
        <v/>
      </c>
    </row>
    <row r="26" spans="1:28" x14ac:dyDescent="0.25">
      <c r="A26" s="144">
        <v>15</v>
      </c>
      <c r="B26" s="124">
        <f t="shared" si="4"/>
        <v>15</v>
      </c>
      <c r="D26">
        <f t="shared" si="17"/>
        <v>0</v>
      </c>
      <c r="E26">
        <f t="shared" si="18"/>
        <v>0</v>
      </c>
      <c r="F26" s="124" t="str">
        <f t="shared" si="5"/>
        <v>Available</v>
      </c>
      <c r="H26" t="s">
        <v>661</v>
      </c>
      <c r="I26">
        <v>-1</v>
      </c>
      <c r="J26">
        <v>4</v>
      </c>
      <c r="M26" t="s">
        <v>662</v>
      </c>
      <c r="N26" s="124" t="str">
        <f>IF(ISNA(VLOOKUP(H26,GameLog!$U$2:$Z$2999,6,0)),"Available",VLOOKUP(H26,GameLog!$U$2:$Z$2999,6,0))</f>
        <v>Available</v>
      </c>
      <c r="O26" s="124" t="str">
        <f>IF(ISNA(VLOOKUP(H26,GameLog!$U$2:$AA$2999,7,0)),"Available",VLOOKUP(H26,GameLog!$U$2:$AA$2999,7,0))</f>
        <v>Available</v>
      </c>
      <c r="P26" s="124" t="str">
        <f>IF(N26="Available","Available",IF(VLOOKUP(N26,Setup!$L:$N,3,0)="Dead","Available",VLOOKUP(N26,Setup!$L:$N,3,0)))</f>
        <v>Available</v>
      </c>
      <c r="Q26" s="124" t="str">
        <f>IF(ISNA(IF(O26="Available","Available",IF(VLOOKUP(O26,Setup!$L:$N,3,0)="Dead","Available",VLOOKUP(O26,Setup!$L:$N,3,0)))),"",IF(O26="Available","Available",IF(VLOOKUP(O26,Setup!$L:$N,3,0)="Dead","Available",VLOOKUP(O26,Setup!$L:$N,3,0))))</f>
        <v>Available</v>
      </c>
      <c r="R26">
        <f t="shared" si="6"/>
        <v>0</v>
      </c>
      <c r="S26">
        <f t="shared" si="7"/>
        <v>0</v>
      </c>
      <c r="T26" t="str">
        <f t="shared" si="8"/>
        <v/>
      </c>
      <c r="U26" s="194" t="str">
        <f t="shared" si="9"/>
        <v/>
      </c>
      <c r="V26" s="194" t="str">
        <f t="shared" si="10"/>
        <v/>
      </c>
      <c r="W26" s="194" t="str">
        <f t="shared" si="11"/>
        <v/>
      </c>
      <c r="X26" s="194" t="str">
        <f t="shared" si="12"/>
        <v/>
      </c>
      <c r="Y26" s="183" t="str">
        <f t="shared" si="13"/>
        <v/>
      </c>
      <c r="Z26" s="183" t="str">
        <f t="shared" si="14"/>
        <v/>
      </c>
      <c r="AA26" s="183" t="str">
        <f t="shared" si="15"/>
        <v/>
      </c>
      <c r="AB26" s="183" t="str">
        <f t="shared" si="16"/>
        <v/>
      </c>
    </row>
    <row r="27" spans="1:28" x14ac:dyDescent="0.25">
      <c r="A27" s="144">
        <v>16</v>
      </c>
      <c r="B27" s="124">
        <f t="shared" si="4"/>
        <v>16</v>
      </c>
      <c r="D27">
        <f t="shared" si="17"/>
        <v>0</v>
      </c>
      <c r="E27">
        <f t="shared" si="18"/>
        <v>0</v>
      </c>
      <c r="F27" s="124" t="str">
        <f t="shared" si="5"/>
        <v>Available</v>
      </c>
      <c r="H27" t="s">
        <v>663</v>
      </c>
      <c r="I27">
        <v>1</v>
      </c>
      <c r="J27">
        <v>-4</v>
      </c>
      <c r="M27" t="s">
        <v>664</v>
      </c>
      <c r="N27" s="124" t="str">
        <f>IF(ISNA(VLOOKUP(H27,GameLog!$U$2:$Z$2999,6,0)),"Available",VLOOKUP(H27,GameLog!$U$2:$Z$2999,6,0))</f>
        <v>Available</v>
      </c>
      <c r="O27" s="124" t="str">
        <f>IF(ISNA(VLOOKUP(H27,GameLog!$U$2:$AA$2999,7,0)),"Available",VLOOKUP(H27,GameLog!$U$2:$AA$2999,7,0))</f>
        <v>Available</v>
      </c>
      <c r="P27" s="124" t="str">
        <f>IF(N27="Available","Available",IF(VLOOKUP(N27,Setup!$L:$N,3,0)="Dead","Available",VLOOKUP(N27,Setup!$L:$N,3,0)))</f>
        <v>Available</v>
      </c>
      <c r="Q27" s="124" t="str">
        <f>IF(ISNA(IF(O27="Available","Available",IF(VLOOKUP(O27,Setup!$L:$N,3,0)="Dead","Available",VLOOKUP(O27,Setup!$L:$N,3,0)))),"",IF(O27="Available","Available",IF(VLOOKUP(O27,Setup!$L:$N,3,0)="Dead","Available",VLOOKUP(O27,Setup!$L:$N,3,0))))</f>
        <v>Available</v>
      </c>
      <c r="R27">
        <f t="shared" si="6"/>
        <v>0</v>
      </c>
      <c r="S27">
        <f t="shared" si="7"/>
        <v>0</v>
      </c>
      <c r="T27" t="str">
        <f t="shared" si="8"/>
        <v/>
      </c>
      <c r="U27" s="194" t="str">
        <f t="shared" si="9"/>
        <v/>
      </c>
      <c r="V27" s="194" t="str">
        <f t="shared" si="10"/>
        <v/>
      </c>
      <c r="W27" s="194" t="str">
        <f t="shared" si="11"/>
        <v/>
      </c>
      <c r="X27" s="194" t="str">
        <f t="shared" si="12"/>
        <v/>
      </c>
      <c r="Y27" s="183" t="str">
        <f t="shared" si="13"/>
        <v/>
      </c>
      <c r="Z27" s="183" t="str">
        <f t="shared" si="14"/>
        <v/>
      </c>
      <c r="AA27" s="183" t="str">
        <f t="shared" si="15"/>
        <v/>
      </c>
      <c r="AB27" s="183" t="str">
        <f t="shared" si="16"/>
        <v/>
      </c>
    </row>
    <row r="28" spans="1:28" x14ac:dyDescent="0.25">
      <c r="A28" s="144">
        <v>17</v>
      </c>
      <c r="B28" s="124">
        <f t="shared" si="4"/>
        <v>17</v>
      </c>
      <c r="D28">
        <f t="shared" si="17"/>
        <v>0</v>
      </c>
      <c r="E28">
        <f t="shared" si="18"/>
        <v>0</v>
      </c>
      <c r="F28" s="124" t="str">
        <f t="shared" si="5"/>
        <v>Available</v>
      </c>
      <c r="H28" t="s">
        <v>665</v>
      </c>
      <c r="I28">
        <v>0</v>
      </c>
      <c r="J28">
        <v>-5</v>
      </c>
      <c r="M28" t="s">
        <v>666</v>
      </c>
      <c r="N28" s="124" t="str">
        <f>IF(ISNA(VLOOKUP(H28,GameLog!$U$2:$Z$2999,6,0)),"Available",VLOOKUP(H28,GameLog!$U$2:$Z$2999,6,0))</f>
        <v>Available</v>
      </c>
      <c r="O28" s="124" t="str">
        <f>IF(ISNA(VLOOKUP(H28,GameLog!$U$2:$AA$2999,7,0)),"Available",VLOOKUP(H28,GameLog!$U$2:$AA$2999,7,0))</f>
        <v>Available</v>
      </c>
      <c r="P28" s="124" t="str">
        <f>IF(N28="Available","Available",IF(VLOOKUP(N28,Setup!$L:$N,3,0)="Dead","Available",VLOOKUP(N28,Setup!$L:$N,3,0)))</f>
        <v>Available</v>
      </c>
      <c r="Q28" s="124" t="str">
        <f>IF(ISNA(IF(O28="Available","Available",IF(VLOOKUP(O28,Setup!$L:$N,3,0)="Dead","Available",VLOOKUP(O28,Setup!$L:$N,3,0)))),"",IF(O28="Available","Available",IF(VLOOKUP(O28,Setup!$L:$N,3,0)="Dead","Available",VLOOKUP(O28,Setup!$L:$N,3,0))))</f>
        <v>Available</v>
      </c>
      <c r="R28">
        <f t="shared" si="6"/>
        <v>0</v>
      </c>
      <c r="S28">
        <f t="shared" si="7"/>
        <v>0</v>
      </c>
      <c r="T28" t="str">
        <f t="shared" si="8"/>
        <v/>
      </c>
      <c r="U28" s="194" t="str">
        <f t="shared" si="9"/>
        <v/>
      </c>
      <c r="V28" s="194" t="str">
        <f t="shared" si="10"/>
        <v/>
      </c>
      <c r="W28" s="194" t="str">
        <f t="shared" si="11"/>
        <v/>
      </c>
      <c r="X28" s="194" t="str">
        <f t="shared" si="12"/>
        <v/>
      </c>
      <c r="Y28" s="183" t="str">
        <f t="shared" si="13"/>
        <v/>
      </c>
      <c r="Z28" s="183" t="str">
        <f t="shared" si="14"/>
        <v/>
      </c>
      <c r="AA28" s="183" t="str">
        <f t="shared" si="15"/>
        <v/>
      </c>
      <c r="AB28" s="183" t="str">
        <f t="shared" si="16"/>
        <v/>
      </c>
    </row>
    <row r="29" spans="1:28" x14ac:dyDescent="0.25">
      <c r="A29" s="144">
        <v>18</v>
      </c>
      <c r="B29" s="124">
        <f t="shared" si="4"/>
        <v>18</v>
      </c>
      <c r="D29">
        <f t="shared" si="17"/>
        <v>0</v>
      </c>
      <c r="E29">
        <f t="shared" si="18"/>
        <v>0</v>
      </c>
      <c r="F29" s="124" t="str">
        <f t="shared" si="5"/>
        <v>Available</v>
      </c>
      <c r="H29" t="s">
        <v>667</v>
      </c>
      <c r="I29">
        <v>0</v>
      </c>
      <c r="J29">
        <v>-6</v>
      </c>
      <c r="M29" t="s">
        <v>668</v>
      </c>
      <c r="N29" s="124" t="str">
        <f>IF(ISNA(VLOOKUP(H29,GameLog!$U$2:$Z$2999,6,0)),"Available",VLOOKUP(H29,GameLog!$U$2:$Z$2999,6,0))</f>
        <v>Available</v>
      </c>
      <c r="O29" s="124" t="str">
        <f>IF(ISNA(VLOOKUP(H29,GameLog!$U$2:$AA$2999,7,0)),"Available",VLOOKUP(H29,GameLog!$U$2:$AA$2999,7,0))</f>
        <v>Available</v>
      </c>
      <c r="P29" s="124" t="str">
        <f>IF(N29="Available","Available",IF(VLOOKUP(N29,Setup!$L:$N,3,0)="Dead","Available",VLOOKUP(N29,Setup!$L:$N,3,0)))</f>
        <v>Available</v>
      </c>
      <c r="Q29" s="124" t="str">
        <f>IF(ISNA(IF(O29="Available","Available",IF(VLOOKUP(O29,Setup!$L:$N,3,0)="Dead","Available",VLOOKUP(O29,Setup!$L:$N,3,0)))),"",IF(O29="Available","Available",IF(VLOOKUP(O29,Setup!$L:$N,3,0)="Dead","Available",VLOOKUP(O29,Setup!$L:$N,3,0))))</f>
        <v>Available</v>
      </c>
      <c r="R29">
        <f t="shared" si="6"/>
        <v>0</v>
      </c>
      <c r="S29">
        <f t="shared" si="7"/>
        <v>0</v>
      </c>
      <c r="T29" t="str">
        <f t="shared" si="8"/>
        <v/>
      </c>
      <c r="U29" s="194" t="str">
        <f t="shared" si="9"/>
        <v/>
      </c>
      <c r="V29" s="194" t="str">
        <f t="shared" si="10"/>
        <v/>
      </c>
      <c r="W29" s="194" t="str">
        <f t="shared" si="11"/>
        <v/>
      </c>
      <c r="X29" s="194" t="str">
        <f t="shared" si="12"/>
        <v/>
      </c>
      <c r="Y29" s="183" t="str">
        <f t="shared" si="13"/>
        <v/>
      </c>
      <c r="Z29" s="183" t="str">
        <f t="shared" si="14"/>
        <v/>
      </c>
      <c r="AA29" s="183" t="str">
        <f t="shared" si="15"/>
        <v/>
      </c>
      <c r="AB29" s="183" t="str">
        <f t="shared" si="16"/>
        <v/>
      </c>
    </row>
    <row r="30" spans="1:28" x14ac:dyDescent="0.25">
      <c r="A30" s="144">
        <v>19</v>
      </c>
      <c r="B30" s="124">
        <f t="shared" si="4"/>
        <v>19</v>
      </c>
      <c r="D30">
        <f t="shared" si="17"/>
        <v>0</v>
      </c>
      <c r="E30">
        <f t="shared" si="18"/>
        <v>0</v>
      </c>
      <c r="F30" s="124" t="str">
        <f t="shared" si="5"/>
        <v>Available</v>
      </c>
      <c r="H30" t="s">
        <v>669</v>
      </c>
      <c r="I30">
        <v>-1</v>
      </c>
      <c r="J30">
        <v>-3</v>
      </c>
      <c r="M30" t="s">
        <v>670</v>
      </c>
      <c r="N30" s="124" t="str">
        <f>IF(ISNA(VLOOKUP(H30,GameLog!$U$2:$Z$2999,6,0)),"Available",VLOOKUP(H30,GameLog!$U$2:$Z$2999,6,0))</f>
        <v>Available</v>
      </c>
      <c r="O30" s="124" t="str">
        <f>IF(ISNA(VLOOKUP(H30,GameLog!$U$2:$AA$2999,7,0)),"Available",VLOOKUP(H30,GameLog!$U$2:$AA$2999,7,0))</f>
        <v>Available</v>
      </c>
      <c r="P30" s="124" t="str">
        <f>IF(N30="Available","Available",IF(VLOOKUP(N30,Setup!$L:$N,3,0)="Dead","Available",VLOOKUP(N30,Setup!$L:$N,3,0)))</f>
        <v>Available</v>
      </c>
      <c r="Q30" s="124" t="str">
        <f>IF(ISNA(IF(O30="Available","Available",IF(VLOOKUP(O30,Setup!$L:$N,3,0)="Dead","Available",VLOOKUP(O30,Setup!$L:$N,3,0)))),"",IF(O30="Available","Available",IF(VLOOKUP(O30,Setup!$L:$N,3,0)="Dead","Available",VLOOKUP(O30,Setup!$L:$N,3,0))))</f>
        <v>Available</v>
      </c>
      <c r="R30">
        <f t="shared" si="6"/>
        <v>0</v>
      </c>
      <c r="S30">
        <f t="shared" si="7"/>
        <v>0</v>
      </c>
      <c r="T30" t="str">
        <f t="shared" si="8"/>
        <v/>
      </c>
      <c r="U30" s="194" t="str">
        <f t="shared" si="9"/>
        <v/>
      </c>
      <c r="V30" s="194" t="str">
        <f t="shared" si="10"/>
        <v/>
      </c>
      <c r="W30" s="194" t="str">
        <f t="shared" si="11"/>
        <v/>
      </c>
      <c r="X30" s="194" t="str">
        <f t="shared" si="12"/>
        <v/>
      </c>
      <c r="Y30" s="183" t="str">
        <f t="shared" si="13"/>
        <v/>
      </c>
      <c r="Z30" s="183" t="str">
        <f t="shared" si="14"/>
        <v/>
      </c>
      <c r="AA30" s="183" t="str">
        <f t="shared" si="15"/>
        <v/>
      </c>
      <c r="AB30" s="183" t="str">
        <f t="shared" si="16"/>
        <v/>
      </c>
    </row>
    <row r="31" spans="1:28" x14ac:dyDescent="0.25">
      <c r="A31" s="144">
        <v>20</v>
      </c>
      <c r="B31" s="124">
        <f t="shared" si="4"/>
        <v>20</v>
      </c>
      <c r="D31">
        <f t="shared" si="17"/>
        <v>0</v>
      </c>
      <c r="E31">
        <f t="shared" si="18"/>
        <v>0</v>
      </c>
      <c r="F31" s="124" t="str">
        <f t="shared" si="5"/>
        <v>Available</v>
      </c>
      <c r="H31" t="s">
        <v>671</v>
      </c>
      <c r="I31">
        <v>-4</v>
      </c>
      <c r="J31">
        <v>0</v>
      </c>
      <c r="M31" t="s">
        <v>672</v>
      </c>
      <c r="N31" s="124" t="str">
        <f>IF(ISNA(VLOOKUP(H31,GameLog!$U$2:$Z$2999,6,0)),"Available",VLOOKUP(H31,GameLog!$U$2:$Z$2999,6,0))</f>
        <v>Available</v>
      </c>
      <c r="O31" s="124" t="str">
        <f>IF(ISNA(VLOOKUP(H31,GameLog!$U$2:$AA$2999,7,0)),"Available",VLOOKUP(H31,GameLog!$U$2:$AA$2999,7,0))</f>
        <v>Available</v>
      </c>
      <c r="P31" s="124" t="str">
        <f>IF(N31="Available","Available",IF(VLOOKUP(N31,Setup!$L:$N,3,0)="Dead","Available",VLOOKUP(N31,Setup!$L:$N,3,0)))</f>
        <v>Available</v>
      </c>
      <c r="Q31" s="124" t="str">
        <f>IF(ISNA(IF(O31="Available","Available",IF(VLOOKUP(O31,Setup!$L:$N,3,0)="Dead","Available",VLOOKUP(O31,Setup!$L:$N,3,0)))),"",IF(O31="Available","Available",IF(VLOOKUP(O31,Setup!$L:$N,3,0)="Dead","Available",VLOOKUP(O31,Setup!$L:$N,3,0))))</f>
        <v>Available</v>
      </c>
      <c r="R31">
        <f t="shared" si="6"/>
        <v>0</v>
      </c>
      <c r="S31">
        <f t="shared" si="7"/>
        <v>0</v>
      </c>
      <c r="T31" t="str">
        <f t="shared" si="8"/>
        <v/>
      </c>
      <c r="U31" s="194" t="str">
        <f t="shared" si="9"/>
        <v/>
      </c>
      <c r="V31" s="194" t="str">
        <f t="shared" si="10"/>
        <v/>
      </c>
      <c r="W31" s="194" t="str">
        <f t="shared" si="11"/>
        <v/>
      </c>
      <c r="X31" s="194" t="str">
        <f t="shared" si="12"/>
        <v/>
      </c>
      <c r="Y31" s="183" t="str">
        <f t="shared" si="13"/>
        <v/>
      </c>
      <c r="Z31" s="183" t="str">
        <f t="shared" si="14"/>
        <v/>
      </c>
      <c r="AA31" s="183" t="str">
        <f t="shared" si="15"/>
        <v/>
      </c>
      <c r="AB31" s="183" t="str">
        <f t="shared" si="16"/>
        <v/>
      </c>
    </row>
    <row r="32" spans="1:28" x14ac:dyDescent="0.25">
      <c r="A32" s="144">
        <v>21</v>
      </c>
      <c r="B32" s="124">
        <f t="shared" si="4"/>
        <v>21</v>
      </c>
      <c r="D32">
        <f t="shared" si="17"/>
        <v>0</v>
      </c>
      <c r="E32">
        <f t="shared" si="18"/>
        <v>0</v>
      </c>
      <c r="F32" s="124" t="str">
        <f t="shared" si="5"/>
        <v>Available</v>
      </c>
      <c r="H32" t="s">
        <v>673</v>
      </c>
      <c r="I32">
        <v>-2</v>
      </c>
      <c r="J32">
        <v>18</v>
      </c>
      <c r="M32" t="s">
        <v>674</v>
      </c>
      <c r="N32" s="124" t="str">
        <f>IF(ISNA(VLOOKUP(H32,GameLog!$U$2:$Z$2999,6,0)),"Available",VLOOKUP(H32,GameLog!$U$2:$Z$2999,6,0))</f>
        <v>Available</v>
      </c>
      <c r="O32" s="124" t="str">
        <f>IF(ISNA(VLOOKUP(H32,GameLog!$U$2:$AA$2999,7,0)),"Available",VLOOKUP(H32,GameLog!$U$2:$AA$2999,7,0))</f>
        <v>Available</v>
      </c>
      <c r="P32" s="124" t="str">
        <f>IF(N32="Available","Available",IF(VLOOKUP(N32,Setup!$L:$N,3,0)="Dead","Available",VLOOKUP(N32,Setup!$L:$N,3,0)))</f>
        <v>Available</v>
      </c>
      <c r="Q32" s="124" t="str">
        <f>IF(ISNA(IF(O32="Available","Available",IF(VLOOKUP(O32,Setup!$L:$N,3,0)="Dead","Available",VLOOKUP(O32,Setup!$L:$N,3,0)))),"",IF(O32="Available","Available",IF(VLOOKUP(O32,Setup!$L:$N,3,0)="Dead","Available",VLOOKUP(O32,Setup!$L:$N,3,0))))</f>
        <v>Available</v>
      </c>
      <c r="R32">
        <f t="shared" si="6"/>
        <v>0</v>
      </c>
      <c r="S32">
        <f t="shared" si="7"/>
        <v>0</v>
      </c>
      <c r="T32" t="str">
        <f t="shared" si="8"/>
        <v/>
      </c>
      <c r="U32" s="194" t="str">
        <f t="shared" si="9"/>
        <v/>
      </c>
      <c r="V32" s="194" t="str">
        <f t="shared" si="10"/>
        <v/>
      </c>
      <c r="W32" s="194" t="str">
        <f t="shared" si="11"/>
        <v/>
      </c>
      <c r="X32" s="194" t="str">
        <f t="shared" si="12"/>
        <v/>
      </c>
      <c r="Y32" s="183" t="str">
        <f t="shared" si="13"/>
        <v/>
      </c>
      <c r="Z32" s="183" t="str">
        <f t="shared" si="14"/>
        <v/>
      </c>
      <c r="AA32" s="183" t="str">
        <f t="shared" si="15"/>
        <v/>
      </c>
      <c r="AB32" s="183" t="str">
        <f t="shared" si="16"/>
        <v/>
      </c>
    </row>
    <row r="33" spans="1:28" x14ac:dyDescent="0.25">
      <c r="A33" s="144">
        <v>22</v>
      </c>
      <c r="B33" s="124">
        <f t="shared" si="4"/>
        <v>22</v>
      </c>
      <c r="D33">
        <f t="shared" si="17"/>
        <v>0</v>
      </c>
      <c r="E33">
        <f t="shared" si="18"/>
        <v>0</v>
      </c>
      <c r="F33" s="124" t="str">
        <f t="shared" si="5"/>
        <v>Available</v>
      </c>
      <c r="H33" t="s">
        <v>675</v>
      </c>
      <c r="I33">
        <v>1</v>
      </c>
      <c r="J33">
        <v>2</v>
      </c>
      <c r="M33" t="s">
        <v>676</v>
      </c>
      <c r="N33" s="124" t="str">
        <f>IF(ISNA(VLOOKUP(H33,GameLog!$U$2:$Z$2999,6,0)),"Available",VLOOKUP(H33,GameLog!$U$2:$Z$2999,6,0))</f>
        <v>Available</v>
      </c>
      <c r="O33" s="124" t="str">
        <f>IF(ISNA(VLOOKUP(H33,GameLog!$U$2:$AA$2999,7,0)),"Available",VLOOKUP(H33,GameLog!$U$2:$AA$2999,7,0))</f>
        <v>Available</v>
      </c>
      <c r="P33" s="124" t="str">
        <f>IF(N33="Available","Available",IF(VLOOKUP(N33,Setup!$L:$N,3,0)="Dead","Available",VLOOKUP(N33,Setup!$L:$N,3,0)))</f>
        <v>Available</v>
      </c>
      <c r="Q33" s="124" t="str">
        <f>IF(ISNA(IF(O33="Available","Available",IF(VLOOKUP(O33,Setup!$L:$N,3,0)="Dead","Available",VLOOKUP(O33,Setup!$L:$N,3,0)))),"",IF(O33="Available","Available",IF(VLOOKUP(O33,Setup!$L:$N,3,0)="Dead","Available",VLOOKUP(O33,Setup!$L:$N,3,0))))</f>
        <v>Available</v>
      </c>
      <c r="R33">
        <f t="shared" si="6"/>
        <v>0</v>
      </c>
      <c r="S33">
        <f t="shared" si="7"/>
        <v>0</v>
      </c>
      <c r="T33" t="str">
        <f t="shared" si="8"/>
        <v/>
      </c>
      <c r="U33" s="194" t="str">
        <f t="shared" si="9"/>
        <v/>
      </c>
      <c r="V33" s="194" t="str">
        <f t="shared" si="10"/>
        <v/>
      </c>
      <c r="W33" s="194" t="str">
        <f t="shared" si="11"/>
        <v/>
      </c>
      <c r="X33" s="194" t="str">
        <f t="shared" si="12"/>
        <v/>
      </c>
      <c r="Y33" s="183" t="str">
        <f t="shared" si="13"/>
        <v/>
      </c>
      <c r="Z33" s="183" t="str">
        <f t="shared" si="14"/>
        <v/>
      </c>
      <c r="AA33" s="183" t="str">
        <f t="shared" si="15"/>
        <v/>
      </c>
      <c r="AB33" s="183" t="str">
        <f t="shared" si="16"/>
        <v/>
      </c>
    </row>
    <row r="34" spans="1:28" x14ac:dyDescent="0.25">
      <c r="A34" s="144">
        <v>23</v>
      </c>
      <c r="B34" s="124">
        <f t="shared" si="4"/>
        <v>23</v>
      </c>
      <c r="D34">
        <f t="shared" si="17"/>
        <v>0</v>
      </c>
      <c r="E34">
        <f t="shared" si="18"/>
        <v>0</v>
      </c>
      <c r="F34" s="124" t="str">
        <f t="shared" si="5"/>
        <v>Available</v>
      </c>
      <c r="H34" t="s">
        <v>677</v>
      </c>
      <c r="I34">
        <v>-1</v>
      </c>
      <c r="J34">
        <v>2</v>
      </c>
      <c r="M34" t="s">
        <v>678</v>
      </c>
      <c r="N34" s="124" t="str">
        <f>IF(ISNA(VLOOKUP(H34,GameLog!$U$2:$Z$2999,6,0)),"Available",VLOOKUP(H34,GameLog!$U$2:$Z$2999,6,0))</f>
        <v>Available</v>
      </c>
      <c r="O34" s="124" t="str">
        <f>IF(ISNA(VLOOKUP(H34,GameLog!$U$2:$AA$2999,7,0)),"Available",VLOOKUP(H34,GameLog!$U$2:$AA$2999,7,0))</f>
        <v>Available</v>
      </c>
      <c r="P34" s="124" t="str">
        <f>IF(N34="Available","Available",IF(VLOOKUP(N34,Setup!$L:$N,3,0)="Dead","Available",VLOOKUP(N34,Setup!$L:$N,3,0)))</f>
        <v>Available</v>
      </c>
      <c r="Q34" s="124" t="str">
        <f>IF(ISNA(IF(O34="Available","Available",IF(VLOOKUP(O34,Setup!$L:$N,3,0)="Dead","Available",VLOOKUP(O34,Setup!$L:$N,3,0)))),"",IF(O34="Available","Available",IF(VLOOKUP(O34,Setup!$L:$N,3,0)="Dead","Available",VLOOKUP(O34,Setup!$L:$N,3,0))))</f>
        <v>Available</v>
      </c>
      <c r="R34">
        <f t="shared" si="6"/>
        <v>0</v>
      </c>
      <c r="S34">
        <f t="shared" si="7"/>
        <v>0</v>
      </c>
      <c r="T34" t="str">
        <f t="shared" si="8"/>
        <v/>
      </c>
      <c r="U34" s="194" t="str">
        <f t="shared" si="9"/>
        <v/>
      </c>
      <c r="V34" s="194" t="str">
        <f t="shared" si="10"/>
        <v/>
      </c>
      <c r="W34" s="194" t="str">
        <f t="shared" si="11"/>
        <v/>
      </c>
      <c r="X34" s="194" t="str">
        <f t="shared" si="12"/>
        <v/>
      </c>
      <c r="Y34" s="183" t="str">
        <f t="shared" si="13"/>
        <v/>
      </c>
      <c r="Z34" s="183" t="str">
        <f t="shared" si="14"/>
        <v/>
      </c>
      <c r="AA34" s="183" t="str">
        <f t="shared" si="15"/>
        <v/>
      </c>
      <c r="AB34" s="183" t="str">
        <f t="shared" si="16"/>
        <v/>
      </c>
    </row>
    <row r="35" spans="1:28" x14ac:dyDescent="0.25">
      <c r="A35" s="144">
        <v>24</v>
      </c>
      <c r="B35" s="124">
        <f t="shared" si="4"/>
        <v>24</v>
      </c>
      <c r="D35">
        <f t="shared" si="17"/>
        <v>0</v>
      </c>
      <c r="E35">
        <f t="shared" si="18"/>
        <v>0</v>
      </c>
      <c r="F35" s="124" t="str">
        <f t="shared" si="5"/>
        <v>Available</v>
      </c>
      <c r="H35" t="s">
        <v>679</v>
      </c>
      <c r="I35">
        <v>-1</v>
      </c>
      <c r="J35">
        <v>-2</v>
      </c>
      <c r="M35" t="s">
        <v>680</v>
      </c>
      <c r="N35" s="124" t="str">
        <f>IF(ISNA(VLOOKUP(H35,GameLog!$U$2:$Z$2999,6,0)),"Available",VLOOKUP(H35,GameLog!$U$2:$Z$2999,6,0))</f>
        <v>Available</v>
      </c>
      <c r="O35" s="124" t="str">
        <f>IF(ISNA(VLOOKUP(H35,GameLog!$U$2:$AA$2999,7,0)),"Available",VLOOKUP(H35,GameLog!$U$2:$AA$2999,7,0))</f>
        <v>Available</v>
      </c>
      <c r="P35" s="124" t="str">
        <f>IF(N35="Available","Available",IF(VLOOKUP(N35,Setup!$L:$N,3,0)="Dead","Available",VLOOKUP(N35,Setup!$L:$N,3,0)))</f>
        <v>Available</v>
      </c>
      <c r="Q35" s="124" t="str">
        <f>IF(ISNA(IF(O35="Available","Available",IF(VLOOKUP(O35,Setup!$L:$N,3,0)="Dead","Available",VLOOKUP(O35,Setup!$L:$N,3,0)))),"",IF(O35="Available","Available",IF(VLOOKUP(O35,Setup!$L:$N,3,0)="Dead","Available",VLOOKUP(O35,Setup!$L:$N,3,0))))</f>
        <v>Available</v>
      </c>
      <c r="R35">
        <f t="shared" si="6"/>
        <v>0</v>
      </c>
      <c r="S35">
        <f t="shared" si="7"/>
        <v>0</v>
      </c>
      <c r="T35" t="str">
        <f t="shared" si="8"/>
        <v/>
      </c>
      <c r="U35" s="194" t="str">
        <f t="shared" si="9"/>
        <v/>
      </c>
      <c r="V35" s="194" t="str">
        <f t="shared" si="10"/>
        <v/>
      </c>
      <c r="W35" s="194" t="str">
        <f t="shared" si="11"/>
        <v/>
      </c>
      <c r="X35" s="194" t="str">
        <f t="shared" si="12"/>
        <v/>
      </c>
      <c r="Y35" s="183" t="str">
        <f t="shared" si="13"/>
        <v/>
      </c>
      <c r="Z35" s="183" t="str">
        <f t="shared" si="14"/>
        <v/>
      </c>
      <c r="AA35" s="183" t="str">
        <f t="shared" si="15"/>
        <v/>
      </c>
      <c r="AB35" s="183" t="str">
        <f t="shared" si="16"/>
        <v/>
      </c>
    </row>
    <row r="36" spans="1:28" x14ac:dyDescent="0.25">
      <c r="A36" s="144">
        <v>25</v>
      </c>
      <c r="B36" s="124">
        <f t="shared" si="4"/>
        <v>25</v>
      </c>
      <c r="D36">
        <f t="shared" si="17"/>
        <v>0</v>
      </c>
      <c r="E36">
        <f t="shared" si="18"/>
        <v>0</v>
      </c>
      <c r="F36" s="124" t="str">
        <f t="shared" si="5"/>
        <v>Available</v>
      </c>
      <c r="H36" t="s">
        <v>681</v>
      </c>
      <c r="I36">
        <v>0</v>
      </c>
      <c r="J36">
        <v>-3</v>
      </c>
      <c r="M36" t="s">
        <v>682</v>
      </c>
      <c r="N36" s="124" t="str">
        <f>IF(ISNA(VLOOKUP(H36,GameLog!$U$2:$Z$2999,6,0)),"Available",VLOOKUP(H36,GameLog!$U$2:$Z$2999,6,0))</f>
        <v>Available</v>
      </c>
      <c r="O36" s="124" t="str">
        <f>IF(ISNA(VLOOKUP(H36,GameLog!$U$2:$AA$2999,7,0)),"Available",VLOOKUP(H36,GameLog!$U$2:$AA$2999,7,0))</f>
        <v>Available</v>
      </c>
      <c r="P36" s="124" t="str">
        <f>IF(N36="Available","Available",IF(VLOOKUP(N36,Setup!$L:$N,3,0)="Dead","Available",VLOOKUP(N36,Setup!$L:$N,3,0)))</f>
        <v>Available</v>
      </c>
      <c r="Q36" s="124" t="str">
        <f>IF(ISNA(IF(O36="Available","Available",IF(VLOOKUP(O36,Setup!$L:$N,3,0)="Dead","Available",VLOOKUP(O36,Setup!$L:$N,3,0)))),"",IF(O36="Available","Available",IF(VLOOKUP(O36,Setup!$L:$N,3,0)="Dead","Available",VLOOKUP(O36,Setup!$L:$N,3,0))))</f>
        <v>Available</v>
      </c>
      <c r="R36">
        <f t="shared" si="6"/>
        <v>0</v>
      </c>
      <c r="S36">
        <f t="shared" si="7"/>
        <v>0</v>
      </c>
      <c r="T36" t="str">
        <f t="shared" si="8"/>
        <v/>
      </c>
      <c r="U36" s="194" t="str">
        <f t="shared" si="9"/>
        <v/>
      </c>
      <c r="V36" s="194" t="str">
        <f t="shared" si="10"/>
        <v/>
      </c>
      <c r="W36" s="194" t="str">
        <f t="shared" si="11"/>
        <v/>
      </c>
      <c r="X36" s="194" t="str">
        <f t="shared" si="12"/>
        <v/>
      </c>
      <c r="Y36" s="183" t="str">
        <f t="shared" si="13"/>
        <v/>
      </c>
      <c r="Z36" s="183" t="str">
        <f t="shared" si="14"/>
        <v/>
      </c>
      <c r="AA36" s="183" t="str">
        <f t="shared" si="15"/>
        <v/>
      </c>
      <c r="AB36" s="183" t="str">
        <f t="shared" si="16"/>
        <v/>
      </c>
    </row>
    <row r="37" spans="1:28" x14ac:dyDescent="0.25">
      <c r="A37" s="144">
        <v>26</v>
      </c>
      <c r="B37" s="124">
        <f t="shared" si="4"/>
        <v>26</v>
      </c>
      <c r="D37">
        <f t="shared" si="17"/>
        <v>0</v>
      </c>
      <c r="E37">
        <f t="shared" si="18"/>
        <v>0</v>
      </c>
      <c r="F37" s="124" t="str">
        <f t="shared" si="5"/>
        <v>Available</v>
      </c>
      <c r="H37" t="s">
        <v>683</v>
      </c>
      <c r="I37">
        <v>1</v>
      </c>
      <c r="J37">
        <v>-5</v>
      </c>
      <c r="M37" t="s">
        <v>684</v>
      </c>
      <c r="N37" s="124" t="str">
        <f>IF(ISNA(VLOOKUP(H37,GameLog!$U$2:$Z$2999,6,0)),"Available",VLOOKUP(H37,GameLog!$U$2:$Z$2999,6,0))</f>
        <v>Available</v>
      </c>
      <c r="O37" s="124" t="str">
        <f>IF(ISNA(VLOOKUP(H37,GameLog!$U$2:$AA$2999,7,0)),"Available",VLOOKUP(H37,GameLog!$U$2:$AA$2999,7,0))</f>
        <v>Available</v>
      </c>
      <c r="P37" s="124" t="str">
        <f>IF(N37="Available","Available",IF(VLOOKUP(N37,Setup!$L:$N,3,0)="Dead","Available",VLOOKUP(N37,Setup!$L:$N,3,0)))</f>
        <v>Available</v>
      </c>
      <c r="Q37" s="124" t="str">
        <f>IF(ISNA(IF(O37="Available","Available",IF(VLOOKUP(O37,Setup!$L:$N,3,0)="Dead","Available",VLOOKUP(O37,Setup!$L:$N,3,0)))),"",IF(O37="Available","Available",IF(VLOOKUP(O37,Setup!$L:$N,3,0)="Dead","Available",VLOOKUP(O37,Setup!$L:$N,3,0))))</f>
        <v>Available</v>
      </c>
      <c r="R37">
        <f t="shared" si="6"/>
        <v>0</v>
      </c>
      <c r="S37">
        <f t="shared" si="7"/>
        <v>0</v>
      </c>
      <c r="T37" t="str">
        <f t="shared" si="8"/>
        <v/>
      </c>
      <c r="U37" s="194" t="str">
        <f t="shared" si="9"/>
        <v/>
      </c>
      <c r="V37" s="194" t="str">
        <f t="shared" si="10"/>
        <v/>
      </c>
      <c r="W37" s="194" t="str">
        <f t="shared" si="11"/>
        <v/>
      </c>
      <c r="X37" s="194" t="str">
        <f t="shared" si="12"/>
        <v/>
      </c>
      <c r="Y37" s="183" t="str">
        <f t="shared" si="13"/>
        <v/>
      </c>
      <c r="Z37" s="183" t="str">
        <f t="shared" si="14"/>
        <v/>
      </c>
      <c r="AA37" s="183" t="str">
        <f t="shared" si="15"/>
        <v/>
      </c>
      <c r="AB37" s="183" t="str">
        <f t="shared" si="16"/>
        <v/>
      </c>
    </row>
    <row r="38" spans="1:28" x14ac:dyDescent="0.25">
      <c r="A38" s="144">
        <v>27</v>
      </c>
      <c r="B38" s="124">
        <f t="shared" si="4"/>
        <v>27</v>
      </c>
      <c r="D38">
        <f t="shared" si="17"/>
        <v>0</v>
      </c>
      <c r="E38">
        <f t="shared" si="18"/>
        <v>0</v>
      </c>
      <c r="F38" s="124" t="str">
        <f t="shared" si="5"/>
        <v>Available</v>
      </c>
      <c r="H38" t="s">
        <v>685</v>
      </c>
      <c r="I38">
        <v>-1</v>
      </c>
      <c r="J38">
        <v>4</v>
      </c>
      <c r="M38" t="s">
        <v>686</v>
      </c>
      <c r="N38" s="124" t="str">
        <f>IF(ISNA(VLOOKUP(H38,GameLog!$U$2:$Z$2999,6,0)),"Available",VLOOKUP(H38,GameLog!$U$2:$Z$2999,6,0))</f>
        <v>Available</v>
      </c>
      <c r="O38" s="124" t="str">
        <f>IF(ISNA(VLOOKUP(H38,GameLog!$U$2:$AA$2999,7,0)),"Available",VLOOKUP(H38,GameLog!$U$2:$AA$2999,7,0))</f>
        <v>Available</v>
      </c>
      <c r="P38" s="124" t="str">
        <f>IF(N38="Available","Available",IF(VLOOKUP(N38,Setup!$L:$N,3,0)="Dead","Available",VLOOKUP(N38,Setup!$L:$N,3,0)))</f>
        <v>Available</v>
      </c>
      <c r="Q38" s="124" t="str">
        <f>IF(ISNA(IF(O38="Available","Available",IF(VLOOKUP(O38,Setup!$L:$N,3,0)="Dead","Available",VLOOKUP(O38,Setup!$L:$N,3,0)))),"",IF(O38="Available","Available",IF(VLOOKUP(O38,Setup!$L:$N,3,0)="Dead","Available",VLOOKUP(O38,Setup!$L:$N,3,0))))</f>
        <v>Available</v>
      </c>
      <c r="R38">
        <f t="shared" si="6"/>
        <v>0</v>
      </c>
      <c r="S38">
        <f t="shared" si="7"/>
        <v>0</v>
      </c>
      <c r="T38" t="str">
        <f t="shared" si="8"/>
        <v/>
      </c>
      <c r="U38" s="194" t="str">
        <f t="shared" si="9"/>
        <v/>
      </c>
      <c r="V38" s="194" t="str">
        <f t="shared" si="10"/>
        <v/>
      </c>
      <c r="W38" s="194" t="str">
        <f t="shared" si="11"/>
        <v/>
      </c>
      <c r="X38" s="194" t="str">
        <f t="shared" si="12"/>
        <v/>
      </c>
      <c r="Y38" s="183" t="str">
        <f t="shared" si="13"/>
        <v/>
      </c>
      <c r="Z38" s="183" t="str">
        <f t="shared" si="14"/>
        <v/>
      </c>
      <c r="AA38" s="183" t="str">
        <f t="shared" si="15"/>
        <v/>
      </c>
      <c r="AB38" s="183" t="str">
        <f t="shared" si="16"/>
        <v/>
      </c>
    </row>
    <row r="39" spans="1:28" x14ac:dyDescent="0.25">
      <c r="A39" s="144">
        <v>28</v>
      </c>
      <c r="B39" s="124">
        <f t="shared" si="4"/>
        <v>28</v>
      </c>
      <c r="D39">
        <f t="shared" si="17"/>
        <v>0</v>
      </c>
      <c r="E39">
        <f t="shared" si="18"/>
        <v>0</v>
      </c>
      <c r="F39" s="124" t="str">
        <f t="shared" si="5"/>
        <v>Available</v>
      </c>
      <c r="H39" t="s">
        <v>687</v>
      </c>
      <c r="I39">
        <v>-1</v>
      </c>
      <c r="J39">
        <v>-4</v>
      </c>
      <c r="M39" t="s">
        <v>688</v>
      </c>
      <c r="N39" s="124" t="str">
        <f>IF(ISNA(VLOOKUP(H39,GameLog!$U$2:$Z$2999,6,0)),"Available",VLOOKUP(H39,GameLog!$U$2:$Z$2999,6,0))</f>
        <v>Available</v>
      </c>
      <c r="O39" s="124" t="str">
        <f>IF(ISNA(VLOOKUP(H39,GameLog!$U$2:$AA$2999,7,0)),"Available",VLOOKUP(H39,GameLog!$U$2:$AA$2999,7,0))</f>
        <v>Available</v>
      </c>
      <c r="P39" s="124" t="str">
        <f>IF(N39="Available","Available",IF(VLOOKUP(N39,Setup!$L:$N,3,0)="Dead","Available",VLOOKUP(N39,Setup!$L:$N,3,0)))</f>
        <v>Available</v>
      </c>
      <c r="Q39" s="124" t="str">
        <f>IF(ISNA(IF(O39="Available","Available",IF(VLOOKUP(O39,Setup!$L:$N,3,0)="Dead","Available",VLOOKUP(O39,Setup!$L:$N,3,0)))),"",IF(O39="Available","Available",IF(VLOOKUP(O39,Setup!$L:$N,3,0)="Dead","Available",VLOOKUP(O39,Setup!$L:$N,3,0))))</f>
        <v>Available</v>
      </c>
      <c r="R39">
        <f t="shared" si="6"/>
        <v>0</v>
      </c>
      <c r="S39">
        <f t="shared" si="7"/>
        <v>0</v>
      </c>
      <c r="T39" t="str">
        <f t="shared" si="8"/>
        <v/>
      </c>
      <c r="U39" s="194" t="str">
        <f t="shared" si="9"/>
        <v/>
      </c>
      <c r="V39" s="194" t="str">
        <f t="shared" si="10"/>
        <v/>
      </c>
      <c r="W39" s="194" t="str">
        <f t="shared" si="11"/>
        <v/>
      </c>
      <c r="X39" s="194" t="str">
        <f t="shared" si="12"/>
        <v/>
      </c>
      <c r="Y39" s="183" t="str">
        <f t="shared" si="13"/>
        <v/>
      </c>
      <c r="Z39" s="183" t="str">
        <f t="shared" si="14"/>
        <v/>
      </c>
      <c r="AA39" s="183" t="str">
        <f t="shared" si="15"/>
        <v/>
      </c>
      <c r="AB39" s="183" t="str">
        <f t="shared" si="16"/>
        <v/>
      </c>
    </row>
    <row r="40" spans="1:28" x14ac:dyDescent="0.25">
      <c r="A40" s="144">
        <v>29</v>
      </c>
      <c r="B40" s="124">
        <f t="shared" si="4"/>
        <v>29</v>
      </c>
      <c r="D40">
        <f t="shared" si="17"/>
        <v>0</v>
      </c>
      <c r="E40">
        <f t="shared" si="18"/>
        <v>0</v>
      </c>
      <c r="F40" s="124" t="str">
        <f t="shared" si="5"/>
        <v>Available</v>
      </c>
      <c r="H40" t="s">
        <v>689</v>
      </c>
      <c r="I40">
        <v>-1</v>
      </c>
      <c r="J40">
        <v>3</v>
      </c>
      <c r="M40" t="s">
        <v>690</v>
      </c>
      <c r="N40" s="124" t="str">
        <f>IF(ISNA(VLOOKUP(H40,GameLog!$U$2:$Z$2999,6,0)),"Available",VLOOKUP(H40,GameLog!$U$2:$Z$2999,6,0))</f>
        <v>Available</v>
      </c>
      <c r="O40" s="124" t="str">
        <f>IF(ISNA(VLOOKUP(H40,GameLog!$U$2:$AA$2999,7,0)),"Available",VLOOKUP(H40,GameLog!$U$2:$AA$2999,7,0))</f>
        <v>Available</v>
      </c>
      <c r="P40" s="124" t="str">
        <f>IF(N40="Available","Available",IF(VLOOKUP(N40,Setup!$L:$N,3,0)="Dead","Available",VLOOKUP(N40,Setup!$L:$N,3,0)))</f>
        <v>Available</v>
      </c>
      <c r="Q40" s="124" t="str">
        <f>IF(ISNA(IF(O40="Available","Available",IF(VLOOKUP(O40,Setup!$L:$N,3,0)="Dead","Available",VLOOKUP(O40,Setup!$L:$N,3,0)))),"",IF(O40="Available","Available",IF(VLOOKUP(O40,Setup!$L:$N,3,0)="Dead","Available",VLOOKUP(O40,Setup!$L:$N,3,0))))</f>
        <v>Available</v>
      </c>
      <c r="R40">
        <f t="shared" si="6"/>
        <v>0</v>
      </c>
      <c r="S40">
        <f t="shared" si="7"/>
        <v>0</v>
      </c>
      <c r="T40" t="str">
        <f t="shared" si="8"/>
        <v/>
      </c>
      <c r="U40" s="194" t="str">
        <f t="shared" si="9"/>
        <v/>
      </c>
      <c r="V40" s="194" t="str">
        <f t="shared" si="10"/>
        <v/>
      </c>
      <c r="W40" s="194" t="str">
        <f t="shared" si="11"/>
        <v/>
      </c>
      <c r="X40" s="194" t="str">
        <f t="shared" si="12"/>
        <v/>
      </c>
      <c r="Y40" s="183" t="str">
        <f t="shared" si="13"/>
        <v/>
      </c>
      <c r="Z40" s="183" t="str">
        <f t="shared" si="14"/>
        <v/>
      </c>
      <c r="AA40" s="183" t="str">
        <f t="shared" si="15"/>
        <v/>
      </c>
      <c r="AB40" s="183" t="str">
        <f t="shared" si="16"/>
        <v/>
      </c>
    </row>
    <row r="41" spans="1:28" x14ac:dyDescent="0.25">
      <c r="A41" s="144">
        <v>30</v>
      </c>
      <c r="B41" s="124">
        <f t="shared" si="4"/>
        <v>30</v>
      </c>
      <c r="D41">
        <f t="shared" si="17"/>
        <v>0</v>
      </c>
      <c r="E41">
        <f t="shared" si="18"/>
        <v>0</v>
      </c>
      <c r="F41" s="124" t="str">
        <f t="shared" si="5"/>
        <v>Available</v>
      </c>
      <c r="H41" t="s">
        <v>691</v>
      </c>
      <c r="I41">
        <v>0</v>
      </c>
      <c r="J41">
        <v>-3</v>
      </c>
      <c r="M41" t="s">
        <v>692</v>
      </c>
      <c r="N41" s="124" t="str">
        <f>IF(ISNA(VLOOKUP(H41,GameLog!$U$2:$Z$2999,6,0)),"Available",VLOOKUP(H41,GameLog!$U$2:$Z$2999,6,0))</f>
        <v>Available</v>
      </c>
      <c r="O41" s="124" t="str">
        <f>IF(ISNA(VLOOKUP(H41,GameLog!$U$2:$AA$2999,7,0)),"Available",VLOOKUP(H41,GameLog!$U$2:$AA$2999,7,0))</f>
        <v>Available</v>
      </c>
      <c r="P41" s="124" t="str">
        <f>IF(N41="Available","Available",IF(VLOOKUP(N41,Setup!$L:$N,3,0)="Dead","Available",VLOOKUP(N41,Setup!$L:$N,3,0)))</f>
        <v>Available</v>
      </c>
      <c r="Q41" s="124" t="str">
        <f>IF(ISNA(IF(O41="Available","Available",IF(VLOOKUP(O41,Setup!$L:$N,3,0)="Dead","Available",VLOOKUP(O41,Setup!$L:$N,3,0)))),"",IF(O41="Available","Available",IF(VLOOKUP(O41,Setup!$L:$N,3,0)="Dead","Available",VLOOKUP(O41,Setup!$L:$N,3,0))))</f>
        <v>Available</v>
      </c>
      <c r="R41">
        <f t="shared" si="6"/>
        <v>0</v>
      </c>
      <c r="S41">
        <f t="shared" si="7"/>
        <v>0</v>
      </c>
      <c r="T41" t="str">
        <f t="shared" si="8"/>
        <v/>
      </c>
      <c r="U41" s="194" t="str">
        <f t="shared" si="9"/>
        <v/>
      </c>
      <c r="V41" s="194" t="str">
        <f t="shared" si="10"/>
        <v/>
      </c>
      <c r="W41" s="194" t="str">
        <f t="shared" si="11"/>
        <v/>
      </c>
      <c r="X41" s="194" t="str">
        <f t="shared" si="12"/>
        <v/>
      </c>
      <c r="Y41" s="183" t="str">
        <f t="shared" si="13"/>
        <v/>
      </c>
      <c r="Z41" s="183" t="str">
        <f t="shared" si="14"/>
        <v/>
      </c>
      <c r="AA41" s="183" t="str">
        <f t="shared" si="15"/>
        <v/>
      </c>
      <c r="AB41" s="183" t="str">
        <f t="shared" si="16"/>
        <v/>
      </c>
    </row>
    <row r="42" spans="1:28" x14ac:dyDescent="0.25">
      <c r="A42" s="144">
        <v>31</v>
      </c>
      <c r="B42" s="124">
        <f t="shared" si="4"/>
        <v>31</v>
      </c>
      <c r="D42">
        <f t="shared" si="17"/>
        <v>0</v>
      </c>
      <c r="E42">
        <f t="shared" si="18"/>
        <v>0</v>
      </c>
      <c r="F42" s="124" t="str">
        <f t="shared" si="5"/>
        <v>Available</v>
      </c>
      <c r="H42" t="s">
        <v>693</v>
      </c>
      <c r="I42">
        <v>0</v>
      </c>
      <c r="J42">
        <v>1</v>
      </c>
      <c r="M42" t="s">
        <v>694</v>
      </c>
      <c r="N42" s="124" t="str">
        <f>IF(ISNA(VLOOKUP(H42,GameLog!$U$2:$Z$2999,6,0)),"Available",VLOOKUP(H42,GameLog!$U$2:$Z$2999,6,0))</f>
        <v>Available</v>
      </c>
      <c r="O42" s="124" t="str">
        <f>IF(ISNA(VLOOKUP(H42,GameLog!$U$2:$AA$2999,7,0)),"Available",VLOOKUP(H42,GameLog!$U$2:$AA$2999,7,0))</f>
        <v>Available</v>
      </c>
      <c r="P42" s="124" t="str">
        <f>IF(N42="Available","Available",IF(VLOOKUP(N42,Setup!$L:$N,3,0)="Dead","Available",VLOOKUP(N42,Setup!$L:$N,3,0)))</f>
        <v>Available</v>
      </c>
      <c r="Q42" s="124" t="str">
        <f>IF(ISNA(IF(O42="Available","Available",IF(VLOOKUP(O42,Setup!$L:$N,3,0)="Dead","Available",VLOOKUP(O42,Setup!$L:$N,3,0)))),"",IF(O42="Available","Available",IF(VLOOKUP(O42,Setup!$L:$N,3,0)="Dead","Available",VLOOKUP(O42,Setup!$L:$N,3,0))))</f>
        <v>Available</v>
      </c>
      <c r="R42">
        <f t="shared" si="6"/>
        <v>0</v>
      </c>
      <c r="S42">
        <f t="shared" si="7"/>
        <v>0</v>
      </c>
      <c r="T42" t="str">
        <f t="shared" si="8"/>
        <v/>
      </c>
      <c r="U42" s="194" t="str">
        <f t="shared" si="9"/>
        <v/>
      </c>
      <c r="V42" s="194" t="str">
        <f t="shared" si="10"/>
        <v/>
      </c>
      <c r="W42" s="194" t="str">
        <f t="shared" si="11"/>
        <v/>
      </c>
      <c r="X42" s="194" t="str">
        <f t="shared" si="12"/>
        <v/>
      </c>
      <c r="Y42" s="183" t="str">
        <f t="shared" si="13"/>
        <v/>
      </c>
      <c r="Z42" s="183" t="str">
        <f t="shared" si="14"/>
        <v/>
      </c>
      <c r="AA42" s="183" t="str">
        <f t="shared" si="15"/>
        <v/>
      </c>
      <c r="AB42" s="183" t="str">
        <f t="shared" si="16"/>
        <v/>
      </c>
    </row>
    <row r="43" spans="1:28" x14ac:dyDescent="0.25">
      <c r="A43" s="144">
        <v>32</v>
      </c>
      <c r="B43" s="124">
        <f t="shared" si="4"/>
        <v>32</v>
      </c>
      <c r="D43">
        <f t="shared" si="17"/>
        <v>0</v>
      </c>
      <c r="E43">
        <f t="shared" si="18"/>
        <v>0</v>
      </c>
      <c r="F43" s="124" t="str">
        <f t="shared" si="5"/>
        <v>Available</v>
      </c>
      <c r="H43" t="s">
        <v>695</v>
      </c>
      <c r="I43">
        <v>1</v>
      </c>
      <c r="J43">
        <v>0</v>
      </c>
      <c r="M43" t="s">
        <v>696</v>
      </c>
      <c r="N43" s="124" t="str">
        <f>IF(ISNA(VLOOKUP(H43,GameLog!$U$2:$Z$2999,6,0)),"Available",VLOOKUP(H43,GameLog!$U$2:$Z$2999,6,0))</f>
        <v>Available</v>
      </c>
      <c r="O43" s="124" t="str">
        <f>IF(ISNA(VLOOKUP(H43,GameLog!$U$2:$AA$2999,7,0)),"Available",VLOOKUP(H43,GameLog!$U$2:$AA$2999,7,0))</f>
        <v>Available</v>
      </c>
      <c r="P43" s="124" t="str">
        <f>IF(N43="Available","Available",IF(VLOOKUP(N43,Setup!$L:$N,3,0)="Dead","Available",VLOOKUP(N43,Setup!$L:$N,3,0)))</f>
        <v>Available</v>
      </c>
      <c r="Q43" s="124" t="str">
        <f>IF(ISNA(IF(O43="Available","Available",IF(VLOOKUP(O43,Setup!$L:$N,3,0)="Dead","Available",VLOOKUP(O43,Setup!$L:$N,3,0)))),"",IF(O43="Available","Available",IF(VLOOKUP(O43,Setup!$L:$N,3,0)="Dead","Available",VLOOKUP(O43,Setup!$L:$N,3,0))))</f>
        <v>Available</v>
      </c>
      <c r="R43">
        <f t="shared" si="6"/>
        <v>0</v>
      </c>
      <c r="S43">
        <f t="shared" si="7"/>
        <v>0</v>
      </c>
      <c r="T43" t="str">
        <f t="shared" si="8"/>
        <v/>
      </c>
      <c r="U43" s="194" t="str">
        <f t="shared" si="9"/>
        <v/>
      </c>
      <c r="V43" s="194" t="str">
        <f t="shared" si="10"/>
        <v/>
      </c>
      <c r="W43" s="194" t="str">
        <f t="shared" si="11"/>
        <v/>
      </c>
      <c r="X43" s="194" t="str">
        <f t="shared" si="12"/>
        <v/>
      </c>
      <c r="Y43" s="183" t="str">
        <f t="shared" si="13"/>
        <v/>
      </c>
      <c r="Z43" s="183" t="str">
        <f t="shared" si="14"/>
        <v/>
      </c>
      <c r="AA43" s="183" t="str">
        <f t="shared" si="15"/>
        <v/>
      </c>
      <c r="AB43" s="183" t="str">
        <f t="shared" si="16"/>
        <v/>
      </c>
    </row>
    <row r="44" spans="1:28" x14ac:dyDescent="0.25">
      <c r="A44" s="144">
        <v>33</v>
      </c>
      <c r="B44" s="124">
        <f t="shared" si="4"/>
        <v>33</v>
      </c>
      <c r="D44">
        <f t="shared" si="17"/>
        <v>0</v>
      </c>
      <c r="E44">
        <f t="shared" si="18"/>
        <v>0</v>
      </c>
      <c r="F44" s="124" t="str">
        <f t="shared" si="5"/>
        <v>Available</v>
      </c>
      <c r="H44" t="s">
        <v>697</v>
      </c>
      <c r="I44">
        <v>1</v>
      </c>
      <c r="J44">
        <v>6</v>
      </c>
      <c r="M44" t="s">
        <v>698</v>
      </c>
      <c r="N44" s="124" t="str">
        <f>IF(ISNA(VLOOKUP(H44,GameLog!$U$2:$Z$2999,6,0)),"Available",VLOOKUP(H44,GameLog!$U$2:$Z$2999,6,0))</f>
        <v>Available</v>
      </c>
      <c r="O44" s="124" t="str">
        <f>IF(ISNA(VLOOKUP(H44,GameLog!$U$2:$AA$2999,7,0)),"Available",VLOOKUP(H44,GameLog!$U$2:$AA$2999,7,0))</f>
        <v>Available</v>
      </c>
      <c r="P44" s="124" t="str">
        <f>IF(N44="Available","Available",IF(VLOOKUP(N44,Setup!$L:$N,3,0)="Dead","Available",VLOOKUP(N44,Setup!$L:$N,3,0)))</f>
        <v>Available</v>
      </c>
      <c r="Q44" s="124" t="str">
        <f>IF(ISNA(IF(O44="Available","Available",IF(VLOOKUP(O44,Setup!$L:$N,3,0)="Dead","Available",VLOOKUP(O44,Setup!$L:$N,3,0)))),"",IF(O44="Available","Available",IF(VLOOKUP(O44,Setup!$L:$N,3,0)="Dead","Available",VLOOKUP(O44,Setup!$L:$N,3,0))))</f>
        <v>Available</v>
      </c>
      <c r="R44">
        <f t="shared" si="6"/>
        <v>0</v>
      </c>
      <c r="S44">
        <f t="shared" si="7"/>
        <v>0</v>
      </c>
      <c r="T44" t="str">
        <f t="shared" si="8"/>
        <v/>
      </c>
      <c r="U44" s="194" t="str">
        <f t="shared" si="9"/>
        <v/>
      </c>
      <c r="V44" s="194" t="str">
        <f t="shared" si="10"/>
        <v/>
      </c>
      <c r="W44" s="194" t="str">
        <f t="shared" si="11"/>
        <v/>
      </c>
      <c r="X44" s="194" t="str">
        <f t="shared" si="12"/>
        <v/>
      </c>
      <c r="Y44" s="183" t="str">
        <f t="shared" si="13"/>
        <v/>
      </c>
      <c r="Z44" s="183" t="str">
        <f t="shared" si="14"/>
        <v/>
      </c>
      <c r="AA44" s="183" t="str">
        <f t="shared" si="15"/>
        <v/>
      </c>
      <c r="AB44" s="183" t="str">
        <f t="shared" si="16"/>
        <v/>
      </c>
    </row>
    <row r="45" spans="1:28" x14ac:dyDescent="0.25">
      <c r="A45" s="144">
        <v>34</v>
      </c>
      <c r="B45" s="124">
        <f t="shared" ref="B45:B76" si="19">IF(F45="Available",B44+1,B44)</f>
        <v>34</v>
      </c>
      <c r="D45">
        <f t="shared" si="17"/>
        <v>0</v>
      </c>
      <c r="E45">
        <f t="shared" si="18"/>
        <v>0</v>
      </c>
      <c r="F45" s="124" t="str">
        <f t="shared" si="5"/>
        <v>Available</v>
      </c>
      <c r="H45" t="s">
        <v>699</v>
      </c>
      <c r="I45">
        <v>-1</v>
      </c>
      <c r="J45">
        <v>8</v>
      </c>
      <c r="M45" t="s">
        <v>700</v>
      </c>
      <c r="N45" s="124" t="str">
        <f>IF(ISNA(VLOOKUP(H45,GameLog!$U$2:$Z$2999,6,0)),"Available",VLOOKUP(H45,GameLog!$U$2:$Z$2999,6,0))</f>
        <v>Available</v>
      </c>
      <c r="O45" s="124" t="str">
        <f>IF(ISNA(VLOOKUP(H45,GameLog!$U$2:$AA$2999,7,0)),"Available",VLOOKUP(H45,GameLog!$U$2:$AA$2999,7,0))</f>
        <v>Available</v>
      </c>
      <c r="P45" s="124" t="str">
        <f>IF(N45="Available","Available",IF(VLOOKUP(N45,Setup!$L:$N,3,0)="Dead","Available",VLOOKUP(N45,Setup!$L:$N,3,0)))</f>
        <v>Available</v>
      </c>
      <c r="Q45" s="124" t="str">
        <f>IF(ISNA(IF(O45="Available","Available",IF(VLOOKUP(O45,Setup!$L:$N,3,0)="Dead","Available",VLOOKUP(O45,Setup!$L:$N,3,0)))),"",IF(O45="Available","Available",IF(VLOOKUP(O45,Setup!$L:$N,3,0)="Dead","Available",VLOOKUP(O45,Setup!$L:$N,3,0))))</f>
        <v>Available</v>
      </c>
      <c r="R45">
        <f t="shared" si="6"/>
        <v>0</v>
      </c>
      <c r="S45">
        <f t="shared" si="7"/>
        <v>0</v>
      </c>
      <c r="T45" t="str">
        <f t="shared" si="8"/>
        <v/>
      </c>
      <c r="U45" s="194" t="str">
        <f t="shared" si="9"/>
        <v/>
      </c>
      <c r="V45" s="194" t="str">
        <f t="shared" si="10"/>
        <v/>
      </c>
      <c r="W45" s="194" t="str">
        <f t="shared" si="11"/>
        <v/>
      </c>
      <c r="X45" s="194" t="str">
        <f t="shared" si="12"/>
        <v/>
      </c>
      <c r="Y45" s="183" t="str">
        <f t="shared" si="13"/>
        <v/>
      </c>
      <c r="Z45" s="183" t="str">
        <f t="shared" si="14"/>
        <v/>
      </c>
      <c r="AA45" s="183" t="str">
        <f t="shared" si="15"/>
        <v/>
      </c>
      <c r="AB45" s="183" t="str">
        <f t="shared" si="16"/>
        <v/>
      </c>
    </row>
    <row r="46" spans="1:28" x14ac:dyDescent="0.25">
      <c r="A46" s="144">
        <v>35</v>
      </c>
      <c r="B46" s="124">
        <f t="shared" si="19"/>
        <v>35</v>
      </c>
      <c r="D46">
        <f t="shared" si="17"/>
        <v>0</v>
      </c>
      <c r="E46">
        <f t="shared" si="18"/>
        <v>0</v>
      </c>
      <c r="F46" s="124" t="str">
        <f t="shared" si="5"/>
        <v>Available</v>
      </c>
      <c r="H46" t="s">
        <v>701</v>
      </c>
      <c r="I46">
        <v>0</v>
      </c>
      <c r="J46">
        <v>12</v>
      </c>
      <c r="M46" t="s">
        <v>702</v>
      </c>
      <c r="N46" s="124" t="str">
        <f>IF(ISNA(VLOOKUP(H46,GameLog!$U$2:$Z$2999,6,0)),"Available",VLOOKUP(H46,GameLog!$U$2:$Z$2999,6,0))</f>
        <v>Available</v>
      </c>
      <c r="O46" s="124" t="str">
        <f>IF(ISNA(VLOOKUP(H46,GameLog!$U$2:$AA$2999,7,0)),"Available",VLOOKUP(H46,GameLog!$U$2:$AA$2999,7,0))</f>
        <v>Available</v>
      </c>
      <c r="P46" s="124" t="str">
        <f>IF(N46="Available","Available",IF(VLOOKUP(N46,Setup!$L:$N,3,0)="Dead","Available",VLOOKUP(N46,Setup!$L:$N,3,0)))</f>
        <v>Available</v>
      </c>
      <c r="Q46" s="124" t="str">
        <f>IF(ISNA(IF(O46="Available","Available",IF(VLOOKUP(O46,Setup!$L:$N,3,0)="Dead","Available",VLOOKUP(O46,Setup!$L:$N,3,0)))),"",IF(O46="Available","Available",IF(VLOOKUP(O46,Setup!$L:$N,3,0)="Dead","Available",VLOOKUP(O46,Setup!$L:$N,3,0))))</f>
        <v>Available</v>
      </c>
      <c r="R46">
        <f t="shared" si="6"/>
        <v>0</v>
      </c>
      <c r="S46">
        <f t="shared" si="7"/>
        <v>0</v>
      </c>
      <c r="T46" t="str">
        <f t="shared" si="8"/>
        <v/>
      </c>
      <c r="U46" s="194" t="str">
        <f t="shared" si="9"/>
        <v/>
      </c>
      <c r="V46" s="194" t="str">
        <f t="shared" si="10"/>
        <v/>
      </c>
      <c r="W46" s="194" t="str">
        <f t="shared" si="11"/>
        <v/>
      </c>
      <c r="X46" s="194" t="str">
        <f t="shared" si="12"/>
        <v/>
      </c>
      <c r="Y46" s="183" t="str">
        <f t="shared" si="13"/>
        <v/>
      </c>
      <c r="Z46" s="183" t="str">
        <f t="shared" si="14"/>
        <v/>
      </c>
      <c r="AA46" s="183" t="str">
        <f t="shared" si="15"/>
        <v/>
      </c>
      <c r="AB46" s="183" t="str">
        <f t="shared" si="16"/>
        <v/>
      </c>
    </row>
    <row r="47" spans="1:28" x14ac:dyDescent="0.25">
      <c r="A47" s="144">
        <v>36</v>
      </c>
      <c r="B47" s="124">
        <f t="shared" si="19"/>
        <v>36</v>
      </c>
      <c r="D47">
        <f t="shared" si="17"/>
        <v>0</v>
      </c>
      <c r="E47">
        <f t="shared" si="18"/>
        <v>0</v>
      </c>
      <c r="F47" s="124" t="str">
        <f t="shared" si="5"/>
        <v>Available</v>
      </c>
      <c r="H47" t="s">
        <v>703</v>
      </c>
      <c r="I47">
        <v>2</v>
      </c>
      <c r="J47">
        <v>-4</v>
      </c>
      <c r="M47" t="s">
        <v>704</v>
      </c>
      <c r="N47" s="124" t="str">
        <f>IF(ISNA(VLOOKUP(H47,GameLog!$U$2:$Z$2999,6,0)),"Available",VLOOKUP(H47,GameLog!$U$2:$Z$2999,6,0))</f>
        <v>Available</v>
      </c>
      <c r="O47" s="124" t="str">
        <f>IF(ISNA(VLOOKUP(H47,GameLog!$U$2:$AA$2999,7,0)),"Available",VLOOKUP(H47,GameLog!$U$2:$AA$2999,7,0))</f>
        <v>Available</v>
      </c>
      <c r="P47" s="124" t="str">
        <f>IF(N47="Available","Available",IF(VLOOKUP(N47,Setup!$L:$N,3,0)="Dead","Available",VLOOKUP(N47,Setup!$L:$N,3,0)))</f>
        <v>Available</v>
      </c>
      <c r="Q47" s="124" t="str">
        <f>IF(ISNA(IF(O47="Available","Available",IF(VLOOKUP(O47,Setup!$L:$N,3,0)="Dead","Available",VLOOKUP(O47,Setup!$L:$N,3,0)))),"",IF(O47="Available","Available",IF(VLOOKUP(O47,Setup!$L:$N,3,0)="Dead","Available",VLOOKUP(O47,Setup!$L:$N,3,0))))</f>
        <v>Available</v>
      </c>
      <c r="R47">
        <f t="shared" si="6"/>
        <v>0</v>
      </c>
      <c r="S47">
        <f t="shared" si="7"/>
        <v>0</v>
      </c>
      <c r="T47" t="str">
        <f t="shared" si="8"/>
        <v/>
      </c>
      <c r="U47" s="194" t="str">
        <f t="shared" si="9"/>
        <v/>
      </c>
      <c r="V47" s="194" t="str">
        <f t="shared" si="10"/>
        <v/>
      </c>
      <c r="W47" s="194" t="str">
        <f t="shared" si="11"/>
        <v/>
      </c>
      <c r="X47" s="194" t="str">
        <f t="shared" si="12"/>
        <v/>
      </c>
      <c r="Y47" s="183" t="str">
        <f t="shared" si="13"/>
        <v/>
      </c>
      <c r="Z47" s="183" t="str">
        <f t="shared" si="14"/>
        <v/>
      </c>
      <c r="AA47" s="183" t="str">
        <f t="shared" si="15"/>
        <v/>
      </c>
      <c r="AB47" s="183" t="str">
        <f t="shared" si="16"/>
        <v/>
      </c>
    </row>
    <row r="48" spans="1:28" x14ac:dyDescent="0.25">
      <c r="A48" s="144">
        <v>37</v>
      </c>
      <c r="B48" s="124">
        <f t="shared" si="19"/>
        <v>37</v>
      </c>
      <c r="D48">
        <f t="shared" si="17"/>
        <v>0</v>
      </c>
      <c r="E48">
        <f t="shared" si="18"/>
        <v>0</v>
      </c>
      <c r="F48" s="124" t="str">
        <f t="shared" si="5"/>
        <v>Available</v>
      </c>
      <c r="H48" t="s">
        <v>705</v>
      </c>
      <c r="I48">
        <v>-1</v>
      </c>
      <c r="J48">
        <v>-1</v>
      </c>
      <c r="M48" t="s">
        <v>706</v>
      </c>
      <c r="N48" s="124" t="str">
        <f>IF(ISNA(VLOOKUP(H48,GameLog!$U$2:$Z$2999,6,0)),"Available",VLOOKUP(H48,GameLog!$U$2:$Z$2999,6,0))</f>
        <v>Available</v>
      </c>
      <c r="O48" s="124" t="str">
        <f>IF(ISNA(VLOOKUP(H48,GameLog!$U$2:$AA$2999,7,0)),"Available",VLOOKUP(H48,GameLog!$U$2:$AA$2999,7,0))</f>
        <v>Available</v>
      </c>
      <c r="P48" s="124" t="str">
        <f>IF(N48="Available","Available",IF(VLOOKUP(N48,Setup!$L:$N,3,0)="Dead","Available",VLOOKUP(N48,Setup!$L:$N,3,0)))</f>
        <v>Available</v>
      </c>
      <c r="Q48" s="124" t="str">
        <f>IF(ISNA(IF(O48="Available","Available",IF(VLOOKUP(O48,Setup!$L:$N,3,0)="Dead","Available",VLOOKUP(O48,Setup!$L:$N,3,0)))),"",IF(O48="Available","Available",IF(VLOOKUP(O48,Setup!$L:$N,3,0)="Dead","Available",VLOOKUP(O48,Setup!$L:$N,3,0))))</f>
        <v>Available</v>
      </c>
      <c r="R48">
        <f t="shared" si="6"/>
        <v>0</v>
      </c>
      <c r="S48">
        <f t="shared" si="7"/>
        <v>0</v>
      </c>
      <c r="T48" t="str">
        <f t="shared" si="8"/>
        <v/>
      </c>
      <c r="U48" s="194" t="str">
        <f t="shared" si="9"/>
        <v/>
      </c>
      <c r="V48" s="194" t="str">
        <f t="shared" si="10"/>
        <v/>
      </c>
      <c r="W48" s="194" t="str">
        <f t="shared" si="11"/>
        <v/>
      </c>
      <c r="X48" s="194" t="str">
        <f t="shared" si="12"/>
        <v/>
      </c>
      <c r="Y48" s="183" t="str">
        <f t="shared" si="13"/>
        <v/>
      </c>
      <c r="Z48" s="183" t="str">
        <f t="shared" si="14"/>
        <v/>
      </c>
      <c r="AA48" s="183" t="str">
        <f t="shared" si="15"/>
        <v/>
      </c>
      <c r="AB48" s="183" t="str">
        <f t="shared" si="16"/>
        <v/>
      </c>
    </row>
    <row r="49" spans="1:28" x14ac:dyDescent="0.25">
      <c r="A49" s="144">
        <v>38</v>
      </c>
      <c r="B49" s="124">
        <f t="shared" si="19"/>
        <v>38</v>
      </c>
      <c r="D49">
        <f t="shared" si="17"/>
        <v>0</v>
      </c>
      <c r="E49">
        <f t="shared" si="18"/>
        <v>0</v>
      </c>
      <c r="F49" s="124" t="str">
        <f t="shared" si="5"/>
        <v>Available</v>
      </c>
      <c r="H49" t="s">
        <v>256</v>
      </c>
      <c r="I49">
        <v>1</v>
      </c>
      <c r="J49">
        <v>2</v>
      </c>
      <c r="K49">
        <v>1</v>
      </c>
      <c r="M49" t="s">
        <v>707</v>
      </c>
      <c r="N49" s="124" t="str">
        <f>IF(ISNA(VLOOKUP(H49,GameLog!$U$2:$Z$2999,6,0)),"Available",VLOOKUP(H49,GameLog!$U$2:$Z$2999,6,0))</f>
        <v>Available</v>
      </c>
      <c r="O49" s="124" t="str">
        <f>IF(ISNA(VLOOKUP(H49,GameLog!$U$2:$AA$2999,7,0)),"Available",VLOOKUP(H49,GameLog!$U$2:$AA$2999,7,0))</f>
        <v>Available</v>
      </c>
      <c r="P49" s="124" t="str">
        <f>IF(N49="Available","Available",IF(VLOOKUP(N49,Setup!$L:$N,3,0)="Dead","Available",VLOOKUP(N49,Setup!$L:$N,3,0)))</f>
        <v>Available</v>
      </c>
      <c r="Q49" s="124" t="str">
        <f>IF(ISNA(IF(O49="Available","Available",IF(VLOOKUP(O49,Setup!$L:$N,3,0)="Dead","Available",VLOOKUP(O49,Setup!$L:$N,3,0)))),"",IF(O49="Available","Available",IF(VLOOKUP(O49,Setup!$L:$N,3,0)="Dead","Available",VLOOKUP(O49,Setup!$L:$N,3,0))))</f>
        <v>Available</v>
      </c>
      <c r="R49">
        <f t="shared" si="6"/>
        <v>0</v>
      </c>
      <c r="S49">
        <f t="shared" si="7"/>
        <v>0</v>
      </c>
      <c r="T49" t="str">
        <f t="shared" si="8"/>
        <v/>
      </c>
      <c r="U49" s="194" t="str">
        <f t="shared" si="9"/>
        <v/>
      </c>
      <c r="V49" s="194" t="str">
        <f t="shared" si="10"/>
        <v/>
      </c>
      <c r="W49" s="194" t="str">
        <f t="shared" si="11"/>
        <v/>
      </c>
      <c r="X49" s="194" t="str">
        <f t="shared" si="12"/>
        <v/>
      </c>
      <c r="Y49" s="183" t="str">
        <f t="shared" si="13"/>
        <v/>
      </c>
      <c r="Z49" s="183" t="str">
        <f t="shared" si="14"/>
        <v/>
      </c>
      <c r="AA49" s="183" t="str">
        <f t="shared" si="15"/>
        <v/>
      </c>
      <c r="AB49" s="183" t="str">
        <f t="shared" si="16"/>
        <v/>
      </c>
    </row>
    <row r="50" spans="1:28" x14ac:dyDescent="0.25">
      <c r="A50" s="144">
        <v>39</v>
      </c>
      <c r="B50" s="124">
        <f t="shared" si="19"/>
        <v>39</v>
      </c>
      <c r="D50">
        <f t="shared" si="17"/>
        <v>0</v>
      </c>
      <c r="E50">
        <f t="shared" si="18"/>
        <v>0</v>
      </c>
      <c r="F50" s="124" t="str">
        <f t="shared" si="5"/>
        <v>Available</v>
      </c>
      <c r="H50" t="s">
        <v>708</v>
      </c>
      <c r="I50">
        <v>2</v>
      </c>
      <c r="J50">
        <v>-7</v>
      </c>
      <c r="M50" t="s">
        <v>709</v>
      </c>
      <c r="N50" s="124" t="str">
        <f>IF(ISNA(VLOOKUP(H50,GameLog!$U$2:$Z$2999,6,0)),"Available",VLOOKUP(H50,GameLog!$U$2:$Z$2999,6,0))</f>
        <v>Available</v>
      </c>
      <c r="O50" s="124" t="str">
        <f>IF(ISNA(VLOOKUP(H50,GameLog!$U$2:$AA$2999,7,0)),"Available",VLOOKUP(H50,GameLog!$U$2:$AA$2999,7,0))</f>
        <v>Available</v>
      </c>
      <c r="P50" s="124" t="str">
        <f>IF(N50="Available","Available",IF(VLOOKUP(N50,Setup!$L:$N,3,0)="Dead","Available",VLOOKUP(N50,Setup!$L:$N,3,0)))</f>
        <v>Available</v>
      </c>
      <c r="Q50" s="124" t="str">
        <f>IF(ISNA(IF(O50="Available","Available",IF(VLOOKUP(O50,Setup!$L:$N,3,0)="Dead","Available",VLOOKUP(O50,Setup!$L:$N,3,0)))),"",IF(O50="Available","Available",IF(VLOOKUP(O50,Setup!$L:$N,3,0)="Dead","Available",VLOOKUP(O50,Setup!$L:$N,3,0))))</f>
        <v>Available</v>
      </c>
      <c r="R50">
        <f t="shared" si="6"/>
        <v>0</v>
      </c>
      <c r="S50">
        <f t="shared" si="7"/>
        <v>0</v>
      </c>
      <c r="T50" t="str">
        <f t="shared" si="8"/>
        <v/>
      </c>
      <c r="U50" s="194" t="str">
        <f t="shared" si="9"/>
        <v/>
      </c>
      <c r="V50" s="194" t="str">
        <f t="shared" si="10"/>
        <v/>
      </c>
      <c r="W50" s="194" t="str">
        <f t="shared" si="11"/>
        <v/>
      </c>
      <c r="X50" s="194" t="str">
        <f t="shared" si="12"/>
        <v/>
      </c>
      <c r="Y50" s="183" t="str">
        <f t="shared" si="13"/>
        <v/>
      </c>
      <c r="Z50" s="183" t="str">
        <f t="shared" si="14"/>
        <v/>
      </c>
      <c r="AA50" s="183" t="str">
        <f t="shared" si="15"/>
        <v/>
      </c>
      <c r="AB50" s="183" t="str">
        <f t="shared" si="16"/>
        <v/>
      </c>
    </row>
    <row r="51" spans="1:28" x14ac:dyDescent="0.25">
      <c r="A51" s="144">
        <v>40</v>
      </c>
      <c r="B51" s="124">
        <f t="shared" si="19"/>
        <v>40</v>
      </c>
      <c r="D51">
        <f t="shared" si="17"/>
        <v>0</v>
      </c>
      <c r="E51">
        <f t="shared" si="18"/>
        <v>0</v>
      </c>
      <c r="F51" s="124" t="str">
        <f t="shared" si="5"/>
        <v>Available</v>
      </c>
      <c r="H51" t="s">
        <v>710</v>
      </c>
      <c r="I51">
        <v>0</v>
      </c>
      <c r="J51">
        <v>4</v>
      </c>
      <c r="M51" t="s">
        <v>711</v>
      </c>
      <c r="N51" s="124" t="str">
        <f>IF(ISNA(VLOOKUP(H51,GameLog!$U$2:$Z$2999,6,0)),"Available",VLOOKUP(H51,GameLog!$U$2:$Z$2999,6,0))</f>
        <v>Available</v>
      </c>
      <c r="O51" s="124" t="str">
        <f>IF(ISNA(VLOOKUP(H51,GameLog!$U$2:$AA$2999,7,0)),"Available",VLOOKUP(H51,GameLog!$U$2:$AA$2999,7,0))</f>
        <v>Available</v>
      </c>
      <c r="P51" s="124" t="str">
        <f>IF(N51="Available","Available",IF(VLOOKUP(N51,Setup!$L:$N,3,0)="Dead","Available",VLOOKUP(N51,Setup!$L:$N,3,0)))</f>
        <v>Available</v>
      </c>
      <c r="Q51" s="124" t="str">
        <f>IF(ISNA(IF(O51="Available","Available",IF(VLOOKUP(O51,Setup!$L:$N,3,0)="Dead","Available",VLOOKUP(O51,Setup!$L:$N,3,0)))),"",IF(O51="Available","Available",IF(VLOOKUP(O51,Setup!$L:$N,3,0)="Dead","Available",VLOOKUP(O51,Setup!$L:$N,3,0))))</f>
        <v>Available</v>
      </c>
      <c r="R51">
        <f t="shared" si="6"/>
        <v>0</v>
      </c>
      <c r="S51">
        <f t="shared" si="7"/>
        <v>0</v>
      </c>
      <c r="T51" t="str">
        <f t="shared" si="8"/>
        <v/>
      </c>
      <c r="U51" s="194" t="str">
        <f t="shared" si="9"/>
        <v/>
      </c>
      <c r="V51" s="194" t="str">
        <f t="shared" si="10"/>
        <v/>
      </c>
      <c r="W51" s="194" t="str">
        <f t="shared" si="11"/>
        <v/>
      </c>
      <c r="X51" s="194" t="str">
        <f t="shared" si="12"/>
        <v/>
      </c>
      <c r="Y51" s="183" t="str">
        <f t="shared" si="13"/>
        <v/>
      </c>
      <c r="Z51" s="183" t="str">
        <f t="shared" si="14"/>
        <v/>
      </c>
      <c r="AA51" s="183" t="str">
        <f t="shared" si="15"/>
        <v/>
      </c>
      <c r="AB51" s="183" t="str">
        <f t="shared" si="16"/>
        <v/>
      </c>
    </row>
    <row r="52" spans="1:28" x14ac:dyDescent="0.25">
      <c r="A52" s="144">
        <v>41</v>
      </c>
      <c r="B52" s="124">
        <f t="shared" si="19"/>
        <v>41</v>
      </c>
      <c r="D52">
        <f t="shared" si="17"/>
        <v>0</v>
      </c>
      <c r="E52">
        <f t="shared" si="18"/>
        <v>0</v>
      </c>
      <c r="F52" s="124" t="str">
        <f t="shared" si="5"/>
        <v>Available</v>
      </c>
      <c r="H52" t="s">
        <v>712</v>
      </c>
      <c r="I52">
        <v>0</v>
      </c>
      <c r="J52">
        <v>5</v>
      </c>
      <c r="M52" t="s">
        <v>713</v>
      </c>
      <c r="N52" s="124" t="str">
        <f>IF(ISNA(VLOOKUP(H52,GameLog!$U$2:$Z$2999,6,0)),"Available",VLOOKUP(H52,GameLog!$U$2:$Z$2999,6,0))</f>
        <v>Available</v>
      </c>
      <c r="O52" s="124" t="str">
        <f>IF(ISNA(VLOOKUP(H52,GameLog!$U$2:$AA$2999,7,0)),"Available",VLOOKUP(H52,GameLog!$U$2:$AA$2999,7,0))</f>
        <v>Available</v>
      </c>
      <c r="P52" s="124" t="str">
        <f>IF(N52="Available","Available",IF(VLOOKUP(N52,Setup!$L:$N,3,0)="Dead","Available",VLOOKUP(N52,Setup!$L:$N,3,0)))</f>
        <v>Available</v>
      </c>
      <c r="Q52" s="124" t="str">
        <f>IF(ISNA(IF(O52="Available","Available",IF(VLOOKUP(O52,Setup!$L:$N,3,0)="Dead","Available",VLOOKUP(O52,Setup!$L:$N,3,0)))),"",IF(O52="Available","Available",IF(VLOOKUP(O52,Setup!$L:$N,3,0)="Dead","Available",VLOOKUP(O52,Setup!$L:$N,3,0))))</f>
        <v>Available</v>
      </c>
      <c r="R52">
        <f t="shared" si="6"/>
        <v>0</v>
      </c>
      <c r="S52">
        <f t="shared" si="7"/>
        <v>0</v>
      </c>
      <c r="T52" t="str">
        <f t="shared" si="8"/>
        <v/>
      </c>
      <c r="U52" s="194" t="str">
        <f t="shared" si="9"/>
        <v/>
      </c>
      <c r="V52" s="194" t="str">
        <f t="shared" si="10"/>
        <v/>
      </c>
      <c r="W52" s="194" t="str">
        <f t="shared" si="11"/>
        <v/>
      </c>
      <c r="X52" s="194" t="str">
        <f t="shared" si="12"/>
        <v/>
      </c>
      <c r="Y52" s="183" t="str">
        <f t="shared" si="13"/>
        <v/>
      </c>
      <c r="Z52" s="183" t="str">
        <f t="shared" si="14"/>
        <v/>
      </c>
      <c r="AA52" s="183" t="str">
        <f t="shared" si="15"/>
        <v/>
      </c>
      <c r="AB52" s="183" t="str">
        <f t="shared" si="16"/>
        <v/>
      </c>
    </row>
    <row r="53" spans="1:28" x14ac:dyDescent="0.25">
      <c r="A53" s="144">
        <v>42</v>
      </c>
      <c r="B53" s="124">
        <f t="shared" si="19"/>
        <v>42</v>
      </c>
      <c r="D53">
        <f t="shared" si="17"/>
        <v>0</v>
      </c>
      <c r="E53">
        <f t="shared" si="18"/>
        <v>0</v>
      </c>
      <c r="F53" s="124" t="str">
        <f t="shared" si="5"/>
        <v>Available</v>
      </c>
      <c r="H53" t="s">
        <v>714</v>
      </c>
      <c r="I53">
        <v>-2</v>
      </c>
      <c r="J53">
        <v>-3</v>
      </c>
      <c r="M53" t="s">
        <v>715</v>
      </c>
      <c r="N53" s="124" t="str">
        <f>IF(ISNA(VLOOKUP(H53,GameLog!$U$2:$Z$2999,6,0)),"Available",VLOOKUP(H53,GameLog!$U$2:$Z$2999,6,0))</f>
        <v>Available</v>
      </c>
      <c r="O53" s="124" t="str">
        <f>IF(ISNA(VLOOKUP(H53,GameLog!$U$2:$AA$2999,7,0)),"Available",VLOOKUP(H53,GameLog!$U$2:$AA$2999,7,0))</f>
        <v>Available</v>
      </c>
      <c r="P53" s="124" t="str">
        <f>IF(N53="Available","Available",IF(VLOOKUP(N53,Setup!$L:$N,3,0)="Dead","Available",VLOOKUP(N53,Setup!$L:$N,3,0)))</f>
        <v>Available</v>
      </c>
      <c r="Q53" s="124" t="str">
        <f>IF(ISNA(IF(O53="Available","Available",IF(VLOOKUP(O53,Setup!$L:$N,3,0)="Dead","Available",VLOOKUP(O53,Setup!$L:$N,3,0)))),"",IF(O53="Available","Available",IF(VLOOKUP(O53,Setup!$L:$N,3,0)="Dead","Available",VLOOKUP(O53,Setup!$L:$N,3,0))))</f>
        <v>Available</v>
      </c>
      <c r="R53">
        <f t="shared" si="6"/>
        <v>0</v>
      </c>
      <c r="S53">
        <f t="shared" si="7"/>
        <v>0</v>
      </c>
      <c r="T53" t="str">
        <f t="shared" si="8"/>
        <v/>
      </c>
      <c r="U53" s="194" t="str">
        <f t="shared" si="9"/>
        <v/>
      </c>
      <c r="V53" s="194" t="str">
        <f t="shared" si="10"/>
        <v/>
      </c>
      <c r="W53" s="194" t="str">
        <f t="shared" si="11"/>
        <v/>
      </c>
      <c r="X53" s="194" t="str">
        <f t="shared" si="12"/>
        <v/>
      </c>
      <c r="Y53" s="183" t="str">
        <f t="shared" si="13"/>
        <v/>
      </c>
      <c r="Z53" s="183" t="str">
        <f t="shared" si="14"/>
        <v/>
      </c>
      <c r="AA53" s="183" t="str">
        <f t="shared" si="15"/>
        <v/>
      </c>
      <c r="AB53" s="183" t="str">
        <f t="shared" si="16"/>
        <v/>
      </c>
    </row>
    <row r="54" spans="1:28" x14ac:dyDescent="0.25">
      <c r="A54" s="144">
        <v>43</v>
      </c>
      <c r="B54" s="124">
        <f t="shared" si="19"/>
        <v>43</v>
      </c>
      <c r="D54">
        <f t="shared" si="17"/>
        <v>0</v>
      </c>
      <c r="E54">
        <f t="shared" si="18"/>
        <v>0</v>
      </c>
      <c r="F54" s="124" t="str">
        <f t="shared" si="5"/>
        <v>Available</v>
      </c>
      <c r="H54" t="s">
        <v>276</v>
      </c>
      <c r="I54">
        <v>0</v>
      </c>
      <c r="J54">
        <v>-3</v>
      </c>
      <c r="M54" t="s">
        <v>716</v>
      </c>
      <c r="N54" s="124" t="str">
        <f>IF(ISNA(VLOOKUP(H54,GameLog!$U$2:$Z$2999,6,0)),"Available",VLOOKUP(H54,GameLog!$U$2:$Z$2999,6,0))</f>
        <v>Available</v>
      </c>
      <c r="O54" s="124" t="str">
        <f>IF(ISNA(VLOOKUP(H54,GameLog!$U$2:$AA$2999,7,0)),"Available",VLOOKUP(H54,GameLog!$U$2:$AA$2999,7,0))</f>
        <v>Available</v>
      </c>
      <c r="P54" s="124" t="str">
        <f>IF(N54="Available","Available",IF(VLOOKUP(N54,Setup!$L:$N,3,0)="Dead","Available",VLOOKUP(N54,Setup!$L:$N,3,0)))</f>
        <v>Available</v>
      </c>
      <c r="Q54" s="124" t="str">
        <f>IF(ISNA(IF(O54="Available","Available",IF(VLOOKUP(O54,Setup!$L:$N,3,0)="Dead","Available",VLOOKUP(O54,Setup!$L:$N,3,0)))),"",IF(O54="Available","Available",IF(VLOOKUP(O54,Setup!$L:$N,3,0)="Dead","Available",VLOOKUP(O54,Setup!$L:$N,3,0))))</f>
        <v>Available</v>
      </c>
      <c r="R54">
        <f t="shared" si="6"/>
        <v>0</v>
      </c>
      <c r="S54">
        <f t="shared" si="7"/>
        <v>0</v>
      </c>
      <c r="T54" t="str">
        <f t="shared" si="8"/>
        <v/>
      </c>
      <c r="U54" s="194" t="str">
        <f t="shared" si="9"/>
        <v/>
      </c>
      <c r="V54" s="194" t="str">
        <f t="shared" si="10"/>
        <v/>
      </c>
      <c r="W54" s="194" t="str">
        <f t="shared" si="11"/>
        <v/>
      </c>
      <c r="X54" s="194" t="str">
        <f t="shared" si="12"/>
        <v/>
      </c>
      <c r="Y54" s="183" t="str">
        <f t="shared" si="13"/>
        <v/>
      </c>
      <c r="Z54" s="183" t="str">
        <f t="shared" si="14"/>
        <v/>
      </c>
      <c r="AA54" s="183" t="str">
        <f t="shared" si="15"/>
        <v/>
      </c>
      <c r="AB54" s="183" t="str">
        <f t="shared" si="16"/>
        <v/>
      </c>
    </row>
    <row r="55" spans="1:28" x14ac:dyDescent="0.25">
      <c r="A55" s="144">
        <v>44</v>
      </c>
      <c r="B55" s="124">
        <f t="shared" si="19"/>
        <v>44</v>
      </c>
      <c r="D55">
        <f t="shared" si="17"/>
        <v>0</v>
      </c>
      <c r="E55">
        <f t="shared" si="18"/>
        <v>0</v>
      </c>
      <c r="F55" s="124" t="str">
        <f t="shared" si="5"/>
        <v>Available</v>
      </c>
      <c r="H55" t="s">
        <v>717</v>
      </c>
      <c r="I55">
        <v>-3</v>
      </c>
      <c r="J55">
        <v>-2</v>
      </c>
      <c r="M55" t="s">
        <v>718</v>
      </c>
      <c r="N55" s="124" t="str">
        <f>IF(ISNA(VLOOKUP(H55,GameLog!$U$2:$Z$2999,6,0)),"Available",VLOOKUP(H55,GameLog!$U$2:$Z$2999,6,0))</f>
        <v>Available</v>
      </c>
      <c r="O55" s="124" t="str">
        <f>IF(ISNA(VLOOKUP(H55,GameLog!$U$2:$AA$2999,7,0)),"Available",VLOOKUP(H55,GameLog!$U$2:$AA$2999,7,0))</f>
        <v>Available</v>
      </c>
      <c r="P55" s="124" t="str">
        <f>IF(N55="Available","Available",IF(VLOOKUP(N55,Setup!$L:$N,3,0)="Dead","Available",VLOOKUP(N55,Setup!$L:$N,3,0)))</f>
        <v>Available</v>
      </c>
      <c r="Q55" s="124" t="str">
        <f>IF(ISNA(IF(O55="Available","Available",IF(VLOOKUP(O55,Setup!$L:$N,3,0)="Dead","Available",VLOOKUP(O55,Setup!$L:$N,3,0)))),"",IF(O55="Available","Available",IF(VLOOKUP(O55,Setup!$L:$N,3,0)="Dead","Available",VLOOKUP(O55,Setup!$L:$N,3,0))))</f>
        <v>Available</v>
      </c>
      <c r="R55">
        <f t="shared" si="6"/>
        <v>0</v>
      </c>
      <c r="S55">
        <f t="shared" si="7"/>
        <v>0</v>
      </c>
      <c r="T55" t="str">
        <f t="shared" si="8"/>
        <v/>
      </c>
      <c r="U55" s="194" t="str">
        <f t="shared" si="9"/>
        <v/>
      </c>
      <c r="V55" s="194" t="str">
        <f t="shared" si="10"/>
        <v/>
      </c>
      <c r="W55" s="194" t="str">
        <f t="shared" si="11"/>
        <v/>
      </c>
      <c r="X55" s="194" t="str">
        <f t="shared" si="12"/>
        <v/>
      </c>
      <c r="Y55" s="183" t="str">
        <f t="shared" si="13"/>
        <v/>
      </c>
      <c r="Z55" s="183" t="str">
        <f t="shared" si="14"/>
        <v/>
      </c>
      <c r="AA55" s="183" t="str">
        <f t="shared" si="15"/>
        <v/>
      </c>
      <c r="AB55" s="183" t="str">
        <f t="shared" si="16"/>
        <v/>
      </c>
    </row>
    <row r="56" spans="1:28" x14ac:dyDescent="0.25">
      <c r="A56" s="144">
        <v>45</v>
      </c>
      <c r="B56" s="124">
        <f t="shared" si="19"/>
        <v>45</v>
      </c>
      <c r="D56">
        <f t="shared" si="17"/>
        <v>0</v>
      </c>
      <c r="E56">
        <f t="shared" si="18"/>
        <v>0</v>
      </c>
      <c r="F56" s="124" t="str">
        <f t="shared" si="5"/>
        <v>Available</v>
      </c>
      <c r="H56" t="s">
        <v>719</v>
      </c>
      <c r="I56">
        <v>-1</v>
      </c>
      <c r="J56">
        <v>-4</v>
      </c>
      <c r="M56" t="s">
        <v>720</v>
      </c>
      <c r="N56" s="124" t="str">
        <f>IF(ISNA(VLOOKUP(H56,GameLog!$U$2:$Z$2999,6,0)),"Available",VLOOKUP(H56,GameLog!$U$2:$Z$2999,6,0))</f>
        <v>Available</v>
      </c>
      <c r="O56" s="124" t="str">
        <f>IF(ISNA(VLOOKUP(H56,GameLog!$U$2:$AA$2999,7,0)),"Available",VLOOKUP(H56,GameLog!$U$2:$AA$2999,7,0))</f>
        <v>Available</v>
      </c>
      <c r="P56" s="124" t="str">
        <f>IF(N56="Available","Available",IF(VLOOKUP(N56,Setup!$L:$N,3,0)="Dead","Available",VLOOKUP(N56,Setup!$L:$N,3,0)))</f>
        <v>Available</v>
      </c>
      <c r="Q56" s="124" t="str">
        <f>IF(ISNA(IF(O56="Available","Available",IF(VLOOKUP(O56,Setup!$L:$N,3,0)="Dead","Available",VLOOKUP(O56,Setup!$L:$N,3,0)))),"",IF(O56="Available","Available",IF(VLOOKUP(O56,Setup!$L:$N,3,0)="Dead","Available",VLOOKUP(O56,Setup!$L:$N,3,0))))</f>
        <v>Available</v>
      </c>
      <c r="R56">
        <f t="shared" si="6"/>
        <v>0</v>
      </c>
      <c r="S56">
        <f t="shared" si="7"/>
        <v>0</v>
      </c>
      <c r="T56" t="str">
        <f t="shared" si="8"/>
        <v/>
      </c>
      <c r="U56" s="194" t="str">
        <f t="shared" si="9"/>
        <v/>
      </c>
      <c r="V56" s="194" t="str">
        <f t="shared" si="10"/>
        <v/>
      </c>
      <c r="W56" s="194" t="str">
        <f t="shared" si="11"/>
        <v/>
      </c>
      <c r="X56" s="194" t="str">
        <f t="shared" si="12"/>
        <v/>
      </c>
      <c r="Y56" s="183" t="str">
        <f t="shared" si="13"/>
        <v/>
      </c>
      <c r="Z56" s="183" t="str">
        <f t="shared" si="14"/>
        <v/>
      </c>
      <c r="AA56" s="183" t="str">
        <f t="shared" si="15"/>
        <v/>
      </c>
      <c r="AB56" s="183" t="str">
        <f t="shared" si="16"/>
        <v/>
      </c>
    </row>
    <row r="57" spans="1:28" x14ac:dyDescent="0.25">
      <c r="A57" s="144">
        <v>46</v>
      </c>
      <c r="B57" s="124">
        <f t="shared" si="19"/>
        <v>46</v>
      </c>
      <c r="D57">
        <f t="shared" si="17"/>
        <v>0</v>
      </c>
      <c r="E57">
        <f t="shared" si="18"/>
        <v>0</v>
      </c>
      <c r="F57" s="124" t="str">
        <f t="shared" si="5"/>
        <v>Available</v>
      </c>
      <c r="H57" t="s">
        <v>721</v>
      </c>
      <c r="I57">
        <v>0</v>
      </c>
      <c r="J57">
        <v>-2</v>
      </c>
      <c r="M57" t="s">
        <v>722</v>
      </c>
      <c r="N57" s="124" t="str">
        <f>IF(ISNA(VLOOKUP(H57,GameLog!$U$2:$Z$2999,6,0)),"Available",VLOOKUP(H57,GameLog!$U$2:$Z$2999,6,0))</f>
        <v>Available</v>
      </c>
      <c r="O57" s="124" t="str">
        <f>IF(ISNA(VLOOKUP(H57,GameLog!$U$2:$AA$2999,7,0)),"Available",VLOOKUP(H57,GameLog!$U$2:$AA$2999,7,0))</f>
        <v>Available</v>
      </c>
      <c r="P57" s="124" t="str">
        <f>IF(N57="Available","Available",IF(VLOOKUP(N57,Setup!$L:$N,3,0)="Dead","Available",VLOOKUP(N57,Setup!$L:$N,3,0)))</f>
        <v>Available</v>
      </c>
      <c r="Q57" s="124" t="str">
        <f>IF(ISNA(IF(O57="Available","Available",IF(VLOOKUP(O57,Setup!$L:$N,3,0)="Dead","Available",VLOOKUP(O57,Setup!$L:$N,3,0)))),"",IF(O57="Available","Available",IF(VLOOKUP(O57,Setup!$L:$N,3,0)="Dead","Available",VLOOKUP(O57,Setup!$L:$N,3,0))))</f>
        <v>Available</v>
      </c>
      <c r="R57">
        <f t="shared" si="6"/>
        <v>0</v>
      </c>
      <c r="S57">
        <f t="shared" si="7"/>
        <v>0</v>
      </c>
      <c r="T57" t="str">
        <f t="shared" si="8"/>
        <v/>
      </c>
      <c r="U57" s="194" t="str">
        <f t="shared" si="9"/>
        <v/>
      </c>
      <c r="V57" s="194" t="str">
        <f t="shared" si="10"/>
        <v/>
      </c>
      <c r="W57" s="194" t="str">
        <f t="shared" si="11"/>
        <v/>
      </c>
      <c r="X57" s="194" t="str">
        <f t="shared" si="12"/>
        <v/>
      </c>
      <c r="Y57" s="183" t="str">
        <f t="shared" si="13"/>
        <v/>
      </c>
      <c r="Z57" s="183" t="str">
        <f t="shared" si="14"/>
        <v/>
      </c>
      <c r="AA57" s="183" t="str">
        <f t="shared" si="15"/>
        <v/>
      </c>
      <c r="AB57" s="183" t="str">
        <f t="shared" si="16"/>
        <v/>
      </c>
    </row>
    <row r="58" spans="1:28" x14ac:dyDescent="0.25">
      <c r="A58" s="144">
        <v>47</v>
      </c>
      <c r="B58" s="124">
        <f t="shared" si="19"/>
        <v>47</v>
      </c>
      <c r="D58">
        <f t="shared" si="17"/>
        <v>0</v>
      </c>
      <c r="E58">
        <f t="shared" si="18"/>
        <v>0</v>
      </c>
      <c r="F58" s="124" t="str">
        <f t="shared" si="5"/>
        <v>Available</v>
      </c>
      <c r="H58" t="s">
        <v>723</v>
      </c>
      <c r="I58">
        <v>1</v>
      </c>
      <c r="J58">
        <v>9</v>
      </c>
      <c r="M58" t="s">
        <v>724</v>
      </c>
      <c r="N58" s="124" t="str">
        <f>IF(ISNA(VLOOKUP(H58,GameLog!$U$2:$Z$2999,6,0)),"Available",VLOOKUP(H58,GameLog!$U$2:$Z$2999,6,0))</f>
        <v>Available</v>
      </c>
      <c r="O58" s="124" t="str">
        <f>IF(ISNA(VLOOKUP(H58,GameLog!$U$2:$AA$2999,7,0)),"Available",VLOOKUP(H58,GameLog!$U$2:$AA$2999,7,0))</f>
        <v>Available</v>
      </c>
      <c r="P58" s="124" t="str">
        <f>IF(N58="Available","Available",IF(VLOOKUP(N58,Setup!$L:$N,3,0)="Dead","Available",VLOOKUP(N58,Setup!$L:$N,3,0)))</f>
        <v>Available</v>
      </c>
      <c r="Q58" s="124" t="str">
        <f>IF(ISNA(IF(O58="Available","Available",IF(VLOOKUP(O58,Setup!$L:$N,3,0)="Dead","Available",VLOOKUP(O58,Setup!$L:$N,3,0)))),"",IF(O58="Available","Available",IF(VLOOKUP(O58,Setup!$L:$N,3,0)="Dead","Available",VLOOKUP(O58,Setup!$L:$N,3,0))))</f>
        <v>Available</v>
      </c>
      <c r="R58">
        <f t="shared" si="6"/>
        <v>0</v>
      </c>
      <c r="S58">
        <f t="shared" si="7"/>
        <v>0</v>
      </c>
      <c r="T58" t="str">
        <f t="shared" si="8"/>
        <v/>
      </c>
      <c r="U58" s="194" t="str">
        <f t="shared" si="9"/>
        <v/>
      </c>
      <c r="V58" s="194" t="str">
        <f t="shared" si="10"/>
        <v/>
      </c>
      <c r="W58" s="194" t="str">
        <f t="shared" si="11"/>
        <v/>
      </c>
      <c r="X58" s="194" t="str">
        <f t="shared" si="12"/>
        <v/>
      </c>
      <c r="Y58" s="183" t="str">
        <f t="shared" si="13"/>
        <v/>
      </c>
      <c r="Z58" s="183" t="str">
        <f t="shared" si="14"/>
        <v/>
      </c>
      <c r="AA58" s="183" t="str">
        <f t="shared" si="15"/>
        <v/>
      </c>
      <c r="AB58" s="183" t="str">
        <f t="shared" si="16"/>
        <v/>
      </c>
    </row>
    <row r="59" spans="1:28" x14ac:dyDescent="0.25">
      <c r="A59" s="144">
        <v>48</v>
      </c>
      <c r="B59" s="124">
        <f t="shared" si="19"/>
        <v>48</v>
      </c>
      <c r="D59">
        <f t="shared" si="17"/>
        <v>0</v>
      </c>
      <c r="E59">
        <f t="shared" si="18"/>
        <v>0</v>
      </c>
      <c r="F59" s="124" t="str">
        <f t="shared" si="5"/>
        <v>Available</v>
      </c>
      <c r="H59" t="s">
        <v>725</v>
      </c>
      <c r="I59">
        <v>0</v>
      </c>
      <c r="J59">
        <v>12</v>
      </c>
      <c r="M59" t="s">
        <v>726</v>
      </c>
      <c r="N59" s="124" t="str">
        <f>IF(ISNA(VLOOKUP(H59,GameLog!$U$2:$Z$2999,6,0)),"Available",VLOOKUP(H59,GameLog!$U$2:$Z$2999,6,0))</f>
        <v>Available</v>
      </c>
      <c r="O59" s="124" t="str">
        <f>IF(ISNA(VLOOKUP(H59,GameLog!$U$2:$AA$2999,7,0)),"Available",VLOOKUP(H59,GameLog!$U$2:$AA$2999,7,0))</f>
        <v>Available</v>
      </c>
      <c r="P59" s="124" t="str">
        <f>IF(N59="Available","Available",IF(VLOOKUP(N59,Setup!$L:$N,3,0)="Dead","Available",VLOOKUP(N59,Setup!$L:$N,3,0)))</f>
        <v>Available</v>
      </c>
      <c r="Q59" s="124" t="str">
        <f>IF(ISNA(IF(O59="Available","Available",IF(VLOOKUP(O59,Setup!$L:$N,3,0)="Dead","Available",VLOOKUP(O59,Setup!$L:$N,3,0)))),"",IF(O59="Available","Available",IF(VLOOKUP(O59,Setup!$L:$N,3,0)="Dead","Available",VLOOKUP(O59,Setup!$L:$N,3,0))))</f>
        <v>Available</v>
      </c>
      <c r="R59">
        <f t="shared" si="6"/>
        <v>0</v>
      </c>
      <c r="S59">
        <f t="shared" si="7"/>
        <v>0</v>
      </c>
      <c r="T59" t="str">
        <f t="shared" si="8"/>
        <v/>
      </c>
      <c r="U59" s="194" t="str">
        <f t="shared" si="9"/>
        <v/>
      </c>
      <c r="V59" s="194" t="str">
        <f t="shared" si="10"/>
        <v/>
      </c>
      <c r="W59" s="194" t="str">
        <f t="shared" si="11"/>
        <v/>
      </c>
      <c r="X59" s="194" t="str">
        <f t="shared" si="12"/>
        <v/>
      </c>
      <c r="Y59" s="183" t="str">
        <f t="shared" si="13"/>
        <v/>
      </c>
      <c r="Z59" s="183" t="str">
        <f t="shared" si="14"/>
        <v/>
      </c>
      <c r="AA59" s="183" t="str">
        <f t="shared" si="15"/>
        <v/>
      </c>
      <c r="AB59" s="183" t="str">
        <f t="shared" si="16"/>
        <v/>
      </c>
    </row>
    <row r="60" spans="1:28" x14ac:dyDescent="0.25">
      <c r="A60" s="144">
        <v>49</v>
      </c>
      <c r="B60" s="124">
        <f t="shared" si="19"/>
        <v>49</v>
      </c>
      <c r="D60">
        <f t="shared" si="17"/>
        <v>0</v>
      </c>
      <c r="E60">
        <f t="shared" si="18"/>
        <v>0</v>
      </c>
      <c r="F60" s="124" t="str">
        <f t="shared" si="5"/>
        <v>Available</v>
      </c>
      <c r="H60" t="s">
        <v>727</v>
      </c>
      <c r="I60">
        <v>0</v>
      </c>
      <c r="J60">
        <v>-5</v>
      </c>
      <c r="M60" t="s">
        <v>728</v>
      </c>
      <c r="N60" s="124" t="str">
        <f>IF(ISNA(VLOOKUP(H60,GameLog!$U$2:$Z$2999,6,0)),"Available",VLOOKUP(H60,GameLog!$U$2:$Z$2999,6,0))</f>
        <v>Available</v>
      </c>
      <c r="O60" s="124" t="str">
        <f>IF(ISNA(VLOOKUP(H60,GameLog!$U$2:$AA$2999,7,0)),"Available",VLOOKUP(H60,GameLog!$U$2:$AA$2999,7,0))</f>
        <v>Available</v>
      </c>
      <c r="P60" s="124" t="str">
        <f>IF(N60="Available","Available",IF(VLOOKUP(N60,Setup!$L:$N,3,0)="Dead","Available",VLOOKUP(N60,Setup!$L:$N,3,0)))</f>
        <v>Available</v>
      </c>
      <c r="Q60" s="124" t="str">
        <f>IF(ISNA(IF(O60="Available","Available",IF(VLOOKUP(O60,Setup!$L:$N,3,0)="Dead","Available",VLOOKUP(O60,Setup!$L:$N,3,0)))),"",IF(O60="Available","Available",IF(VLOOKUP(O60,Setup!$L:$N,3,0)="Dead","Available",VLOOKUP(O60,Setup!$L:$N,3,0))))</f>
        <v>Available</v>
      </c>
      <c r="R60">
        <f t="shared" si="6"/>
        <v>0</v>
      </c>
      <c r="S60">
        <f t="shared" si="7"/>
        <v>0</v>
      </c>
      <c r="T60" t="str">
        <f t="shared" si="8"/>
        <v/>
      </c>
      <c r="U60" s="194" t="str">
        <f t="shared" si="9"/>
        <v/>
      </c>
      <c r="V60" s="194" t="str">
        <f t="shared" si="10"/>
        <v/>
      </c>
      <c r="W60" s="194" t="str">
        <f t="shared" si="11"/>
        <v/>
      </c>
      <c r="X60" s="194" t="str">
        <f t="shared" si="12"/>
        <v/>
      </c>
      <c r="Y60" s="183" t="str">
        <f t="shared" si="13"/>
        <v/>
      </c>
      <c r="Z60" s="183" t="str">
        <f t="shared" si="14"/>
        <v/>
      </c>
      <c r="AA60" s="183" t="str">
        <f t="shared" si="15"/>
        <v/>
      </c>
      <c r="AB60" s="183" t="str">
        <f t="shared" si="16"/>
        <v/>
      </c>
    </row>
    <row r="61" spans="1:28" x14ac:dyDescent="0.25">
      <c r="A61" s="144">
        <v>50</v>
      </c>
      <c r="B61" s="124">
        <f t="shared" si="19"/>
        <v>50</v>
      </c>
      <c r="D61">
        <f t="shared" si="17"/>
        <v>0</v>
      </c>
      <c r="E61">
        <f t="shared" si="18"/>
        <v>0</v>
      </c>
      <c r="F61" s="124" t="str">
        <f t="shared" si="5"/>
        <v>Available</v>
      </c>
      <c r="H61" t="s">
        <v>729</v>
      </c>
      <c r="I61">
        <v>-1</v>
      </c>
      <c r="J61">
        <v>-2</v>
      </c>
      <c r="M61" t="s">
        <v>730</v>
      </c>
      <c r="N61" s="124" t="str">
        <f>IF(ISNA(VLOOKUP(H61,GameLog!$U$2:$Z$2999,6,0)),"Available",VLOOKUP(H61,GameLog!$U$2:$Z$2999,6,0))</f>
        <v>Available</v>
      </c>
      <c r="O61" s="124" t="str">
        <f>IF(ISNA(VLOOKUP(H61,GameLog!$U$2:$AA$2999,7,0)),"Available",VLOOKUP(H61,GameLog!$U$2:$AA$2999,7,0))</f>
        <v>Available</v>
      </c>
      <c r="P61" s="124" t="str">
        <f>IF(N61="Available","Available",IF(VLOOKUP(N61,Setup!$L:$N,3,0)="Dead","Available",VLOOKUP(N61,Setup!$L:$N,3,0)))</f>
        <v>Available</v>
      </c>
      <c r="Q61" s="124" t="str">
        <f>IF(ISNA(IF(O61="Available","Available",IF(VLOOKUP(O61,Setup!$L:$N,3,0)="Dead","Available",VLOOKUP(O61,Setup!$L:$N,3,0)))),"",IF(O61="Available","Available",IF(VLOOKUP(O61,Setup!$L:$N,3,0)="Dead","Available",VLOOKUP(O61,Setup!$L:$N,3,0))))</f>
        <v>Available</v>
      </c>
      <c r="R61">
        <f t="shared" si="6"/>
        <v>0</v>
      </c>
      <c r="S61">
        <f t="shared" si="7"/>
        <v>0</v>
      </c>
      <c r="T61" t="str">
        <f t="shared" si="8"/>
        <v/>
      </c>
      <c r="U61" s="194" t="str">
        <f t="shared" si="9"/>
        <v/>
      </c>
      <c r="V61" s="194" t="str">
        <f t="shared" si="10"/>
        <v/>
      </c>
      <c r="W61" s="194" t="str">
        <f t="shared" si="11"/>
        <v/>
      </c>
      <c r="X61" s="194" t="str">
        <f t="shared" si="12"/>
        <v/>
      </c>
      <c r="Y61" s="183" t="str">
        <f t="shared" si="13"/>
        <v/>
      </c>
      <c r="Z61" s="183" t="str">
        <f t="shared" si="14"/>
        <v/>
      </c>
      <c r="AA61" s="183" t="str">
        <f t="shared" si="15"/>
        <v/>
      </c>
      <c r="AB61" s="183" t="str">
        <f t="shared" si="16"/>
        <v/>
      </c>
    </row>
    <row r="62" spans="1:28" x14ac:dyDescent="0.25">
      <c r="A62" s="144">
        <v>51</v>
      </c>
      <c r="B62" s="124">
        <f t="shared" si="19"/>
        <v>51</v>
      </c>
      <c r="D62">
        <f t="shared" si="17"/>
        <v>0</v>
      </c>
      <c r="E62">
        <f t="shared" si="18"/>
        <v>0</v>
      </c>
      <c r="F62" s="124" t="str">
        <f t="shared" si="5"/>
        <v>Available</v>
      </c>
      <c r="H62" t="s">
        <v>731</v>
      </c>
      <c r="I62">
        <v>0</v>
      </c>
      <c r="J62">
        <v>5</v>
      </c>
      <c r="M62" t="s">
        <v>732</v>
      </c>
      <c r="N62" s="124" t="str">
        <f>IF(ISNA(VLOOKUP(H62,GameLog!$U$2:$Z$2999,6,0)),"Available",VLOOKUP(H62,GameLog!$U$2:$Z$2999,6,0))</f>
        <v>Available</v>
      </c>
      <c r="O62" s="124" t="str">
        <f>IF(ISNA(VLOOKUP(H62,GameLog!$U$2:$AA$2999,7,0)),"Available",VLOOKUP(H62,GameLog!$U$2:$AA$2999,7,0))</f>
        <v>Available</v>
      </c>
      <c r="P62" s="124" t="str">
        <f>IF(N62="Available","Available",IF(VLOOKUP(N62,Setup!$L:$N,3,0)="Dead","Available",VLOOKUP(N62,Setup!$L:$N,3,0)))</f>
        <v>Available</v>
      </c>
      <c r="Q62" s="124" t="str">
        <f>IF(ISNA(IF(O62="Available","Available",IF(VLOOKUP(O62,Setup!$L:$N,3,0)="Dead","Available",VLOOKUP(O62,Setup!$L:$N,3,0)))),"",IF(O62="Available","Available",IF(VLOOKUP(O62,Setup!$L:$N,3,0)="Dead","Available",VLOOKUP(O62,Setup!$L:$N,3,0))))</f>
        <v>Available</v>
      </c>
      <c r="R62">
        <f t="shared" si="6"/>
        <v>0</v>
      </c>
      <c r="S62">
        <f t="shared" si="7"/>
        <v>0</v>
      </c>
      <c r="T62" t="str">
        <f t="shared" si="8"/>
        <v/>
      </c>
      <c r="U62" s="194" t="str">
        <f t="shared" si="9"/>
        <v/>
      </c>
      <c r="V62" s="194" t="str">
        <f t="shared" si="10"/>
        <v/>
      </c>
      <c r="W62" s="194" t="str">
        <f t="shared" si="11"/>
        <v/>
      </c>
      <c r="X62" s="194" t="str">
        <f t="shared" si="12"/>
        <v/>
      </c>
      <c r="Y62" s="183" t="str">
        <f t="shared" si="13"/>
        <v/>
      </c>
      <c r="Z62" s="183" t="str">
        <f t="shared" si="14"/>
        <v/>
      </c>
      <c r="AA62" s="183" t="str">
        <f t="shared" si="15"/>
        <v/>
      </c>
      <c r="AB62" s="183" t="str">
        <f t="shared" si="16"/>
        <v/>
      </c>
    </row>
    <row r="63" spans="1:28" x14ac:dyDescent="0.25">
      <c r="A63" s="144">
        <v>52</v>
      </c>
      <c r="B63" s="124">
        <f t="shared" si="19"/>
        <v>52</v>
      </c>
      <c r="D63">
        <f t="shared" si="17"/>
        <v>0</v>
      </c>
      <c r="E63">
        <f t="shared" si="18"/>
        <v>0</v>
      </c>
      <c r="F63" s="124" t="str">
        <f t="shared" si="5"/>
        <v>Available</v>
      </c>
      <c r="H63" t="s">
        <v>733</v>
      </c>
      <c r="I63">
        <v>1</v>
      </c>
      <c r="J63">
        <v>9</v>
      </c>
      <c r="L63">
        <v>1</v>
      </c>
      <c r="M63" t="s">
        <v>734</v>
      </c>
      <c r="N63" s="124" t="str">
        <f>IF(ISNA(VLOOKUP(H63,GameLog!$U$2:$Z$2999,6,0)),"Available",VLOOKUP(H63,GameLog!$U$2:$Z$2999,6,0))</f>
        <v>Available</v>
      </c>
      <c r="O63" s="124" t="str">
        <f>IF(ISNA(VLOOKUP(H63,GameLog!$U$2:$AA$2999,7,0)),"Available",VLOOKUP(H63,GameLog!$U$2:$AA$2999,7,0))</f>
        <v>Available</v>
      </c>
      <c r="P63" s="124" t="str">
        <f>IF(N63="Available","Available",IF(VLOOKUP(N63,Setup!$L:$N,3,0)="Dead","Available",VLOOKUP(N63,Setup!$L:$N,3,0)))</f>
        <v>Available</v>
      </c>
      <c r="Q63" s="124" t="str">
        <f>IF(ISNA(IF(O63="Available","Available",IF(VLOOKUP(O63,Setup!$L:$N,3,0)="Dead","Available",VLOOKUP(O63,Setup!$L:$N,3,0)))),"",IF(O63="Available","Available",IF(VLOOKUP(O63,Setup!$L:$N,3,0)="Dead","Available",VLOOKUP(O63,Setup!$L:$N,3,0))))</f>
        <v>Available</v>
      </c>
      <c r="R63">
        <f t="shared" si="6"/>
        <v>0</v>
      </c>
      <c r="S63">
        <f t="shared" si="7"/>
        <v>0</v>
      </c>
      <c r="T63" t="str">
        <f t="shared" si="8"/>
        <v/>
      </c>
      <c r="U63" s="194" t="str">
        <f t="shared" si="9"/>
        <v/>
      </c>
      <c r="V63" s="194" t="str">
        <f t="shared" si="10"/>
        <v/>
      </c>
      <c r="W63" s="194" t="str">
        <f t="shared" si="11"/>
        <v/>
      </c>
      <c r="X63" s="194" t="str">
        <f t="shared" si="12"/>
        <v/>
      </c>
      <c r="Y63" s="183" t="str">
        <f t="shared" si="13"/>
        <v/>
      </c>
      <c r="Z63" s="183" t="str">
        <f t="shared" si="14"/>
        <v/>
      </c>
      <c r="AA63" s="183" t="str">
        <f t="shared" si="15"/>
        <v/>
      </c>
      <c r="AB63" s="183" t="str">
        <f t="shared" si="16"/>
        <v/>
      </c>
    </row>
    <row r="64" spans="1:28" x14ac:dyDescent="0.25">
      <c r="A64" s="144">
        <v>53</v>
      </c>
      <c r="B64" s="124">
        <f t="shared" si="19"/>
        <v>53</v>
      </c>
      <c r="D64">
        <f t="shared" si="17"/>
        <v>0</v>
      </c>
      <c r="E64">
        <f t="shared" si="18"/>
        <v>0</v>
      </c>
      <c r="F64" s="124" t="str">
        <f t="shared" si="5"/>
        <v>Available</v>
      </c>
      <c r="H64" t="s">
        <v>735</v>
      </c>
      <c r="I64">
        <v>-2</v>
      </c>
      <c r="J64">
        <v>4</v>
      </c>
      <c r="M64" t="s">
        <v>736</v>
      </c>
      <c r="N64" s="124" t="str">
        <f>IF(ISNA(VLOOKUP(H64,GameLog!$U$2:$Z$2999,6,0)),"Available",VLOOKUP(H64,GameLog!$U$2:$Z$2999,6,0))</f>
        <v>Available</v>
      </c>
      <c r="O64" s="124" t="str">
        <f>IF(ISNA(VLOOKUP(H64,GameLog!$U$2:$AA$2999,7,0)),"Available",VLOOKUP(H64,GameLog!$U$2:$AA$2999,7,0))</f>
        <v>Available</v>
      </c>
      <c r="P64" s="124" t="str">
        <f>IF(N64="Available","Available",IF(VLOOKUP(N64,Setup!$L:$N,3,0)="Dead","Available",VLOOKUP(N64,Setup!$L:$N,3,0)))</f>
        <v>Available</v>
      </c>
      <c r="Q64" s="124" t="str">
        <f>IF(ISNA(IF(O64="Available","Available",IF(VLOOKUP(O64,Setup!$L:$N,3,0)="Dead","Available",VLOOKUP(O64,Setup!$L:$N,3,0)))),"",IF(O64="Available","Available",IF(VLOOKUP(O64,Setup!$L:$N,3,0)="Dead","Available",VLOOKUP(O64,Setup!$L:$N,3,0))))</f>
        <v>Available</v>
      </c>
      <c r="R64">
        <f t="shared" si="6"/>
        <v>0</v>
      </c>
      <c r="S64">
        <f t="shared" si="7"/>
        <v>0</v>
      </c>
      <c r="T64" t="str">
        <f t="shared" si="8"/>
        <v/>
      </c>
      <c r="U64" s="194" t="str">
        <f t="shared" si="9"/>
        <v/>
      </c>
      <c r="V64" s="194" t="str">
        <f t="shared" si="10"/>
        <v/>
      </c>
      <c r="W64" s="194" t="str">
        <f t="shared" si="11"/>
        <v/>
      </c>
      <c r="X64" s="194" t="str">
        <f t="shared" si="12"/>
        <v/>
      </c>
      <c r="Y64" s="183" t="str">
        <f t="shared" si="13"/>
        <v/>
      </c>
      <c r="Z64" s="183" t="str">
        <f t="shared" si="14"/>
        <v/>
      </c>
      <c r="AA64" s="183" t="str">
        <f t="shared" si="15"/>
        <v/>
      </c>
      <c r="AB64" s="183" t="str">
        <f t="shared" si="16"/>
        <v/>
      </c>
    </row>
    <row r="65" spans="1:28" x14ac:dyDescent="0.25">
      <c r="A65" s="144">
        <v>54</v>
      </c>
      <c r="B65" s="124">
        <f t="shared" si="19"/>
        <v>54</v>
      </c>
      <c r="D65">
        <f t="shared" si="17"/>
        <v>0</v>
      </c>
      <c r="E65">
        <f t="shared" si="18"/>
        <v>0</v>
      </c>
      <c r="F65" s="124" t="str">
        <f t="shared" si="5"/>
        <v>Available</v>
      </c>
      <c r="H65" t="s">
        <v>737</v>
      </c>
      <c r="I65">
        <v>-2</v>
      </c>
      <c r="J65">
        <v>0</v>
      </c>
      <c r="M65" t="s">
        <v>738</v>
      </c>
      <c r="N65" s="124" t="str">
        <f>IF(ISNA(VLOOKUP(H65,GameLog!$U$2:$Z$2999,6,0)),"Available",VLOOKUP(H65,GameLog!$U$2:$Z$2999,6,0))</f>
        <v>Available</v>
      </c>
      <c r="O65" s="124" t="str">
        <f>IF(ISNA(VLOOKUP(H65,GameLog!$U$2:$AA$2999,7,0)),"Available",VLOOKUP(H65,GameLog!$U$2:$AA$2999,7,0))</f>
        <v>Available</v>
      </c>
      <c r="P65" s="124" t="str">
        <f>IF(N65="Available","Available",IF(VLOOKUP(N65,Setup!$L:$N,3,0)="Dead","Available",VLOOKUP(N65,Setup!$L:$N,3,0)))</f>
        <v>Available</v>
      </c>
      <c r="Q65" s="124" t="str">
        <f>IF(ISNA(IF(O65="Available","Available",IF(VLOOKUP(O65,Setup!$L:$N,3,0)="Dead","Available",VLOOKUP(O65,Setup!$L:$N,3,0)))),"",IF(O65="Available","Available",IF(VLOOKUP(O65,Setup!$L:$N,3,0)="Dead","Available",VLOOKUP(O65,Setup!$L:$N,3,0))))</f>
        <v>Available</v>
      </c>
      <c r="R65">
        <f t="shared" si="6"/>
        <v>0</v>
      </c>
      <c r="S65">
        <f t="shared" si="7"/>
        <v>0</v>
      </c>
      <c r="T65" t="str">
        <f t="shared" si="8"/>
        <v/>
      </c>
      <c r="U65" s="194" t="str">
        <f t="shared" si="9"/>
        <v/>
      </c>
      <c r="V65" s="194" t="str">
        <f t="shared" si="10"/>
        <v/>
      </c>
      <c r="W65" s="194" t="str">
        <f t="shared" si="11"/>
        <v/>
      </c>
      <c r="X65" s="194" t="str">
        <f t="shared" si="12"/>
        <v/>
      </c>
      <c r="Y65" s="183" t="str">
        <f t="shared" si="13"/>
        <v/>
      </c>
      <c r="Z65" s="183" t="str">
        <f t="shared" si="14"/>
        <v/>
      </c>
      <c r="AA65" s="183" t="str">
        <f t="shared" si="15"/>
        <v/>
      </c>
      <c r="AB65" s="183" t="str">
        <f t="shared" si="16"/>
        <v/>
      </c>
    </row>
    <row r="66" spans="1:28" x14ac:dyDescent="0.25">
      <c r="A66" s="144">
        <v>55</v>
      </c>
      <c r="B66" s="124">
        <f t="shared" si="19"/>
        <v>55</v>
      </c>
      <c r="D66">
        <f t="shared" si="17"/>
        <v>0</v>
      </c>
      <c r="E66">
        <f t="shared" si="18"/>
        <v>0</v>
      </c>
      <c r="F66" s="124" t="str">
        <f t="shared" si="5"/>
        <v>Available</v>
      </c>
      <c r="H66" t="s">
        <v>739</v>
      </c>
      <c r="I66">
        <v>1</v>
      </c>
      <c r="J66">
        <v>1</v>
      </c>
      <c r="M66" t="s">
        <v>740</v>
      </c>
      <c r="N66" s="124" t="str">
        <f>IF(ISNA(VLOOKUP(H66,GameLog!$U$2:$Z$2999,6,0)),"Available",VLOOKUP(H66,GameLog!$U$2:$Z$2999,6,0))</f>
        <v>Available</v>
      </c>
      <c r="O66" s="124" t="str">
        <f>IF(ISNA(VLOOKUP(H66,GameLog!$U$2:$AA$2999,7,0)),"Available",VLOOKUP(H66,GameLog!$U$2:$AA$2999,7,0))</f>
        <v>Available</v>
      </c>
      <c r="P66" s="124" t="str">
        <f>IF(N66="Available","Available",IF(VLOOKUP(N66,Setup!$L:$N,3,0)="Dead","Available",VLOOKUP(N66,Setup!$L:$N,3,0)))</f>
        <v>Available</v>
      </c>
      <c r="Q66" s="124" t="str">
        <f>IF(ISNA(IF(O66="Available","Available",IF(VLOOKUP(O66,Setup!$L:$N,3,0)="Dead","Available",VLOOKUP(O66,Setup!$L:$N,3,0)))),"",IF(O66="Available","Available",IF(VLOOKUP(O66,Setup!$L:$N,3,0)="Dead","Available",VLOOKUP(O66,Setup!$L:$N,3,0))))</f>
        <v>Available</v>
      </c>
      <c r="R66">
        <f t="shared" si="6"/>
        <v>0</v>
      </c>
      <c r="S66">
        <f t="shared" si="7"/>
        <v>0</v>
      </c>
      <c r="T66" t="str">
        <f t="shared" si="8"/>
        <v/>
      </c>
      <c r="U66" s="194" t="str">
        <f t="shared" si="9"/>
        <v/>
      </c>
      <c r="V66" s="194" t="str">
        <f t="shared" si="10"/>
        <v/>
      </c>
      <c r="W66" s="194" t="str">
        <f t="shared" si="11"/>
        <v/>
      </c>
      <c r="X66" s="194" t="str">
        <f t="shared" si="12"/>
        <v/>
      </c>
      <c r="Y66" s="183" t="str">
        <f t="shared" si="13"/>
        <v/>
      </c>
      <c r="Z66" s="183" t="str">
        <f t="shared" si="14"/>
        <v/>
      </c>
      <c r="AA66" s="183" t="str">
        <f t="shared" si="15"/>
        <v/>
      </c>
      <c r="AB66" s="183" t="str">
        <f t="shared" si="16"/>
        <v/>
      </c>
    </row>
    <row r="67" spans="1:28" x14ac:dyDescent="0.25">
      <c r="A67" s="144">
        <v>56</v>
      </c>
      <c r="B67" s="124">
        <f t="shared" si="19"/>
        <v>56</v>
      </c>
      <c r="D67">
        <f t="shared" si="17"/>
        <v>0</v>
      </c>
      <c r="E67">
        <f t="shared" si="18"/>
        <v>0</v>
      </c>
      <c r="F67" s="124" t="str">
        <f t="shared" si="5"/>
        <v>Available</v>
      </c>
      <c r="H67" t="s">
        <v>741</v>
      </c>
      <c r="I67">
        <v>0</v>
      </c>
      <c r="J67">
        <v>1</v>
      </c>
      <c r="M67" t="s">
        <v>742</v>
      </c>
      <c r="N67" s="124" t="str">
        <f>IF(ISNA(VLOOKUP(H67,GameLog!$U$2:$Z$2999,6,0)),"Available",VLOOKUP(H67,GameLog!$U$2:$Z$2999,6,0))</f>
        <v>Available</v>
      </c>
      <c r="O67" s="124" t="str">
        <f>IF(ISNA(VLOOKUP(H67,GameLog!$U$2:$AA$2999,7,0)),"Available",VLOOKUP(H67,GameLog!$U$2:$AA$2999,7,0))</f>
        <v>Available</v>
      </c>
      <c r="P67" s="124" t="str">
        <f>IF(N67="Available","Available",IF(VLOOKUP(N67,Setup!$L:$N,3,0)="Dead","Available",VLOOKUP(N67,Setup!$L:$N,3,0)))</f>
        <v>Available</v>
      </c>
      <c r="Q67" s="124" t="str">
        <f>IF(ISNA(IF(O67="Available","Available",IF(VLOOKUP(O67,Setup!$L:$N,3,0)="Dead","Available",VLOOKUP(O67,Setup!$L:$N,3,0)))),"",IF(O67="Available","Available",IF(VLOOKUP(O67,Setup!$L:$N,3,0)="Dead","Available",VLOOKUP(O67,Setup!$L:$N,3,0))))</f>
        <v>Available</v>
      </c>
      <c r="R67">
        <f t="shared" si="6"/>
        <v>0</v>
      </c>
      <c r="S67">
        <f t="shared" si="7"/>
        <v>0</v>
      </c>
      <c r="T67" t="str">
        <f t="shared" si="8"/>
        <v/>
      </c>
      <c r="U67" s="194" t="str">
        <f t="shared" si="9"/>
        <v/>
      </c>
      <c r="V67" s="194" t="str">
        <f t="shared" si="10"/>
        <v/>
      </c>
      <c r="W67" s="194" t="str">
        <f t="shared" si="11"/>
        <v/>
      </c>
      <c r="X67" s="194" t="str">
        <f t="shared" si="12"/>
        <v/>
      </c>
      <c r="Y67" s="183" t="str">
        <f t="shared" si="13"/>
        <v/>
      </c>
      <c r="Z67" s="183" t="str">
        <f t="shared" si="14"/>
        <v/>
      </c>
      <c r="AA67" s="183" t="str">
        <f t="shared" si="15"/>
        <v/>
      </c>
      <c r="AB67" s="183" t="str">
        <f t="shared" si="16"/>
        <v/>
      </c>
    </row>
    <row r="68" spans="1:28" x14ac:dyDescent="0.25">
      <c r="A68" s="144">
        <v>57</v>
      </c>
      <c r="B68" s="124">
        <f t="shared" si="19"/>
        <v>57</v>
      </c>
      <c r="D68">
        <f t="shared" si="17"/>
        <v>0</v>
      </c>
      <c r="E68">
        <f t="shared" si="18"/>
        <v>0</v>
      </c>
      <c r="F68" s="124" t="str">
        <f t="shared" si="5"/>
        <v>Available</v>
      </c>
      <c r="H68" t="s">
        <v>743</v>
      </c>
      <c r="I68">
        <v>1</v>
      </c>
      <c r="J68">
        <v>7</v>
      </c>
      <c r="M68" t="s">
        <v>744</v>
      </c>
      <c r="N68" s="124" t="str">
        <f>IF(ISNA(VLOOKUP(H68,GameLog!$U$2:$Z$2999,6,0)),"Available",VLOOKUP(H68,GameLog!$U$2:$Z$2999,6,0))</f>
        <v>Available</v>
      </c>
      <c r="O68" s="124" t="str">
        <f>IF(ISNA(VLOOKUP(H68,GameLog!$U$2:$AA$2999,7,0)),"Available",VLOOKUP(H68,GameLog!$U$2:$AA$2999,7,0))</f>
        <v>Available</v>
      </c>
      <c r="P68" s="124" t="str">
        <f>IF(N68="Available","Available",IF(VLOOKUP(N68,Setup!$L:$N,3,0)="Dead","Available",VLOOKUP(N68,Setup!$L:$N,3,0)))</f>
        <v>Available</v>
      </c>
      <c r="Q68" s="124" t="str">
        <f>IF(ISNA(IF(O68="Available","Available",IF(VLOOKUP(O68,Setup!$L:$N,3,0)="Dead","Available",VLOOKUP(O68,Setup!$L:$N,3,0)))),"",IF(O68="Available","Available",IF(VLOOKUP(O68,Setup!$L:$N,3,0)="Dead","Available",VLOOKUP(O68,Setup!$L:$N,3,0))))</f>
        <v>Available</v>
      </c>
      <c r="R68">
        <f t="shared" si="6"/>
        <v>0</v>
      </c>
      <c r="S68">
        <f t="shared" si="7"/>
        <v>0</v>
      </c>
      <c r="T68" t="str">
        <f t="shared" si="8"/>
        <v/>
      </c>
      <c r="U68" s="194" t="str">
        <f t="shared" si="9"/>
        <v/>
      </c>
      <c r="V68" s="194" t="str">
        <f t="shared" si="10"/>
        <v/>
      </c>
      <c r="W68" s="194" t="str">
        <f t="shared" si="11"/>
        <v/>
      </c>
      <c r="X68" s="194" t="str">
        <f t="shared" si="12"/>
        <v/>
      </c>
      <c r="Y68" s="183" t="str">
        <f t="shared" si="13"/>
        <v/>
      </c>
      <c r="Z68" s="183" t="str">
        <f t="shared" si="14"/>
        <v/>
      </c>
      <c r="AA68" s="183" t="str">
        <f t="shared" si="15"/>
        <v/>
      </c>
      <c r="AB68" s="183" t="str">
        <f t="shared" si="16"/>
        <v/>
      </c>
    </row>
    <row r="69" spans="1:28" x14ac:dyDescent="0.25">
      <c r="A69" s="144">
        <v>58</v>
      </c>
      <c r="B69" s="124">
        <f t="shared" si="19"/>
        <v>58</v>
      </c>
      <c r="D69">
        <f t="shared" si="17"/>
        <v>0</v>
      </c>
      <c r="E69">
        <f t="shared" si="18"/>
        <v>0</v>
      </c>
      <c r="F69" s="124" t="str">
        <f t="shared" si="5"/>
        <v>Available</v>
      </c>
      <c r="H69" t="s">
        <v>745</v>
      </c>
      <c r="I69">
        <v>1</v>
      </c>
      <c r="J69">
        <v>1</v>
      </c>
      <c r="L69">
        <v>2</v>
      </c>
      <c r="M69" t="s">
        <v>746</v>
      </c>
      <c r="N69" s="124" t="str">
        <f>IF(ISNA(VLOOKUP(H69,GameLog!$U$2:$Z$2999,6,0)),"Available",VLOOKUP(H69,GameLog!$U$2:$Z$2999,6,0))</f>
        <v>Available</v>
      </c>
      <c r="O69" s="124" t="str">
        <f>IF(ISNA(VLOOKUP(H69,GameLog!$U$2:$AA$2999,7,0)),"Available",VLOOKUP(H69,GameLog!$U$2:$AA$2999,7,0))</f>
        <v>Available</v>
      </c>
      <c r="P69" s="124" t="str">
        <f>IF(N69="Available","Available",IF(VLOOKUP(N69,Setup!$L:$N,3,0)="Dead","Available",VLOOKUP(N69,Setup!$L:$N,3,0)))</f>
        <v>Available</v>
      </c>
      <c r="Q69" s="124" t="str">
        <f>IF(ISNA(IF(O69="Available","Available",IF(VLOOKUP(O69,Setup!$L:$N,3,0)="Dead","Available",VLOOKUP(O69,Setup!$L:$N,3,0)))),"",IF(O69="Available","Available",IF(VLOOKUP(O69,Setup!$L:$N,3,0)="Dead","Available",VLOOKUP(O69,Setup!$L:$N,3,0))))</f>
        <v>Available</v>
      </c>
      <c r="R69">
        <f t="shared" si="6"/>
        <v>0</v>
      </c>
      <c r="S69">
        <f t="shared" si="7"/>
        <v>0</v>
      </c>
      <c r="T69" t="str">
        <f t="shared" si="8"/>
        <v/>
      </c>
      <c r="U69" s="194" t="str">
        <f t="shared" si="9"/>
        <v/>
      </c>
      <c r="V69" s="194" t="str">
        <f t="shared" si="10"/>
        <v/>
      </c>
      <c r="W69" s="194" t="str">
        <f t="shared" si="11"/>
        <v/>
      </c>
      <c r="X69" s="194" t="str">
        <f t="shared" si="12"/>
        <v/>
      </c>
      <c r="Y69" s="183" t="str">
        <f t="shared" si="13"/>
        <v/>
      </c>
      <c r="Z69" s="183" t="str">
        <f t="shared" si="14"/>
        <v/>
      </c>
      <c r="AA69" s="183" t="str">
        <f t="shared" si="15"/>
        <v/>
      </c>
      <c r="AB69" s="183" t="str">
        <f t="shared" si="16"/>
        <v/>
      </c>
    </row>
    <row r="70" spans="1:28" x14ac:dyDescent="0.25">
      <c r="A70" s="144">
        <v>59</v>
      </c>
      <c r="B70" s="124">
        <f t="shared" si="19"/>
        <v>59</v>
      </c>
      <c r="D70">
        <f t="shared" si="17"/>
        <v>0</v>
      </c>
      <c r="E70">
        <f t="shared" si="18"/>
        <v>0</v>
      </c>
      <c r="F70" s="124" t="str">
        <f t="shared" si="5"/>
        <v>Available</v>
      </c>
      <c r="H70" t="s">
        <v>747</v>
      </c>
      <c r="I70">
        <v>0</v>
      </c>
      <c r="J70">
        <v>-1</v>
      </c>
      <c r="M70" t="s">
        <v>748</v>
      </c>
      <c r="N70" s="124" t="str">
        <f>IF(ISNA(VLOOKUP(H70,GameLog!$U$2:$Z$2999,6,0)),"Available",VLOOKUP(H70,GameLog!$U$2:$Z$2999,6,0))</f>
        <v>Available</v>
      </c>
      <c r="O70" s="124" t="str">
        <f>IF(ISNA(VLOOKUP(H70,GameLog!$U$2:$AA$2999,7,0)),"Available",VLOOKUP(H70,GameLog!$U$2:$AA$2999,7,0))</f>
        <v>Available</v>
      </c>
      <c r="P70" s="124" t="str">
        <f>IF(N70="Available","Available",IF(VLOOKUP(N70,Setup!$L:$N,3,0)="Dead","Available",VLOOKUP(N70,Setup!$L:$N,3,0)))</f>
        <v>Available</v>
      </c>
      <c r="Q70" s="124" t="str">
        <f>IF(ISNA(IF(O70="Available","Available",IF(VLOOKUP(O70,Setup!$L:$N,3,0)="Dead","Available",VLOOKUP(O70,Setup!$L:$N,3,0)))),"",IF(O70="Available","Available",IF(VLOOKUP(O70,Setup!$L:$N,3,0)="Dead","Available",VLOOKUP(O70,Setup!$L:$N,3,0))))</f>
        <v>Available</v>
      </c>
      <c r="R70">
        <f t="shared" si="6"/>
        <v>0</v>
      </c>
      <c r="S70">
        <f t="shared" si="7"/>
        <v>0</v>
      </c>
      <c r="T70" t="str">
        <f t="shared" si="8"/>
        <v/>
      </c>
      <c r="U70" s="194" t="str">
        <f t="shared" si="9"/>
        <v/>
      </c>
      <c r="V70" s="194" t="str">
        <f t="shared" si="10"/>
        <v/>
      </c>
      <c r="W70" s="194" t="str">
        <f t="shared" si="11"/>
        <v/>
      </c>
      <c r="X70" s="194" t="str">
        <f t="shared" si="12"/>
        <v/>
      </c>
      <c r="Y70" s="183" t="str">
        <f t="shared" si="13"/>
        <v/>
      </c>
      <c r="Z70" s="183" t="str">
        <f t="shared" si="14"/>
        <v/>
      </c>
      <c r="AA70" s="183" t="str">
        <f t="shared" si="15"/>
        <v/>
      </c>
      <c r="AB70" s="183" t="str">
        <f t="shared" si="16"/>
        <v/>
      </c>
    </row>
    <row r="71" spans="1:28" x14ac:dyDescent="0.25">
      <c r="A71" s="144">
        <v>60</v>
      </c>
      <c r="B71" s="124">
        <f t="shared" si="19"/>
        <v>60</v>
      </c>
      <c r="D71">
        <f t="shared" si="17"/>
        <v>0</v>
      </c>
      <c r="E71">
        <f t="shared" si="18"/>
        <v>0</v>
      </c>
      <c r="F71" s="124" t="str">
        <f t="shared" si="5"/>
        <v>Available</v>
      </c>
      <c r="H71" t="s">
        <v>749</v>
      </c>
      <c r="I71">
        <v>0</v>
      </c>
      <c r="J71">
        <v>-1</v>
      </c>
      <c r="M71" t="s">
        <v>750</v>
      </c>
      <c r="N71" s="124" t="str">
        <f>IF(ISNA(VLOOKUP(H71,GameLog!$U$2:$Z$2999,6,0)),"Available",VLOOKUP(H71,GameLog!$U$2:$Z$2999,6,0))</f>
        <v>Available</v>
      </c>
      <c r="O71" s="124" t="str">
        <f>IF(ISNA(VLOOKUP(H71,GameLog!$U$2:$AA$2999,7,0)),"Available",VLOOKUP(H71,GameLog!$U$2:$AA$2999,7,0))</f>
        <v>Available</v>
      </c>
      <c r="P71" s="124" t="str">
        <f>IF(N71="Available","Available",IF(VLOOKUP(N71,Setup!$L:$N,3,0)="Dead","Available",VLOOKUP(N71,Setup!$L:$N,3,0)))</f>
        <v>Available</v>
      </c>
      <c r="Q71" s="124" t="str">
        <f>IF(ISNA(IF(O71="Available","Available",IF(VLOOKUP(O71,Setup!$L:$N,3,0)="Dead","Available",VLOOKUP(O71,Setup!$L:$N,3,0)))),"",IF(O71="Available","Available",IF(VLOOKUP(O71,Setup!$L:$N,3,0)="Dead","Available",VLOOKUP(O71,Setup!$L:$N,3,0))))</f>
        <v>Available</v>
      </c>
      <c r="R71">
        <f t="shared" si="6"/>
        <v>0</v>
      </c>
      <c r="S71">
        <f t="shared" si="7"/>
        <v>0</v>
      </c>
      <c r="T71" t="str">
        <f t="shared" si="8"/>
        <v/>
      </c>
      <c r="U71" s="194" t="str">
        <f t="shared" si="9"/>
        <v/>
      </c>
      <c r="V71" s="194" t="str">
        <f t="shared" si="10"/>
        <v/>
      </c>
      <c r="W71" s="194" t="str">
        <f t="shared" si="11"/>
        <v/>
      </c>
      <c r="X71" s="194" t="str">
        <f t="shared" si="12"/>
        <v/>
      </c>
      <c r="Y71" s="183" t="str">
        <f t="shared" si="13"/>
        <v/>
      </c>
      <c r="Z71" s="183" t="str">
        <f t="shared" si="14"/>
        <v/>
      </c>
      <c r="AA71" s="183" t="str">
        <f t="shared" si="15"/>
        <v/>
      </c>
      <c r="AB71" s="183" t="str">
        <f t="shared" si="16"/>
        <v/>
      </c>
    </row>
    <row r="72" spans="1:28" x14ac:dyDescent="0.25">
      <c r="A72" s="144">
        <v>61</v>
      </c>
      <c r="B72" s="124">
        <f t="shared" si="19"/>
        <v>61</v>
      </c>
      <c r="D72">
        <f t="shared" si="17"/>
        <v>0</v>
      </c>
      <c r="E72">
        <f t="shared" si="18"/>
        <v>0</v>
      </c>
      <c r="F72" s="124" t="str">
        <f t="shared" si="5"/>
        <v>Available</v>
      </c>
      <c r="H72" t="s">
        <v>751</v>
      </c>
      <c r="I72">
        <v>-1</v>
      </c>
      <c r="J72">
        <v>12</v>
      </c>
      <c r="M72" t="s">
        <v>752</v>
      </c>
      <c r="N72" s="124" t="str">
        <f>IF(ISNA(VLOOKUP(H72,GameLog!$U$2:$Z$2999,6,0)),"Available",VLOOKUP(H72,GameLog!$U$2:$Z$2999,6,0))</f>
        <v>Available</v>
      </c>
      <c r="O72" s="124" t="str">
        <f>IF(ISNA(VLOOKUP(H72,GameLog!$U$2:$AA$2999,7,0)),"Available",VLOOKUP(H72,GameLog!$U$2:$AA$2999,7,0))</f>
        <v>Available</v>
      </c>
      <c r="P72" s="124" t="str">
        <f>IF(N72="Available","Available",IF(VLOOKUP(N72,Setup!$L:$N,3,0)="Dead","Available",VLOOKUP(N72,Setup!$L:$N,3,0)))</f>
        <v>Available</v>
      </c>
      <c r="Q72" s="124" t="str">
        <f>IF(ISNA(IF(O72="Available","Available",IF(VLOOKUP(O72,Setup!$L:$N,3,0)="Dead","Available",VLOOKUP(O72,Setup!$L:$N,3,0)))),"",IF(O72="Available","Available",IF(VLOOKUP(O72,Setup!$L:$N,3,0)="Dead","Available",VLOOKUP(O72,Setup!$L:$N,3,0))))</f>
        <v>Available</v>
      </c>
      <c r="R72">
        <f t="shared" si="6"/>
        <v>0</v>
      </c>
      <c r="S72">
        <f t="shared" si="7"/>
        <v>0</v>
      </c>
      <c r="T72" t="str">
        <f t="shared" si="8"/>
        <v/>
      </c>
      <c r="U72" s="194" t="str">
        <f t="shared" si="9"/>
        <v/>
      </c>
      <c r="V72" s="194" t="str">
        <f t="shared" si="10"/>
        <v/>
      </c>
      <c r="W72" s="194" t="str">
        <f t="shared" si="11"/>
        <v/>
      </c>
      <c r="X72" s="194" t="str">
        <f t="shared" si="12"/>
        <v/>
      </c>
      <c r="Y72" s="183" t="str">
        <f t="shared" si="13"/>
        <v/>
      </c>
      <c r="Z72" s="183" t="str">
        <f t="shared" si="14"/>
        <v/>
      </c>
      <c r="AA72" s="183" t="str">
        <f t="shared" si="15"/>
        <v/>
      </c>
      <c r="AB72" s="183" t="str">
        <f t="shared" si="16"/>
        <v/>
      </c>
    </row>
    <row r="73" spans="1:28" x14ac:dyDescent="0.25">
      <c r="A73" s="144">
        <v>62</v>
      </c>
      <c r="B73" s="124">
        <f t="shared" si="19"/>
        <v>62</v>
      </c>
      <c r="D73">
        <f t="shared" si="17"/>
        <v>0</v>
      </c>
      <c r="E73">
        <f t="shared" si="18"/>
        <v>0</v>
      </c>
      <c r="F73" s="124" t="str">
        <f t="shared" si="5"/>
        <v>Available</v>
      </c>
      <c r="H73" t="s">
        <v>753</v>
      </c>
      <c r="I73">
        <v>-2</v>
      </c>
      <c r="J73">
        <v>-3</v>
      </c>
      <c r="M73" t="s">
        <v>754</v>
      </c>
      <c r="N73" s="124" t="str">
        <f>IF(ISNA(VLOOKUP(H73,GameLog!$U$2:$Z$2999,6,0)),"Available",VLOOKUP(H73,GameLog!$U$2:$Z$2999,6,0))</f>
        <v>Available</v>
      </c>
      <c r="O73" s="124" t="str">
        <f>IF(ISNA(VLOOKUP(H73,GameLog!$U$2:$AA$2999,7,0)),"Available",VLOOKUP(H73,GameLog!$U$2:$AA$2999,7,0))</f>
        <v>Available</v>
      </c>
      <c r="P73" s="124" t="str">
        <f>IF(N73="Available","Available",IF(VLOOKUP(N73,Setup!$L:$N,3,0)="Dead","Available",VLOOKUP(N73,Setup!$L:$N,3,0)))</f>
        <v>Available</v>
      </c>
      <c r="Q73" s="124" t="str">
        <f>IF(ISNA(IF(O73="Available","Available",IF(VLOOKUP(O73,Setup!$L:$N,3,0)="Dead","Available",VLOOKUP(O73,Setup!$L:$N,3,0)))),"",IF(O73="Available","Available",IF(VLOOKUP(O73,Setup!$L:$N,3,0)="Dead","Available",VLOOKUP(O73,Setup!$L:$N,3,0))))</f>
        <v>Available</v>
      </c>
      <c r="R73">
        <f t="shared" si="6"/>
        <v>0</v>
      </c>
      <c r="S73">
        <f t="shared" si="7"/>
        <v>0</v>
      </c>
      <c r="T73" t="str">
        <f t="shared" si="8"/>
        <v/>
      </c>
      <c r="U73" s="194" t="str">
        <f t="shared" si="9"/>
        <v/>
      </c>
      <c r="V73" s="194" t="str">
        <f t="shared" si="10"/>
        <v/>
      </c>
      <c r="W73" s="194" t="str">
        <f t="shared" si="11"/>
        <v/>
      </c>
      <c r="X73" s="194" t="str">
        <f t="shared" si="12"/>
        <v/>
      </c>
      <c r="Y73" s="183" t="str">
        <f t="shared" si="13"/>
        <v/>
      </c>
      <c r="Z73" s="183" t="str">
        <f t="shared" si="14"/>
        <v/>
      </c>
      <c r="AA73" s="183" t="str">
        <f t="shared" si="15"/>
        <v/>
      </c>
      <c r="AB73" s="183" t="str">
        <f t="shared" si="16"/>
        <v/>
      </c>
    </row>
    <row r="74" spans="1:28" x14ac:dyDescent="0.25">
      <c r="A74" s="144">
        <v>63</v>
      </c>
      <c r="B74" s="124">
        <f t="shared" si="19"/>
        <v>63</v>
      </c>
      <c r="D74">
        <f t="shared" si="17"/>
        <v>0</v>
      </c>
      <c r="E74">
        <f t="shared" si="18"/>
        <v>0</v>
      </c>
      <c r="F74" s="124" t="str">
        <f t="shared" si="5"/>
        <v>Available</v>
      </c>
      <c r="H74" t="s">
        <v>755</v>
      </c>
      <c r="I74">
        <v>3</v>
      </c>
      <c r="J74">
        <v>-4</v>
      </c>
      <c r="M74" t="s">
        <v>756</v>
      </c>
      <c r="N74" s="124" t="str">
        <f>IF(ISNA(VLOOKUP(H74,GameLog!$U$2:$Z$2999,6,0)),"Available",VLOOKUP(H74,GameLog!$U$2:$Z$2999,6,0))</f>
        <v>Available</v>
      </c>
      <c r="O74" s="124" t="str">
        <f>IF(ISNA(VLOOKUP(H74,GameLog!$U$2:$AA$2999,7,0)),"Available",VLOOKUP(H74,GameLog!$U$2:$AA$2999,7,0))</f>
        <v>Available</v>
      </c>
      <c r="P74" s="124" t="str">
        <f>IF(N74="Available","Available",IF(VLOOKUP(N74,Setup!$L:$N,3,0)="Dead","Available",VLOOKUP(N74,Setup!$L:$N,3,0)))</f>
        <v>Available</v>
      </c>
      <c r="Q74" s="124" t="str">
        <f>IF(ISNA(IF(O74="Available","Available",IF(VLOOKUP(O74,Setup!$L:$N,3,0)="Dead","Available",VLOOKUP(O74,Setup!$L:$N,3,0)))),"",IF(O74="Available","Available",IF(VLOOKUP(O74,Setup!$L:$N,3,0)="Dead","Available",VLOOKUP(O74,Setup!$L:$N,3,0))))</f>
        <v>Available</v>
      </c>
      <c r="R74">
        <f t="shared" si="6"/>
        <v>0</v>
      </c>
      <c r="S74">
        <f t="shared" si="7"/>
        <v>0</v>
      </c>
      <c r="T74" t="str">
        <f t="shared" si="8"/>
        <v/>
      </c>
      <c r="U74" s="194" t="str">
        <f t="shared" si="9"/>
        <v/>
      </c>
      <c r="V74" s="194" t="str">
        <f t="shared" si="10"/>
        <v/>
      </c>
      <c r="W74" s="194" t="str">
        <f t="shared" si="11"/>
        <v/>
      </c>
      <c r="X74" s="194" t="str">
        <f t="shared" si="12"/>
        <v/>
      </c>
      <c r="Y74" s="183" t="str">
        <f t="shared" si="13"/>
        <v/>
      </c>
      <c r="Z74" s="183" t="str">
        <f t="shared" si="14"/>
        <v/>
      </c>
      <c r="AA74" s="183" t="str">
        <f t="shared" si="15"/>
        <v/>
      </c>
      <c r="AB74" s="183" t="str">
        <f t="shared" si="16"/>
        <v/>
      </c>
    </row>
    <row r="75" spans="1:28" x14ac:dyDescent="0.25">
      <c r="A75" s="144">
        <v>64</v>
      </c>
      <c r="B75" s="124">
        <f t="shared" si="19"/>
        <v>64</v>
      </c>
      <c r="D75">
        <f t="shared" si="17"/>
        <v>0</v>
      </c>
      <c r="E75">
        <f t="shared" si="18"/>
        <v>0</v>
      </c>
      <c r="F75" s="124" t="str">
        <f t="shared" si="5"/>
        <v>Available</v>
      </c>
      <c r="H75" t="s">
        <v>757</v>
      </c>
      <c r="I75">
        <v>0</v>
      </c>
      <c r="J75">
        <v>2</v>
      </c>
      <c r="M75" t="s">
        <v>758</v>
      </c>
      <c r="N75" s="124" t="str">
        <f>IF(ISNA(VLOOKUP(H75,GameLog!$U$2:$Z$2999,6,0)),"Available",VLOOKUP(H75,GameLog!$U$2:$Z$2999,6,0))</f>
        <v>Available</v>
      </c>
      <c r="O75" s="124" t="str">
        <f>IF(ISNA(VLOOKUP(H75,GameLog!$U$2:$AA$2999,7,0)),"Available",VLOOKUP(H75,GameLog!$U$2:$AA$2999,7,0))</f>
        <v>Available</v>
      </c>
      <c r="P75" s="124" t="str">
        <f>IF(N75="Available","Available",IF(VLOOKUP(N75,Setup!$L:$N,3,0)="Dead","Available",VLOOKUP(N75,Setup!$L:$N,3,0)))</f>
        <v>Available</v>
      </c>
      <c r="Q75" s="124" t="str">
        <f>IF(ISNA(IF(O75="Available","Available",IF(VLOOKUP(O75,Setup!$L:$N,3,0)="Dead","Available",VLOOKUP(O75,Setup!$L:$N,3,0)))),"",IF(O75="Available","Available",IF(VLOOKUP(O75,Setup!$L:$N,3,0)="Dead","Available",VLOOKUP(O75,Setup!$L:$N,3,0))))</f>
        <v>Available</v>
      </c>
      <c r="R75">
        <f t="shared" si="6"/>
        <v>0</v>
      </c>
      <c r="S75">
        <f t="shared" si="7"/>
        <v>0</v>
      </c>
      <c r="T75" t="str">
        <f t="shared" si="8"/>
        <v/>
      </c>
      <c r="U75" s="194" t="str">
        <f t="shared" si="9"/>
        <v/>
      </c>
      <c r="V75" s="194" t="str">
        <f t="shared" si="10"/>
        <v/>
      </c>
      <c r="W75" s="194" t="str">
        <f t="shared" si="11"/>
        <v/>
      </c>
      <c r="X75" s="194" t="str">
        <f t="shared" si="12"/>
        <v/>
      </c>
      <c r="Y75" s="183" t="str">
        <f t="shared" si="13"/>
        <v/>
      </c>
      <c r="Z75" s="183" t="str">
        <f t="shared" si="14"/>
        <v/>
      </c>
      <c r="AA75" s="183" t="str">
        <f t="shared" si="15"/>
        <v/>
      </c>
      <c r="AB75" s="183" t="str">
        <f t="shared" si="16"/>
        <v/>
      </c>
    </row>
    <row r="76" spans="1:28" x14ac:dyDescent="0.25">
      <c r="A76" s="144">
        <v>65</v>
      </c>
      <c r="B76" s="124">
        <f t="shared" si="19"/>
        <v>65</v>
      </c>
      <c r="D76">
        <f t="shared" si="17"/>
        <v>0</v>
      </c>
      <c r="E76">
        <f t="shared" si="18"/>
        <v>0</v>
      </c>
      <c r="F76" s="124" t="str">
        <f t="shared" si="5"/>
        <v>Available</v>
      </c>
      <c r="H76" t="s">
        <v>759</v>
      </c>
      <c r="I76">
        <v>0</v>
      </c>
      <c r="J76">
        <v>-2</v>
      </c>
      <c r="M76" t="s">
        <v>760</v>
      </c>
      <c r="N76" s="124" t="str">
        <f>IF(ISNA(VLOOKUP(H76,GameLog!$U$2:$Z$2999,6,0)),"Available",VLOOKUP(H76,GameLog!$U$2:$Z$2999,6,0))</f>
        <v>Available</v>
      </c>
      <c r="O76" s="124" t="str">
        <f>IF(ISNA(VLOOKUP(H76,GameLog!$U$2:$AA$2999,7,0)),"Available",VLOOKUP(H76,GameLog!$U$2:$AA$2999,7,0))</f>
        <v>Available</v>
      </c>
      <c r="P76" s="124" t="str">
        <f>IF(N76="Available","Available",IF(VLOOKUP(N76,Setup!$L:$N,3,0)="Dead","Available",VLOOKUP(N76,Setup!$L:$N,3,0)))</f>
        <v>Available</v>
      </c>
      <c r="Q76" s="124" t="str">
        <f>IF(ISNA(IF(O76="Available","Available",IF(VLOOKUP(O76,Setup!$L:$N,3,0)="Dead","Available",VLOOKUP(O76,Setup!$L:$N,3,0)))),"",IF(O76="Available","Available",IF(VLOOKUP(O76,Setup!$L:$N,3,0)="Dead","Available",VLOOKUP(O76,Setup!$L:$N,3,0))))</f>
        <v>Available</v>
      </c>
      <c r="R76">
        <f t="shared" si="6"/>
        <v>0</v>
      </c>
      <c r="S76">
        <f t="shared" si="7"/>
        <v>0</v>
      </c>
      <c r="T76" t="str">
        <f t="shared" si="8"/>
        <v/>
      </c>
      <c r="U76" s="194" t="str">
        <f t="shared" si="9"/>
        <v/>
      </c>
      <c r="V76" s="194" t="str">
        <f t="shared" si="10"/>
        <v/>
      </c>
      <c r="W76" s="194" t="str">
        <f t="shared" si="11"/>
        <v/>
      </c>
      <c r="X76" s="194" t="str">
        <f t="shared" si="12"/>
        <v/>
      </c>
      <c r="Y76" s="183" t="str">
        <f t="shared" si="13"/>
        <v/>
      </c>
      <c r="Z76" s="183" t="str">
        <f t="shared" si="14"/>
        <v/>
      </c>
      <c r="AA76" s="183" t="str">
        <f t="shared" si="15"/>
        <v/>
      </c>
      <c r="AB76" s="183" t="str">
        <f t="shared" si="16"/>
        <v/>
      </c>
    </row>
    <row r="77" spans="1:28" x14ac:dyDescent="0.25">
      <c r="A77" s="144">
        <v>66</v>
      </c>
      <c r="B77" s="124">
        <f t="shared" ref="B77:B87" si="20">IF(F77="Available",B76+1,B76)</f>
        <v>66</v>
      </c>
      <c r="D77">
        <f t="shared" si="17"/>
        <v>0</v>
      </c>
      <c r="E77">
        <f t="shared" si="18"/>
        <v>0</v>
      </c>
      <c r="F77" s="124" t="str">
        <f t="shared" ref="F77:F87" si="21">IF(Q77="Available","Available","Taken")</f>
        <v>Available</v>
      </c>
      <c r="H77" t="s">
        <v>761</v>
      </c>
      <c r="I77">
        <v>0</v>
      </c>
      <c r="J77">
        <v>-6</v>
      </c>
      <c r="M77" t="s">
        <v>762</v>
      </c>
      <c r="N77" s="124" t="str">
        <f>IF(ISNA(VLOOKUP(H77,GameLog!$U$2:$Z$2999,6,0)),"Available",VLOOKUP(H77,GameLog!$U$2:$Z$2999,6,0))</f>
        <v>Available</v>
      </c>
      <c r="O77" s="124" t="str">
        <f>IF(ISNA(VLOOKUP(H77,GameLog!$U$2:$AA$2999,7,0)),"Available",VLOOKUP(H77,GameLog!$U$2:$AA$2999,7,0))</f>
        <v>Available</v>
      </c>
      <c r="P77" s="124" t="str">
        <f>IF(N77="Available","Available",IF(VLOOKUP(N77,Setup!$L:$N,3,0)="Dead","Available",VLOOKUP(N77,Setup!$L:$N,3,0)))</f>
        <v>Available</v>
      </c>
      <c r="Q77" s="124" t="str">
        <f>IF(ISNA(IF(O77="Available","Available",IF(VLOOKUP(O77,Setup!$L:$N,3,0)="Dead","Available",VLOOKUP(O77,Setup!$L:$N,3,0)))),"",IF(O77="Available","Available",IF(VLOOKUP(O77,Setup!$L:$N,3,0)="Dead","Available",VLOOKUP(O77,Setup!$L:$N,3,0))))</f>
        <v>Available</v>
      </c>
      <c r="R77">
        <f t="shared" ref="R77:R87" si="22">COUNTIF($R$4:$S$5,N77)</f>
        <v>0</v>
      </c>
      <c r="S77">
        <f t="shared" ref="S77:S87" si="23">COUNTIF($R$4:$S$5,O77)</f>
        <v>0</v>
      </c>
      <c r="T77" t="str">
        <f t="shared" ref="T77:T87" si="24">IF(R77=1,LEFT(N77,3),IF(S77=1,LEFT(O77,3),""))</f>
        <v/>
      </c>
      <c r="U77" s="194" t="str">
        <f t="shared" ref="U77:U87" si="25">IF($T77="PL1",I77,"")</f>
        <v/>
      </c>
      <c r="V77" s="194" t="str">
        <f t="shared" ref="V77:V87" si="26">IF($T77="PL1",J77,"")</f>
        <v/>
      </c>
      <c r="W77" s="194" t="str">
        <f t="shared" ref="W77:W87" si="27">IF($T77="PL1",K77,"")</f>
        <v/>
      </c>
      <c r="X77" s="194" t="str">
        <f t="shared" ref="X77:X87" si="28">IF($T77="PL1",L77,"")</f>
        <v/>
      </c>
      <c r="Y77" s="183" t="str">
        <f t="shared" ref="Y77:Y87" si="29">IF($T77="PL2",I77,"")</f>
        <v/>
      </c>
      <c r="Z77" s="183" t="str">
        <f t="shared" ref="Z77:Z87" si="30">IF($T77="PL2",J77,"")</f>
        <v/>
      </c>
      <c r="AA77" s="183" t="str">
        <f t="shared" ref="AA77:AA87" si="31">IF($T77="PL2",K77,"")</f>
        <v/>
      </c>
      <c r="AB77" s="183" t="str">
        <f t="shared" ref="AB77:AB87" si="32">IF($T77="PL2",L77,"")</f>
        <v/>
      </c>
    </row>
    <row r="78" spans="1:28" x14ac:dyDescent="0.25">
      <c r="A78" s="144">
        <v>67</v>
      </c>
      <c r="B78" s="124">
        <f t="shared" si="20"/>
        <v>67</v>
      </c>
      <c r="D78">
        <f t="shared" ref="D78:D87" si="33">IF(T78="PL1",1+D77,D77)</f>
        <v>0</v>
      </c>
      <c r="E78">
        <f t="shared" ref="E78:E87" si="34">IF(T78="PL2",1+E77,E77)</f>
        <v>0</v>
      </c>
      <c r="F78" s="124" t="str">
        <f t="shared" si="21"/>
        <v>Available</v>
      </c>
      <c r="H78" t="s">
        <v>763</v>
      </c>
      <c r="I78">
        <v>-1</v>
      </c>
      <c r="J78">
        <v>7</v>
      </c>
      <c r="M78" t="s">
        <v>764</v>
      </c>
      <c r="N78" s="124" t="str">
        <f>IF(ISNA(VLOOKUP(H78,GameLog!$U$2:$Z$2999,6,0)),"Available",VLOOKUP(H78,GameLog!$U$2:$Z$2999,6,0))</f>
        <v>Available</v>
      </c>
      <c r="O78" s="124" t="str">
        <f>IF(ISNA(VLOOKUP(H78,GameLog!$U$2:$AA$2999,7,0)),"Available",VLOOKUP(H78,GameLog!$U$2:$AA$2999,7,0))</f>
        <v>Available</v>
      </c>
      <c r="P78" s="124" t="str">
        <f>IF(N78="Available","Available",IF(VLOOKUP(N78,Setup!$L:$N,3,0)="Dead","Available",VLOOKUP(N78,Setup!$L:$N,3,0)))</f>
        <v>Available</v>
      </c>
      <c r="Q78" s="124" t="str">
        <f>IF(ISNA(IF(O78="Available","Available",IF(VLOOKUP(O78,Setup!$L:$N,3,0)="Dead","Available",VLOOKUP(O78,Setup!$L:$N,3,0)))),"",IF(O78="Available","Available",IF(VLOOKUP(O78,Setup!$L:$N,3,0)="Dead","Available",VLOOKUP(O78,Setup!$L:$N,3,0))))</f>
        <v>Available</v>
      </c>
      <c r="R78">
        <f t="shared" si="22"/>
        <v>0</v>
      </c>
      <c r="S78">
        <f t="shared" si="23"/>
        <v>0</v>
      </c>
      <c r="T78" t="str">
        <f t="shared" si="24"/>
        <v/>
      </c>
      <c r="U78" s="194" t="str">
        <f t="shared" si="25"/>
        <v/>
      </c>
      <c r="V78" s="194" t="str">
        <f t="shared" si="26"/>
        <v/>
      </c>
      <c r="W78" s="194" t="str">
        <f t="shared" si="27"/>
        <v/>
      </c>
      <c r="X78" s="194" t="str">
        <f t="shared" si="28"/>
        <v/>
      </c>
      <c r="Y78" s="183" t="str">
        <f t="shared" si="29"/>
        <v/>
      </c>
      <c r="Z78" s="183" t="str">
        <f t="shared" si="30"/>
        <v/>
      </c>
      <c r="AA78" s="183" t="str">
        <f t="shared" si="31"/>
        <v/>
      </c>
      <c r="AB78" s="183" t="str">
        <f t="shared" si="32"/>
        <v/>
      </c>
    </row>
    <row r="79" spans="1:28" x14ac:dyDescent="0.25">
      <c r="A79" s="144">
        <v>68</v>
      </c>
      <c r="B79" s="124">
        <f t="shared" si="20"/>
        <v>68</v>
      </c>
      <c r="D79">
        <f t="shared" si="33"/>
        <v>0</v>
      </c>
      <c r="E79">
        <f t="shared" si="34"/>
        <v>0</v>
      </c>
      <c r="F79" s="124" t="str">
        <f t="shared" si="21"/>
        <v>Available</v>
      </c>
      <c r="H79" t="s">
        <v>765</v>
      </c>
      <c r="I79">
        <v>3</v>
      </c>
      <c r="J79">
        <v>-8</v>
      </c>
      <c r="M79" t="s">
        <v>766</v>
      </c>
      <c r="N79" s="124" t="str">
        <f>IF(ISNA(VLOOKUP(H79,GameLog!$U$2:$Z$2999,6,0)),"Available",VLOOKUP(H79,GameLog!$U$2:$Z$2999,6,0))</f>
        <v>Available</v>
      </c>
      <c r="O79" s="124" t="str">
        <f>IF(ISNA(VLOOKUP(H79,GameLog!$U$2:$AA$2999,7,0)),"Available",VLOOKUP(H79,GameLog!$U$2:$AA$2999,7,0))</f>
        <v>Available</v>
      </c>
      <c r="P79" s="124" t="str">
        <f>IF(N79="Available","Available",IF(VLOOKUP(N79,Setup!$L:$N,3,0)="Dead","Available",VLOOKUP(N79,Setup!$L:$N,3,0)))</f>
        <v>Available</v>
      </c>
      <c r="Q79" s="124" t="str">
        <f>IF(ISNA(IF(O79="Available","Available",IF(VLOOKUP(O79,Setup!$L:$N,3,0)="Dead","Available",VLOOKUP(O79,Setup!$L:$N,3,0)))),"",IF(O79="Available","Available",IF(VLOOKUP(O79,Setup!$L:$N,3,0)="Dead","Available",VLOOKUP(O79,Setup!$L:$N,3,0))))</f>
        <v>Available</v>
      </c>
      <c r="R79">
        <f t="shared" si="22"/>
        <v>0</v>
      </c>
      <c r="S79">
        <f t="shared" si="23"/>
        <v>0</v>
      </c>
      <c r="T79" t="str">
        <f t="shared" si="24"/>
        <v/>
      </c>
      <c r="U79" s="194" t="str">
        <f t="shared" si="25"/>
        <v/>
      </c>
      <c r="V79" s="194" t="str">
        <f t="shared" si="26"/>
        <v/>
      </c>
      <c r="W79" s="194" t="str">
        <f t="shared" si="27"/>
        <v/>
      </c>
      <c r="X79" s="194" t="str">
        <f t="shared" si="28"/>
        <v/>
      </c>
      <c r="Y79" s="183" t="str">
        <f t="shared" si="29"/>
        <v/>
      </c>
      <c r="Z79" s="183" t="str">
        <f t="shared" si="30"/>
        <v/>
      </c>
      <c r="AA79" s="183" t="str">
        <f t="shared" si="31"/>
        <v/>
      </c>
      <c r="AB79" s="183" t="str">
        <f t="shared" si="32"/>
        <v/>
      </c>
    </row>
    <row r="80" spans="1:28" x14ac:dyDescent="0.25">
      <c r="A80" s="144">
        <v>69</v>
      </c>
      <c r="B80" s="124">
        <f t="shared" si="20"/>
        <v>69</v>
      </c>
      <c r="D80">
        <f t="shared" si="33"/>
        <v>0</v>
      </c>
      <c r="E80">
        <f t="shared" si="34"/>
        <v>0</v>
      </c>
      <c r="F80" s="124" t="str">
        <f t="shared" si="21"/>
        <v>Available</v>
      </c>
      <c r="H80" t="s">
        <v>767</v>
      </c>
      <c r="I80">
        <v>3</v>
      </c>
      <c r="J80">
        <v>-4</v>
      </c>
      <c r="M80" t="s">
        <v>768</v>
      </c>
      <c r="N80" s="124" t="str">
        <f>IF(ISNA(VLOOKUP(H80,GameLog!$U$2:$Z$2999,6,0)),"Available",VLOOKUP(H80,GameLog!$U$2:$Z$2999,6,0))</f>
        <v>Available</v>
      </c>
      <c r="O80" s="124" t="str">
        <f>IF(ISNA(VLOOKUP(H80,GameLog!$U$2:$AA$2999,7,0)),"Available",VLOOKUP(H80,GameLog!$U$2:$AA$2999,7,0))</f>
        <v>Available</v>
      </c>
      <c r="P80" s="124" t="str">
        <f>IF(N80="Available","Available",IF(VLOOKUP(N80,Setup!$L:$N,3,0)="Dead","Available",VLOOKUP(N80,Setup!$L:$N,3,0)))</f>
        <v>Available</v>
      </c>
      <c r="Q80" s="124" t="str">
        <f>IF(ISNA(IF(O80="Available","Available",IF(VLOOKUP(O80,Setup!$L:$N,3,0)="Dead","Available",VLOOKUP(O80,Setup!$L:$N,3,0)))),"",IF(O80="Available","Available",IF(VLOOKUP(O80,Setup!$L:$N,3,0)="Dead","Available",VLOOKUP(O80,Setup!$L:$N,3,0))))</f>
        <v>Available</v>
      </c>
      <c r="R80">
        <f t="shared" si="22"/>
        <v>0</v>
      </c>
      <c r="S80">
        <f t="shared" si="23"/>
        <v>0</v>
      </c>
      <c r="T80" t="str">
        <f t="shared" si="24"/>
        <v/>
      </c>
      <c r="U80" s="194" t="str">
        <f t="shared" si="25"/>
        <v/>
      </c>
      <c r="V80" s="194" t="str">
        <f t="shared" si="26"/>
        <v/>
      </c>
      <c r="W80" s="194" t="str">
        <f t="shared" si="27"/>
        <v/>
      </c>
      <c r="X80" s="194" t="str">
        <f t="shared" si="28"/>
        <v/>
      </c>
      <c r="Y80" s="183" t="str">
        <f t="shared" si="29"/>
        <v/>
      </c>
      <c r="Z80" s="183" t="str">
        <f t="shared" si="30"/>
        <v/>
      </c>
      <c r="AA80" s="183" t="str">
        <f t="shared" si="31"/>
        <v/>
      </c>
      <c r="AB80" s="183" t="str">
        <f t="shared" si="32"/>
        <v/>
      </c>
    </row>
    <row r="81" spans="1:28" x14ac:dyDescent="0.25">
      <c r="A81" s="144">
        <v>70</v>
      </c>
      <c r="B81" s="124">
        <f t="shared" si="20"/>
        <v>70</v>
      </c>
      <c r="D81">
        <f t="shared" si="33"/>
        <v>0</v>
      </c>
      <c r="E81">
        <f t="shared" si="34"/>
        <v>0</v>
      </c>
      <c r="F81" s="124" t="str">
        <f t="shared" si="21"/>
        <v>Available</v>
      </c>
      <c r="H81" t="s">
        <v>769</v>
      </c>
      <c r="I81">
        <v>0</v>
      </c>
      <c r="J81">
        <v>-2</v>
      </c>
      <c r="M81" t="s">
        <v>770</v>
      </c>
      <c r="N81" s="124" t="str">
        <f>IF(ISNA(VLOOKUP(H81,GameLog!$U$2:$Z$2999,6,0)),"Available",VLOOKUP(H81,GameLog!$U$2:$Z$2999,6,0))</f>
        <v>Available</v>
      </c>
      <c r="O81" s="124" t="str">
        <f>IF(ISNA(VLOOKUP(H81,GameLog!$U$2:$AA$2999,7,0)),"Available",VLOOKUP(H81,GameLog!$U$2:$AA$2999,7,0))</f>
        <v>Available</v>
      </c>
      <c r="P81" s="124" t="str">
        <f>IF(N81="Available","Available",IF(VLOOKUP(N81,Setup!$L:$N,3,0)="Dead","Available",VLOOKUP(N81,Setup!$L:$N,3,0)))</f>
        <v>Available</v>
      </c>
      <c r="Q81" s="124" t="str">
        <f>IF(ISNA(IF(O81="Available","Available",IF(VLOOKUP(O81,Setup!$L:$N,3,0)="Dead","Available",VLOOKUP(O81,Setup!$L:$N,3,0)))),"",IF(O81="Available","Available",IF(VLOOKUP(O81,Setup!$L:$N,3,0)="Dead","Available",VLOOKUP(O81,Setup!$L:$N,3,0))))</f>
        <v>Available</v>
      </c>
      <c r="R81">
        <f t="shared" si="22"/>
        <v>0</v>
      </c>
      <c r="S81">
        <f t="shared" si="23"/>
        <v>0</v>
      </c>
      <c r="T81" t="str">
        <f t="shared" si="24"/>
        <v/>
      </c>
      <c r="U81" s="194" t="str">
        <f t="shared" si="25"/>
        <v/>
      </c>
      <c r="V81" s="194" t="str">
        <f t="shared" si="26"/>
        <v/>
      </c>
      <c r="W81" s="194" t="str">
        <f t="shared" si="27"/>
        <v/>
      </c>
      <c r="X81" s="194" t="str">
        <f t="shared" si="28"/>
        <v/>
      </c>
      <c r="Y81" s="183" t="str">
        <f t="shared" si="29"/>
        <v/>
      </c>
      <c r="Z81" s="183" t="str">
        <f t="shared" si="30"/>
        <v/>
      </c>
      <c r="AA81" s="183" t="str">
        <f t="shared" si="31"/>
        <v/>
      </c>
      <c r="AB81" s="183" t="str">
        <f t="shared" si="32"/>
        <v/>
      </c>
    </row>
    <row r="82" spans="1:28" x14ac:dyDescent="0.25">
      <c r="A82" s="144">
        <v>71</v>
      </c>
      <c r="B82" s="124">
        <f t="shared" si="20"/>
        <v>71</v>
      </c>
      <c r="D82">
        <f t="shared" si="33"/>
        <v>0</v>
      </c>
      <c r="E82">
        <f t="shared" si="34"/>
        <v>0</v>
      </c>
      <c r="F82" s="124" t="str">
        <f t="shared" si="21"/>
        <v>Available</v>
      </c>
      <c r="H82" t="s">
        <v>771</v>
      </c>
      <c r="I82">
        <v>2</v>
      </c>
      <c r="J82">
        <v>-5</v>
      </c>
      <c r="M82" t="s">
        <v>772</v>
      </c>
      <c r="N82" s="124" t="str">
        <f>IF(ISNA(VLOOKUP(H82,GameLog!$U$2:$Z$2999,6,0)),"Available",VLOOKUP(H82,GameLog!$U$2:$Z$2999,6,0))</f>
        <v>Available</v>
      </c>
      <c r="O82" s="124" t="str">
        <f>IF(ISNA(VLOOKUP(H82,GameLog!$U$2:$AA$2999,7,0)),"Available",VLOOKUP(H82,GameLog!$U$2:$AA$2999,7,0))</f>
        <v>Available</v>
      </c>
      <c r="P82" s="124" t="str">
        <f>IF(N82="Available","Available",IF(VLOOKUP(N82,Setup!$L:$N,3,0)="Dead","Available",VLOOKUP(N82,Setup!$L:$N,3,0)))</f>
        <v>Available</v>
      </c>
      <c r="Q82" s="124" t="str">
        <f>IF(ISNA(IF(O82="Available","Available",IF(VLOOKUP(O82,Setup!$L:$N,3,0)="Dead","Available",VLOOKUP(O82,Setup!$L:$N,3,0)))),"",IF(O82="Available","Available",IF(VLOOKUP(O82,Setup!$L:$N,3,0)="Dead","Available",VLOOKUP(O82,Setup!$L:$N,3,0))))</f>
        <v>Available</v>
      </c>
      <c r="R82">
        <f t="shared" si="22"/>
        <v>0</v>
      </c>
      <c r="S82">
        <f t="shared" si="23"/>
        <v>0</v>
      </c>
      <c r="T82" t="str">
        <f t="shared" si="24"/>
        <v/>
      </c>
      <c r="U82" s="194" t="str">
        <f t="shared" si="25"/>
        <v/>
      </c>
      <c r="V82" s="194" t="str">
        <f t="shared" si="26"/>
        <v/>
      </c>
      <c r="W82" s="194" t="str">
        <f t="shared" si="27"/>
        <v/>
      </c>
      <c r="X82" s="194" t="str">
        <f t="shared" si="28"/>
        <v/>
      </c>
      <c r="Y82" s="183" t="str">
        <f t="shared" si="29"/>
        <v/>
      </c>
      <c r="Z82" s="183" t="str">
        <f t="shared" si="30"/>
        <v/>
      </c>
      <c r="AA82" s="183" t="str">
        <f t="shared" si="31"/>
        <v/>
      </c>
      <c r="AB82" s="183" t="str">
        <f t="shared" si="32"/>
        <v/>
      </c>
    </row>
    <row r="83" spans="1:28" x14ac:dyDescent="0.25">
      <c r="A83" s="144">
        <v>72</v>
      </c>
      <c r="B83" s="124">
        <f t="shared" si="20"/>
        <v>72</v>
      </c>
      <c r="D83">
        <f t="shared" si="33"/>
        <v>0</v>
      </c>
      <c r="E83">
        <f t="shared" si="34"/>
        <v>0</v>
      </c>
      <c r="F83" s="124" t="str">
        <f t="shared" si="21"/>
        <v>Available</v>
      </c>
      <c r="H83" t="s">
        <v>773</v>
      </c>
      <c r="I83">
        <v>1</v>
      </c>
      <c r="J83">
        <v>-4</v>
      </c>
      <c r="M83" t="s">
        <v>774</v>
      </c>
      <c r="N83" s="124" t="str">
        <f>IF(ISNA(VLOOKUP(H83,GameLog!$U$2:$Z$2999,6,0)),"Available",VLOOKUP(H83,GameLog!$U$2:$Z$2999,6,0))</f>
        <v>Available</v>
      </c>
      <c r="O83" s="124" t="str">
        <f>IF(ISNA(VLOOKUP(H83,GameLog!$U$2:$AA$2999,7,0)),"Available",VLOOKUP(H83,GameLog!$U$2:$AA$2999,7,0))</f>
        <v>Available</v>
      </c>
      <c r="P83" s="124" t="str">
        <f>IF(N83="Available","Available",IF(VLOOKUP(N83,Setup!$L:$N,3,0)="Dead","Available",VLOOKUP(N83,Setup!$L:$N,3,0)))</f>
        <v>Available</v>
      </c>
      <c r="Q83" s="124" t="str">
        <f>IF(ISNA(IF(O83="Available","Available",IF(VLOOKUP(O83,Setup!$L:$N,3,0)="Dead","Available",VLOOKUP(O83,Setup!$L:$N,3,0)))),"",IF(O83="Available","Available",IF(VLOOKUP(O83,Setup!$L:$N,3,0)="Dead","Available",VLOOKUP(O83,Setup!$L:$N,3,0))))</f>
        <v>Available</v>
      </c>
      <c r="R83">
        <f t="shared" si="22"/>
        <v>0</v>
      </c>
      <c r="S83">
        <f t="shared" si="23"/>
        <v>0</v>
      </c>
      <c r="T83" t="str">
        <f t="shared" si="24"/>
        <v/>
      </c>
      <c r="U83" s="194" t="str">
        <f t="shared" si="25"/>
        <v/>
      </c>
      <c r="V83" s="194" t="str">
        <f t="shared" si="26"/>
        <v/>
      </c>
      <c r="W83" s="194" t="str">
        <f t="shared" si="27"/>
        <v/>
      </c>
      <c r="X83" s="194" t="str">
        <f t="shared" si="28"/>
        <v/>
      </c>
      <c r="Y83" s="183" t="str">
        <f t="shared" si="29"/>
        <v/>
      </c>
      <c r="Z83" s="183" t="str">
        <f t="shared" si="30"/>
        <v/>
      </c>
      <c r="AA83" s="183" t="str">
        <f t="shared" si="31"/>
        <v/>
      </c>
      <c r="AB83" s="183" t="str">
        <f t="shared" si="32"/>
        <v/>
      </c>
    </row>
    <row r="84" spans="1:28" x14ac:dyDescent="0.25">
      <c r="A84" s="144">
        <v>73</v>
      </c>
      <c r="B84" s="124">
        <f t="shared" si="20"/>
        <v>73</v>
      </c>
      <c r="D84">
        <f t="shared" si="33"/>
        <v>0</v>
      </c>
      <c r="E84">
        <f t="shared" si="34"/>
        <v>0</v>
      </c>
      <c r="F84" s="124" t="str">
        <f t="shared" si="21"/>
        <v>Available</v>
      </c>
      <c r="H84" t="s">
        <v>775</v>
      </c>
      <c r="I84">
        <v>-1</v>
      </c>
      <c r="J84">
        <v>10</v>
      </c>
      <c r="M84" t="s">
        <v>776</v>
      </c>
      <c r="N84" s="124" t="str">
        <f>IF(ISNA(VLOOKUP(H84,GameLog!$U$2:$Z$2999,6,0)),"Available",VLOOKUP(H84,GameLog!$U$2:$Z$2999,6,0))</f>
        <v>Available</v>
      </c>
      <c r="O84" s="124" t="str">
        <f>IF(ISNA(VLOOKUP(H84,GameLog!$U$2:$AA$2999,7,0)),"Available",VLOOKUP(H84,GameLog!$U$2:$AA$2999,7,0))</f>
        <v>Available</v>
      </c>
      <c r="P84" s="124" t="str">
        <f>IF(N84="Available","Available",IF(VLOOKUP(N84,Setup!$L:$N,3,0)="Dead","Available",VLOOKUP(N84,Setup!$L:$N,3,0)))</f>
        <v>Available</v>
      </c>
      <c r="Q84" s="124" t="str">
        <f>IF(ISNA(IF(O84="Available","Available",IF(VLOOKUP(O84,Setup!$L:$N,3,0)="Dead","Available",VLOOKUP(O84,Setup!$L:$N,3,0)))),"",IF(O84="Available","Available",IF(VLOOKUP(O84,Setup!$L:$N,3,0)="Dead","Available",VLOOKUP(O84,Setup!$L:$N,3,0))))</f>
        <v>Available</v>
      </c>
      <c r="R84">
        <f t="shared" si="22"/>
        <v>0</v>
      </c>
      <c r="S84">
        <f t="shared" si="23"/>
        <v>0</v>
      </c>
      <c r="T84" t="str">
        <f t="shared" si="24"/>
        <v/>
      </c>
      <c r="U84" s="194" t="str">
        <f t="shared" si="25"/>
        <v/>
      </c>
      <c r="V84" s="194" t="str">
        <f t="shared" si="26"/>
        <v/>
      </c>
      <c r="W84" s="194" t="str">
        <f t="shared" si="27"/>
        <v/>
      </c>
      <c r="X84" s="194" t="str">
        <f t="shared" si="28"/>
        <v/>
      </c>
      <c r="Y84" s="183" t="str">
        <f t="shared" si="29"/>
        <v/>
      </c>
      <c r="Z84" s="183" t="str">
        <f t="shared" si="30"/>
        <v/>
      </c>
      <c r="AA84" s="183" t="str">
        <f t="shared" si="31"/>
        <v/>
      </c>
      <c r="AB84" s="183" t="str">
        <f t="shared" si="32"/>
        <v/>
      </c>
    </row>
    <row r="85" spans="1:28" x14ac:dyDescent="0.25">
      <c r="A85" s="144">
        <v>74</v>
      </c>
      <c r="B85" s="124">
        <f t="shared" si="20"/>
        <v>74</v>
      </c>
      <c r="D85">
        <f t="shared" si="33"/>
        <v>0</v>
      </c>
      <c r="E85">
        <f t="shared" si="34"/>
        <v>0</v>
      </c>
      <c r="F85" s="124" t="str">
        <f t="shared" si="21"/>
        <v>Available</v>
      </c>
      <c r="H85" t="s">
        <v>777</v>
      </c>
      <c r="I85">
        <v>0</v>
      </c>
      <c r="J85">
        <v>2</v>
      </c>
      <c r="M85" t="s">
        <v>778</v>
      </c>
      <c r="N85" s="124" t="str">
        <f>IF(ISNA(VLOOKUP(H85,GameLog!$U$2:$Z$2999,6,0)),"Available",VLOOKUP(H85,GameLog!$U$2:$Z$2999,6,0))</f>
        <v>Available</v>
      </c>
      <c r="O85" s="124" t="str">
        <f>IF(ISNA(VLOOKUP(H85,GameLog!$U$2:$AA$2999,7,0)),"Available",VLOOKUP(H85,GameLog!$U$2:$AA$2999,7,0))</f>
        <v>Available</v>
      </c>
      <c r="P85" s="124" t="str">
        <f>IF(N85="Available","Available",IF(VLOOKUP(N85,Setup!$L:$N,3,0)="Dead","Available",VLOOKUP(N85,Setup!$L:$N,3,0)))</f>
        <v>Available</v>
      </c>
      <c r="Q85" s="124" t="str">
        <f>IF(ISNA(IF(O85="Available","Available",IF(VLOOKUP(O85,Setup!$L:$N,3,0)="Dead","Available",VLOOKUP(O85,Setup!$L:$N,3,0)))),"",IF(O85="Available","Available",IF(VLOOKUP(O85,Setup!$L:$N,3,0)="Dead","Available",VLOOKUP(O85,Setup!$L:$N,3,0))))</f>
        <v>Available</v>
      </c>
      <c r="R85">
        <f t="shared" si="22"/>
        <v>0</v>
      </c>
      <c r="S85">
        <f t="shared" si="23"/>
        <v>0</v>
      </c>
      <c r="T85" t="str">
        <f t="shared" si="24"/>
        <v/>
      </c>
      <c r="U85" s="194" t="str">
        <f t="shared" si="25"/>
        <v/>
      </c>
      <c r="V85" s="194" t="str">
        <f t="shared" si="26"/>
        <v/>
      </c>
      <c r="W85" s="194" t="str">
        <f t="shared" si="27"/>
        <v/>
      </c>
      <c r="X85" s="194" t="str">
        <f t="shared" si="28"/>
        <v/>
      </c>
      <c r="Y85" s="183" t="str">
        <f t="shared" si="29"/>
        <v/>
      </c>
      <c r="Z85" s="183" t="str">
        <f t="shared" si="30"/>
        <v/>
      </c>
      <c r="AA85" s="183" t="str">
        <f t="shared" si="31"/>
        <v/>
      </c>
      <c r="AB85" s="183" t="str">
        <f t="shared" si="32"/>
        <v/>
      </c>
    </row>
    <row r="86" spans="1:28" x14ac:dyDescent="0.25">
      <c r="A86" s="144">
        <v>75</v>
      </c>
      <c r="B86" s="124">
        <f t="shared" si="20"/>
        <v>75</v>
      </c>
      <c r="D86">
        <f t="shared" si="33"/>
        <v>0</v>
      </c>
      <c r="E86">
        <f t="shared" si="34"/>
        <v>0</v>
      </c>
      <c r="F86" s="124" t="str">
        <f t="shared" si="21"/>
        <v>Available</v>
      </c>
      <c r="H86" t="s">
        <v>779</v>
      </c>
      <c r="I86">
        <v>2</v>
      </c>
      <c r="J86">
        <v>-3</v>
      </c>
      <c r="M86" t="s">
        <v>780</v>
      </c>
      <c r="N86" s="124" t="str">
        <f>IF(ISNA(VLOOKUP(H86,GameLog!$U$2:$Z$2999,6,0)),"Available",VLOOKUP(H86,GameLog!$U$2:$Z$2999,6,0))</f>
        <v>Available</v>
      </c>
      <c r="O86" s="124" t="str">
        <f>IF(ISNA(VLOOKUP(H86,GameLog!$U$2:$AA$2999,7,0)),"Available",VLOOKUP(H86,GameLog!$U$2:$AA$2999,7,0))</f>
        <v>Available</v>
      </c>
      <c r="P86" s="124" t="str">
        <f>IF(N86="Available","Available",IF(VLOOKUP(N86,Setup!$L:$N,3,0)="Dead","Available",VLOOKUP(N86,Setup!$L:$N,3,0)))</f>
        <v>Available</v>
      </c>
      <c r="Q86" s="124" t="str">
        <f>IF(ISNA(IF(O86="Available","Available",IF(VLOOKUP(O86,Setup!$L:$N,3,0)="Dead","Available",VLOOKUP(O86,Setup!$L:$N,3,0)))),"",IF(O86="Available","Available",IF(VLOOKUP(O86,Setup!$L:$N,3,0)="Dead","Available",VLOOKUP(O86,Setup!$L:$N,3,0))))</f>
        <v>Available</v>
      </c>
      <c r="R86">
        <f t="shared" si="22"/>
        <v>0</v>
      </c>
      <c r="S86">
        <f t="shared" si="23"/>
        <v>0</v>
      </c>
      <c r="T86" t="str">
        <f t="shared" si="24"/>
        <v/>
      </c>
      <c r="U86" s="194" t="str">
        <f t="shared" si="25"/>
        <v/>
      </c>
      <c r="V86" s="194" t="str">
        <f t="shared" si="26"/>
        <v/>
      </c>
      <c r="W86" s="194" t="str">
        <f t="shared" si="27"/>
        <v/>
      </c>
      <c r="X86" s="194" t="str">
        <f t="shared" si="28"/>
        <v/>
      </c>
      <c r="Y86" s="183" t="str">
        <f t="shared" si="29"/>
        <v/>
      </c>
      <c r="Z86" s="183" t="str">
        <f t="shared" si="30"/>
        <v/>
      </c>
      <c r="AA86" s="183" t="str">
        <f t="shared" si="31"/>
        <v/>
      </c>
      <c r="AB86" s="183" t="str">
        <f t="shared" si="32"/>
        <v/>
      </c>
    </row>
    <row r="87" spans="1:28" x14ac:dyDescent="0.25">
      <c r="A87" s="144">
        <v>76</v>
      </c>
      <c r="B87" s="124">
        <f t="shared" si="20"/>
        <v>76</v>
      </c>
      <c r="D87">
        <f t="shared" si="33"/>
        <v>0</v>
      </c>
      <c r="E87">
        <f t="shared" si="34"/>
        <v>0</v>
      </c>
      <c r="F87" s="124" t="str">
        <f t="shared" si="21"/>
        <v>Available</v>
      </c>
      <c r="H87" t="s">
        <v>781</v>
      </c>
      <c r="I87">
        <v>1</v>
      </c>
      <c r="J87">
        <v>3</v>
      </c>
      <c r="M87" t="s">
        <v>782</v>
      </c>
      <c r="N87" s="124" t="str">
        <f>IF(ISNA(VLOOKUP(H87,GameLog!$U$2:$Z$2999,6,0)),"Available",VLOOKUP(H87,GameLog!$U$2:$Z$2999,6,0))</f>
        <v>Available</v>
      </c>
      <c r="O87" s="124" t="str">
        <f>IF(ISNA(VLOOKUP(H87,GameLog!$U$2:$AA$2999,7,0)),"Available",VLOOKUP(H87,GameLog!$U$2:$AA$2999,7,0))</f>
        <v>Available</v>
      </c>
      <c r="P87" s="124" t="str">
        <f>IF(N87="Available","Available",IF(VLOOKUP(N87,Setup!$L:$N,3,0)="Dead","Available",VLOOKUP(N87,Setup!$L:$N,3,0)))</f>
        <v>Available</v>
      </c>
      <c r="Q87" s="124" t="str">
        <f>IF(ISNA(IF(O87="Available","Available",IF(VLOOKUP(O87,Setup!$L:$N,3,0)="Dead","Available",VLOOKUP(O87,Setup!$L:$N,3,0)))),"",IF(O87="Available","Available",IF(VLOOKUP(O87,Setup!$L:$N,3,0)="Dead","Available",VLOOKUP(O87,Setup!$L:$N,3,0))))</f>
        <v>Available</v>
      </c>
      <c r="R87">
        <f t="shared" si="22"/>
        <v>0</v>
      </c>
      <c r="S87">
        <f t="shared" si="23"/>
        <v>0</v>
      </c>
      <c r="T87" t="str">
        <f t="shared" si="24"/>
        <v/>
      </c>
      <c r="U87" s="194" t="str">
        <f t="shared" si="25"/>
        <v/>
      </c>
      <c r="V87" s="194" t="str">
        <f t="shared" si="26"/>
        <v/>
      </c>
      <c r="W87" s="194" t="str">
        <f t="shared" si="27"/>
        <v/>
      </c>
      <c r="X87" s="194" t="str">
        <f t="shared" si="28"/>
        <v/>
      </c>
      <c r="Y87" s="183" t="str">
        <f t="shared" si="29"/>
        <v/>
      </c>
      <c r="Z87" s="183" t="str">
        <f t="shared" si="30"/>
        <v/>
      </c>
      <c r="AA87" s="183" t="str">
        <f t="shared" si="31"/>
        <v/>
      </c>
      <c r="AB87" s="183" t="str">
        <f t="shared" si="32"/>
        <v/>
      </c>
    </row>
    <row r="88" spans="1:28" s="1" customFormat="1"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BV50"/>
  <sheetViews>
    <sheetView showGridLines="0" workbookViewId="0">
      <selection activeCell="AX38" sqref="AX38"/>
    </sheetView>
  </sheetViews>
  <sheetFormatPr defaultColWidth="3.7109375" defaultRowHeight="15" x14ac:dyDescent="0.25"/>
  <cols>
    <col min="1" max="1" width="4.7109375" style="10" customWidth="1"/>
    <col min="2" max="16384" width="3.7109375" style="10"/>
  </cols>
  <sheetData>
    <row r="1" spans="2:74" ht="21.75" customHeight="1" x14ac:dyDescent="0.25">
      <c r="BU1" s="10">
        <f>Setup!AC48</f>
        <v>0</v>
      </c>
      <c r="BV1" s="10" t="s">
        <v>1507</v>
      </c>
    </row>
    <row r="2" spans="2:74" x14ac:dyDescent="0.25">
      <c r="B2" s="202"/>
      <c r="C2" s="205"/>
      <c r="D2" s="202"/>
      <c r="E2" s="205"/>
      <c r="F2" s="202"/>
      <c r="G2" s="205"/>
      <c r="H2" s="202"/>
      <c r="I2" s="205"/>
      <c r="J2" s="202"/>
      <c r="K2" s="205"/>
      <c r="L2" s="202"/>
      <c r="M2" s="205"/>
      <c r="N2" s="202"/>
      <c r="O2" s="205"/>
      <c r="P2" s="202"/>
      <c r="Q2" s="205"/>
      <c r="R2" s="202"/>
      <c r="S2" s="204"/>
      <c r="T2" s="205"/>
      <c r="U2" s="204"/>
      <c r="V2" s="205"/>
      <c r="W2" s="206"/>
      <c r="X2" s="202"/>
      <c r="Y2" s="205"/>
      <c r="Z2" s="202"/>
      <c r="AA2" s="205"/>
      <c r="AB2" s="202"/>
      <c r="AC2" s="205"/>
      <c r="AD2" s="202"/>
      <c r="AE2" s="205"/>
      <c r="AF2" s="202"/>
      <c r="AG2" s="205"/>
      <c r="AH2" s="202"/>
      <c r="AI2" s="205"/>
      <c r="AJ2" s="202"/>
      <c r="AK2" s="205"/>
      <c r="AL2" s="202"/>
      <c r="AM2" s="205"/>
      <c r="AN2" s="202"/>
      <c r="AO2" s="205"/>
      <c r="AP2" s="202"/>
      <c r="AQ2" s="205"/>
      <c r="AR2" s="202"/>
      <c r="AS2" s="205"/>
      <c r="AT2" s="202"/>
      <c r="AU2" s="205"/>
      <c r="AV2" s="202"/>
      <c r="AW2" s="205"/>
      <c r="AX2" s="202"/>
      <c r="AY2" s="205"/>
      <c r="AZ2" s="202"/>
      <c r="BA2" s="205"/>
      <c r="BB2" s="205"/>
      <c r="BC2" s="202"/>
      <c r="BD2" s="205"/>
      <c r="BE2" s="202"/>
      <c r="BF2" s="205"/>
      <c r="BG2" s="202"/>
      <c r="BH2" s="205"/>
      <c r="BI2" s="202"/>
      <c r="BU2" s="10">
        <f>Setup!AC49</f>
        <v>0</v>
      </c>
      <c r="BV2" s="10" t="s">
        <v>1511</v>
      </c>
    </row>
    <row r="3" spans="2:74" x14ac:dyDescent="0.25">
      <c r="B3" s="202"/>
      <c r="C3" s="205"/>
      <c r="D3" s="202"/>
      <c r="E3" s="205"/>
      <c r="F3" s="202"/>
      <c r="G3" s="205"/>
      <c r="H3" s="202"/>
      <c r="I3" s="205"/>
      <c r="J3" s="202"/>
      <c r="K3" s="205"/>
      <c r="L3" s="202"/>
      <c r="M3" s="205"/>
      <c r="N3" s="202"/>
      <c r="O3" s="205"/>
      <c r="P3" s="202"/>
      <c r="Q3" s="205"/>
      <c r="R3" s="202"/>
      <c r="S3" s="204"/>
      <c r="T3" s="205"/>
      <c r="U3" s="204"/>
      <c r="V3" s="205"/>
      <c r="W3" s="206"/>
      <c r="X3" s="202"/>
      <c r="Y3" s="205"/>
      <c r="Z3" s="202"/>
      <c r="AA3" s="205"/>
      <c r="AB3" s="202"/>
      <c r="AC3" s="205"/>
      <c r="AD3" s="202"/>
      <c r="AE3" s="205"/>
      <c r="AF3" s="202"/>
      <c r="AG3" s="205"/>
      <c r="AH3" s="202"/>
      <c r="AI3" s="205"/>
      <c r="AJ3" s="202"/>
      <c r="AK3" s="205"/>
      <c r="AL3" s="202"/>
      <c r="AM3" s="205"/>
      <c r="AN3" s="202"/>
      <c r="AO3" s="205"/>
      <c r="AP3" s="202"/>
      <c r="AQ3" s="205"/>
      <c r="AR3" s="202"/>
      <c r="AS3" s="205"/>
      <c r="AT3" s="202"/>
      <c r="AU3" s="205"/>
      <c r="AV3" s="202"/>
      <c r="AW3" s="205"/>
      <c r="AX3" s="202"/>
      <c r="AY3" s="205"/>
      <c r="AZ3" s="202"/>
      <c r="BA3" s="205"/>
      <c r="BB3" s="205"/>
      <c r="BC3" s="202"/>
      <c r="BD3" s="205"/>
      <c r="BE3" s="202"/>
      <c r="BF3" s="205"/>
      <c r="BG3" s="202"/>
      <c r="BH3" s="205"/>
      <c r="BI3" s="202"/>
      <c r="BU3" s="10" t="str">
        <f>IF(MapReference!AD5="Undecided",IF(Setup!AK7="Override","Decided","Undecided"),"Decided")</f>
        <v>Decided</v>
      </c>
    </row>
    <row r="4" spans="2:74" x14ac:dyDescent="0.25">
      <c r="B4" s="202"/>
      <c r="C4" s="205"/>
      <c r="D4" s="202"/>
      <c r="E4" s="205"/>
      <c r="F4" s="202"/>
      <c r="G4" s="202"/>
      <c r="H4" s="202"/>
      <c r="I4" s="202"/>
      <c r="J4" s="202"/>
      <c r="K4" s="202"/>
      <c r="L4" s="202"/>
      <c r="M4" s="202"/>
      <c r="N4" s="202"/>
      <c r="O4" s="202"/>
      <c r="P4" s="202"/>
      <c r="Q4" s="202"/>
      <c r="R4" s="202"/>
      <c r="S4" s="204"/>
      <c r="T4" s="205"/>
      <c r="U4" s="204"/>
      <c r="V4" s="205"/>
      <c r="W4" s="202"/>
      <c r="X4" s="202"/>
      <c r="Y4" s="202"/>
      <c r="Z4" s="202"/>
      <c r="AA4" s="202"/>
      <c r="AB4" s="202"/>
      <c r="AC4" s="202"/>
      <c r="AD4" s="202"/>
      <c r="AE4" s="202"/>
      <c r="AF4" s="202"/>
      <c r="AG4" s="202"/>
      <c r="AH4" s="202"/>
      <c r="AI4" s="202"/>
      <c r="AJ4" s="202"/>
      <c r="AK4" s="202"/>
      <c r="AL4" s="202"/>
      <c r="AM4" s="202"/>
      <c r="AN4" s="202"/>
      <c r="AO4" s="205"/>
      <c r="AP4" s="202"/>
      <c r="AQ4" s="205"/>
      <c r="AR4" s="202"/>
      <c r="AS4" s="204"/>
      <c r="AT4" s="202"/>
      <c r="AU4" s="202"/>
      <c r="AV4" s="202"/>
      <c r="AW4" s="202"/>
      <c r="AX4" s="202"/>
      <c r="AY4" s="202"/>
      <c r="AZ4" s="202"/>
      <c r="BA4" s="202"/>
      <c r="BB4" s="202"/>
      <c r="BC4" s="202"/>
      <c r="BD4" s="202"/>
      <c r="BE4" s="202"/>
      <c r="BF4" s="205"/>
      <c r="BG4" s="202"/>
      <c r="BH4" s="205"/>
      <c r="BI4" s="202"/>
    </row>
    <row r="5" spans="2:74" x14ac:dyDescent="0.25">
      <c r="B5" s="202"/>
      <c r="C5" s="205"/>
      <c r="D5" s="202"/>
      <c r="E5" s="205"/>
      <c r="F5" s="202"/>
      <c r="H5" s="202"/>
      <c r="J5" s="202"/>
      <c r="L5" s="202"/>
      <c r="N5" s="202"/>
      <c r="P5" s="202"/>
      <c r="R5" s="202"/>
      <c r="S5" s="204"/>
      <c r="T5" s="205"/>
      <c r="U5" s="204"/>
      <c r="V5" s="205"/>
      <c r="X5" s="202"/>
      <c r="Z5" s="202"/>
      <c r="AB5" s="202"/>
      <c r="AD5" s="202"/>
      <c r="AG5" s="202"/>
      <c r="AI5" s="202"/>
      <c r="AK5" s="202"/>
      <c r="AM5" s="202"/>
      <c r="AO5" s="205"/>
      <c r="AP5" s="202"/>
      <c r="AQ5" s="205"/>
      <c r="AR5" s="202"/>
      <c r="AS5" s="204"/>
      <c r="AU5" s="202"/>
      <c r="AW5" s="202"/>
      <c r="AY5" s="202"/>
      <c r="BA5" s="202"/>
      <c r="BC5" s="202"/>
      <c r="BE5" s="202"/>
      <c r="BF5" s="205"/>
      <c r="BG5" s="202"/>
      <c r="BH5" s="205"/>
      <c r="BI5" s="202"/>
    </row>
    <row r="6" spans="2:74" x14ac:dyDescent="0.25">
      <c r="B6" s="202"/>
      <c r="C6" s="205"/>
      <c r="D6" s="202"/>
      <c r="E6" s="205"/>
      <c r="F6" s="202"/>
      <c r="R6" s="202"/>
      <c r="S6" s="204"/>
      <c r="T6" s="205"/>
      <c r="U6" s="204"/>
      <c r="V6" s="205"/>
      <c r="AO6" s="205"/>
      <c r="AP6" s="202"/>
      <c r="AQ6" s="205"/>
      <c r="AR6" s="202"/>
      <c r="AS6" s="204"/>
      <c r="BE6" s="202"/>
      <c r="BF6" s="205"/>
      <c r="BG6" s="202"/>
      <c r="BH6" s="205"/>
      <c r="BI6" s="202"/>
    </row>
    <row r="7" spans="2:74" ht="15" customHeight="1" x14ac:dyDescent="0.25">
      <c r="B7" s="202"/>
      <c r="C7" s="205"/>
      <c r="D7" s="202"/>
      <c r="E7" s="205"/>
      <c r="F7" s="202"/>
      <c r="K7" s="203"/>
      <c r="L7" s="203"/>
      <c r="M7" s="203"/>
      <c r="N7" s="203"/>
      <c r="O7" s="203"/>
      <c r="P7" s="203"/>
      <c r="Q7" s="203"/>
      <c r="R7" s="202"/>
      <c r="S7" s="204"/>
      <c r="T7" s="205"/>
      <c r="U7" s="204"/>
      <c r="V7" s="205"/>
      <c r="W7" s="208"/>
      <c r="X7" s="272" t="e">
        <f>VLOOKUP(BU1,Setup!Z19:AE20,6,0)&amp;" Wins!"</f>
        <v>#N/A</v>
      </c>
      <c r="Y7" s="272"/>
      <c r="Z7" s="272"/>
      <c r="AA7" s="272"/>
      <c r="AB7" s="272"/>
      <c r="AC7" s="272"/>
      <c r="AD7" s="272"/>
      <c r="AE7" s="272"/>
      <c r="AF7" s="272"/>
      <c r="AG7" s="272"/>
      <c r="AH7" s="272"/>
      <c r="AI7" s="272"/>
      <c r="AJ7" s="272"/>
      <c r="AK7" s="272"/>
      <c r="AL7" s="272"/>
      <c r="AM7" s="272"/>
      <c r="AN7" s="208"/>
      <c r="AO7" s="209"/>
      <c r="AP7" s="202"/>
      <c r="AQ7" s="205"/>
      <c r="AR7" s="202"/>
      <c r="AS7" s="204"/>
      <c r="AT7" s="203"/>
      <c r="AU7" s="203"/>
      <c r="AV7" s="203"/>
      <c r="AW7" s="203"/>
      <c r="AX7" s="203"/>
      <c r="AY7" s="203"/>
      <c r="AZ7" s="203"/>
      <c r="BA7" s="203"/>
      <c r="BE7" s="202"/>
      <c r="BF7" s="205"/>
      <c r="BG7" s="202"/>
      <c r="BH7" s="205"/>
      <c r="BI7" s="202"/>
    </row>
    <row r="8" spans="2:74" ht="15" customHeight="1" x14ac:dyDescent="0.25">
      <c r="B8" s="202"/>
      <c r="C8" s="205"/>
      <c r="D8" s="202"/>
      <c r="E8" s="205"/>
      <c r="F8" s="202"/>
      <c r="J8" s="203"/>
      <c r="K8" s="203"/>
      <c r="L8" s="203"/>
      <c r="M8" s="203"/>
      <c r="N8" s="203"/>
      <c r="O8" s="203"/>
      <c r="P8" s="203"/>
      <c r="Q8" s="203"/>
      <c r="R8" s="202"/>
      <c r="S8" s="204"/>
      <c r="T8" s="205"/>
      <c r="U8" s="204"/>
      <c r="V8" s="205"/>
      <c r="W8" s="208"/>
      <c r="X8" s="272"/>
      <c r="Y8" s="272"/>
      <c r="Z8" s="272"/>
      <c r="AA8" s="272"/>
      <c r="AB8" s="272"/>
      <c r="AC8" s="272"/>
      <c r="AD8" s="272"/>
      <c r="AE8" s="272"/>
      <c r="AF8" s="272"/>
      <c r="AG8" s="272"/>
      <c r="AH8" s="272"/>
      <c r="AI8" s="272"/>
      <c r="AJ8" s="272"/>
      <c r="AK8" s="272"/>
      <c r="AL8" s="272"/>
      <c r="AM8" s="272"/>
      <c r="AN8" s="208"/>
      <c r="AO8" s="209"/>
      <c r="AP8" s="202"/>
      <c r="AQ8" s="205"/>
      <c r="AR8" s="202"/>
      <c r="AS8" s="204"/>
      <c r="AT8" s="203"/>
      <c r="AU8" s="203"/>
      <c r="AV8" s="203"/>
      <c r="AW8" s="203"/>
      <c r="AX8" s="203"/>
      <c r="AY8" s="203"/>
      <c r="AZ8" s="203"/>
      <c r="BA8" s="203"/>
      <c r="BE8" s="202"/>
      <c r="BF8" s="205"/>
      <c r="BG8" s="202"/>
      <c r="BH8" s="205"/>
      <c r="BI8" s="202"/>
    </row>
    <row r="9" spans="2:74" ht="15" customHeight="1" x14ac:dyDescent="0.25">
      <c r="B9" s="202"/>
      <c r="C9" s="205"/>
      <c r="D9" s="202"/>
      <c r="E9" s="205"/>
      <c r="F9" s="202"/>
      <c r="J9" s="203"/>
      <c r="K9" s="203"/>
      <c r="L9" s="203"/>
      <c r="M9" s="203"/>
      <c r="N9" s="203"/>
      <c r="O9" s="203"/>
      <c r="P9" s="203"/>
      <c r="Q9" s="203"/>
      <c r="R9" s="202"/>
      <c r="S9" s="204"/>
      <c r="T9" s="205"/>
      <c r="U9" s="204"/>
      <c r="V9" s="205"/>
      <c r="W9" s="208"/>
      <c r="X9" s="272"/>
      <c r="Y9" s="272"/>
      <c r="Z9" s="272"/>
      <c r="AA9" s="272"/>
      <c r="AB9" s="272"/>
      <c r="AC9" s="272"/>
      <c r="AD9" s="272"/>
      <c r="AE9" s="272"/>
      <c r="AF9" s="272"/>
      <c r="AG9" s="272"/>
      <c r="AH9" s="272"/>
      <c r="AI9" s="272"/>
      <c r="AJ9" s="272"/>
      <c r="AK9" s="272"/>
      <c r="AL9" s="272"/>
      <c r="AM9" s="272"/>
      <c r="AN9" s="208"/>
      <c r="AO9" s="209"/>
      <c r="AP9" s="202"/>
      <c r="AQ9" s="205"/>
      <c r="AR9" s="202"/>
      <c r="AS9" s="204"/>
      <c r="AT9" s="203"/>
      <c r="AU9" s="203"/>
      <c r="AV9" s="203"/>
      <c r="AW9" s="203"/>
      <c r="AX9" s="203"/>
      <c r="AY9" s="203"/>
      <c r="AZ9" s="203"/>
      <c r="BA9" s="203"/>
      <c r="BE9" s="202"/>
      <c r="BF9" s="205"/>
      <c r="BG9" s="202"/>
      <c r="BH9" s="205"/>
      <c r="BI9" s="202"/>
    </row>
    <row r="10" spans="2:74" ht="15" customHeight="1" x14ac:dyDescent="0.25">
      <c r="B10" s="202"/>
      <c r="C10" s="205"/>
      <c r="D10" s="202"/>
      <c r="E10" s="205"/>
      <c r="F10" s="202"/>
      <c r="J10" s="203"/>
      <c r="K10" s="203"/>
      <c r="L10" s="203"/>
      <c r="M10" s="203"/>
      <c r="N10" s="203"/>
      <c r="O10" s="203"/>
      <c r="P10" s="203"/>
      <c r="Q10" s="203"/>
      <c r="R10" s="202"/>
      <c r="S10" s="204"/>
      <c r="T10" s="205"/>
      <c r="U10" s="204"/>
      <c r="V10" s="205"/>
      <c r="W10" s="208"/>
      <c r="X10" s="272"/>
      <c r="Y10" s="272"/>
      <c r="Z10" s="272"/>
      <c r="AA10" s="272"/>
      <c r="AB10" s="272"/>
      <c r="AC10" s="272"/>
      <c r="AD10" s="272"/>
      <c r="AE10" s="272"/>
      <c r="AF10" s="272"/>
      <c r="AG10" s="272"/>
      <c r="AH10" s="272"/>
      <c r="AI10" s="272"/>
      <c r="AJ10" s="272"/>
      <c r="AK10" s="272"/>
      <c r="AL10" s="272"/>
      <c r="AM10" s="272"/>
      <c r="AN10" s="208"/>
      <c r="AO10" s="209"/>
      <c r="AP10" s="202"/>
      <c r="AQ10" s="205"/>
      <c r="AR10" s="202"/>
      <c r="AS10" s="204"/>
      <c r="AT10" s="203"/>
      <c r="AU10" s="203"/>
      <c r="AV10" s="203"/>
      <c r="AW10" s="203"/>
      <c r="AX10" s="203"/>
      <c r="AY10" s="203"/>
      <c r="AZ10" s="203"/>
      <c r="BA10" s="203"/>
      <c r="BE10" s="202"/>
      <c r="BF10" s="205"/>
      <c r="BG10" s="202"/>
      <c r="BH10" s="205"/>
      <c r="BI10" s="202"/>
    </row>
    <row r="11" spans="2:74" ht="15" customHeight="1" x14ac:dyDescent="0.25">
      <c r="B11" s="202"/>
      <c r="C11" s="205"/>
      <c r="D11" s="202"/>
      <c r="E11" s="205"/>
      <c r="F11" s="202"/>
      <c r="J11" s="203"/>
      <c r="K11" s="203"/>
      <c r="L11" s="203"/>
      <c r="M11" s="203"/>
      <c r="N11" s="203"/>
      <c r="O11" s="203"/>
      <c r="P11" s="203"/>
      <c r="Q11" s="203"/>
      <c r="R11" s="202"/>
      <c r="S11" s="204"/>
      <c r="T11" s="205"/>
      <c r="U11" s="204"/>
      <c r="V11" s="204"/>
      <c r="W11" s="211"/>
      <c r="X11" s="207"/>
      <c r="Y11" s="203"/>
      <c r="Z11" s="207"/>
      <c r="AA11" s="203"/>
      <c r="AB11" s="207"/>
      <c r="AC11" s="203"/>
      <c r="AD11" s="207"/>
      <c r="AE11" s="203"/>
      <c r="AF11" s="203"/>
      <c r="AG11" s="207"/>
      <c r="AH11" s="203"/>
      <c r="AI11" s="207"/>
      <c r="AJ11" s="203"/>
      <c r="AK11" s="207"/>
      <c r="AL11" s="203"/>
      <c r="AM11" s="207"/>
      <c r="AN11" s="211"/>
      <c r="AO11" s="224"/>
      <c r="AP11" s="202"/>
      <c r="AQ11" s="205"/>
      <c r="AR11" s="202"/>
      <c r="AS11" s="204"/>
      <c r="AT11" s="203"/>
      <c r="AU11" s="203"/>
      <c r="AV11" s="203"/>
      <c r="AW11" s="203"/>
      <c r="AX11" s="203"/>
      <c r="AY11" s="203"/>
      <c r="AZ11" s="203"/>
      <c r="BA11" s="203"/>
      <c r="BE11" s="202"/>
      <c r="BF11" s="205"/>
      <c r="BG11" s="202"/>
      <c r="BH11" s="205"/>
      <c r="BI11" s="202"/>
    </row>
    <row r="12" spans="2:74" ht="15" customHeight="1" x14ac:dyDescent="0.25">
      <c r="B12" s="202"/>
      <c r="C12" s="205"/>
      <c r="D12" s="202"/>
      <c r="E12" s="205"/>
      <c r="F12" s="202"/>
      <c r="J12" s="203"/>
      <c r="K12" s="203"/>
      <c r="L12" s="203"/>
      <c r="M12" s="203"/>
      <c r="N12" s="203"/>
      <c r="O12" s="203"/>
      <c r="P12" s="203"/>
      <c r="Q12" s="203"/>
      <c r="R12" s="202"/>
      <c r="S12" s="204"/>
      <c r="T12" s="205"/>
      <c r="U12" s="204"/>
      <c r="V12" s="204"/>
      <c r="W12" s="211"/>
      <c r="X12" s="203"/>
      <c r="Y12" s="203"/>
      <c r="Z12" s="203"/>
      <c r="AA12" s="203"/>
      <c r="AB12" s="207"/>
      <c r="AC12" s="203"/>
      <c r="AD12" s="203"/>
      <c r="AE12" s="203"/>
      <c r="AF12" s="203"/>
      <c r="AG12" s="203"/>
      <c r="AH12" s="203"/>
      <c r="AI12" s="207"/>
      <c r="AJ12" s="203"/>
      <c r="AK12" s="203"/>
      <c r="AL12" s="203"/>
      <c r="AM12" s="203"/>
      <c r="AN12" s="211"/>
      <c r="AO12" s="224"/>
      <c r="AP12" s="202"/>
      <c r="AQ12" s="205"/>
      <c r="AR12" s="202"/>
      <c r="AS12" s="204"/>
      <c r="AT12" s="203"/>
      <c r="AU12" s="203"/>
      <c r="AV12" s="203"/>
      <c r="AW12" s="203"/>
      <c r="AX12" s="203"/>
      <c r="AY12" s="203"/>
      <c r="AZ12" s="203"/>
      <c r="BA12" s="203"/>
      <c r="BE12" s="202"/>
      <c r="BF12" s="205"/>
      <c r="BG12" s="202"/>
      <c r="BH12" s="205"/>
      <c r="BI12" s="202"/>
    </row>
    <row r="13" spans="2:74" ht="15" customHeight="1" x14ac:dyDescent="0.25">
      <c r="B13" s="202"/>
      <c r="C13" s="205"/>
      <c r="D13" s="202"/>
      <c r="E13" s="205"/>
      <c r="F13" s="202"/>
      <c r="J13" s="203"/>
      <c r="K13" s="203"/>
      <c r="L13" s="203"/>
      <c r="M13" s="203"/>
      <c r="N13" s="203"/>
      <c r="O13" s="203"/>
      <c r="P13" s="203"/>
      <c r="Q13" s="203"/>
      <c r="R13" s="202"/>
      <c r="S13" s="204"/>
      <c r="T13" s="205"/>
      <c r="U13" s="204"/>
      <c r="V13" s="204"/>
      <c r="W13" s="211"/>
      <c r="X13" s="203"/>
      <c r="Y13" s="203"/>
      <c r="Z13" s="203"/>
      <c r="AA13" s="203"/>
      <c r="AB13" s="207"/>
      <c r="AC13" s="203"/>
      <c r="AD13" s="203"/>
      <c r="AE13" s="203"/>
      <c r="AF13" s="203"/>
      <c r="AG13" s="203"/>
      <c r="AH13" s="203"/>
      <c r="AI13" s="207"/>
      <c r="AJ13" s="203"/>
      <c r="AK13" s="203"/>
      <c r="AL13" s="203"/>
      <c r="AM13" s="203"/>
      <c r="AN13" s="211"/>
      <c r="AO13" s="224"/>
      <c r="AP13" s="202"/>
      <c r="AQ13" s="205"/>
      <c r="AR13" s="202"/>
      <c r="AS13" s="204"/>
      <c r="AT13" s="203"/>
      <c r="AU13" s="203"/>
      <c r="AV13" s="203"/>
      <c r="AW13" s="203"/>
      <c r="AX13" s="203"/>
      <c r="AY13" s="203"/>
      <c r="AZ13" s="203"/>
      <c r="BA13" s="203"/>
      <c r="BE13" s="202"/>
      <c r="BF13" s="205"/>
      <c r="BG13" s="202"/>
      <c r="BH13" s="205"/>
      <c r="BI13" s="202"/>
    </row>
    <row r="14" spans="2:74" ht="15" customHeight="1" x14ac:dyDescent="0.25">
      <c r="B14" s="202"/>
      <c r="C14" s="205"/>
      <c r="D14" s="202"/>
      <c r="E14" s="205"/>
      <c r="F14" s="202"/>
      <c r="J14" s="203"/>
      <c r="K14" s="203"/>
      <c r="L14" s="203"/>
      <c r="M14" s="203"/>
      <c r="N14" s="203"/>
      <c r="O14" s="203"/>
      <c r="P14" s="203"/>
      <c r="Q14" s="203"/>
      <c r="R14" s="202"/>
      <c r="S14" s="204"/>
      <c r="T14" s="205"/>
      <c r="U14" s="204"/>
      <c r="V14" s="204"/>
      <c r="W14" s="210"/>
      <c r="X14" s="215"/>
      <c r="Y14" s="210"/>
      <c r="Z14" s="273" t="str">
        <f>COUNTIF(MapReference!AD9:AD50,End!BU1)&amp;IF(COUNTIF(MapReference!AD9:AD50,End!BU1)=1," Team Standing"," Teams Standing")</f>
        <v>0 Teams Standing</v>
      </c>
      <c r="AA14" s="273"/>
      <c r="AB14" s="273"/>
      <c r="AC14" s="273"/>
      <c r="AD14" s="273"/>
      <c r="AE14" s="273"/>
      <c r="AF14" s="273"/>
      <c r="AG14" s="273"/>
      <c r="AH14" s="273"/>
      <c r="AI14" s="273"/>
      <c r="AJ14" s="273"/>
      <c r="AK14" s="273"/>
      <c r="AL14" s="215"/>
      <c r="AM14" s="215"/>
      <c r="AN14" s="225"/>
      <c r="AO14" s="224"/>
      <c r="AP14" s="202"/>
      <c r="AQ14" s="205"/>
      <c r="AR14" s="202"/>
      <c r="AS14" s="204"/>
      <c r="AT14" s="203"/>
      <c r="AU14" s="203"/>
      <c r="AV14" s="203"/>
      <c r="AW14" s="203"/>
      <c r="AX14" s="203"/>
      <c r="AY14" s="203"/>
      <c r="AZ14" s="203"/>
      <c r="BA14" s="203"/>
      <c r="BE14" s="202"/>
      <c r="BF14" s="205"/>
      <c r="BG14" s="202"/>
      <c r="BH14" s="205"/>
      <c r="BI14" s="202"/>
    </row>
    <row r="15" spans="2:74" ht="15" customHeight="1" x14ac:dyDescent="0.25">
      <c r="B15" s="202"/>
      <c r="C15" s="205"/>
      <c r="D15" s="202"/>
      <c r="E15" s="205"/>
      <c r="F15" s="202"/>
      <c r="J15" s="203"/>
      <c r="K15" s="203"/>
      <c r="L15" s="203"/>
      <c r="M15" s="203"/>
      <c r="N15" s="203"/>
      <c r="O15" s="203"/>
      <c r="P15" s="203"/>
      <c r="Q15" s="203"/>
      <c r="R15" s="202"/>
      <c r="S15" s="204"/>
      <c r="T15" s="205"/>
      <c r="U15" s="204"/>
      <c r="V15" s="204"/>
      <c r="W15" s="210"/>
      <c r="X15" s="215"/>
      <c r="Y15" s="210"/>
      <c r="Z15" s="273"/>
      <c r="AA15" s="273"/>
      <c r="AB15" s="273"/>
      <c r="AC15" s="273"/>
      <c r="AD15" s="273"/>
      <c r="AE15" s="273"/>
      <c r="AF15" s="273"/>
      <c r="AG15" s="273"/>
      <c r="AH15" s="273"/>
      <c r="AI15" s="273"/>
      <c r="AJ15" s="273"/>
      <c r="AK15" s="273"/>
      <c r="AL15" s="215"/>
      <c r="AM15" s="215"/>
      <c r="AN15" s="225"/>
      <c r="AO15" s="224"/>
      <c r="AP15" s="202"/>
      <c r="AQ15" s="205"/>
      <c r="AR15" s="202"/>
      <c r="AS15" s="204"/>
      <c r="BE15" s="202"/>
      <c r="BF15" s="205"/>
      <c r="BG15" s="202"/>
      <c r="BH15" s="205"/>
      <c r="BI15" s="202"/>
    </row>
    <row r="16" spans="2:74" ht="15" customHeight="1" x14ac:dyDescent="0.25">
      <c r="B16" s="202"/>
      <c r="C16" s="205"/>
      <c r="D16" s="202"/>
      <c r="E16" s="205"/>
      <c r="F16" s="202"/>
      <c r="G16" s="205"/>
      <c r="H16" s="202"/>
      <c r="I16" s="205"/>
      <c r="J16" s="202"/>
      <c r="K16" s="205"/>
      <c r="L16" s="202"/>
      <c r="M16" s="205"/>
      <c r="N16" s="202"/>
      <c r="O16" s="205"/>
      <c r="P16" s="202"/>
      <c r="Q16" s="205"/>
      <c r="R16" s="202"/>
      <c r="S16" s="204"/>
      <c r="T16" s="205"/>
      <c r="U16" s="204"/>
      <c r="V16" s="204"/>
      <c r="W16" s="210"/>
      <c r="X16" s="215"/>
      <c r="Y16" s="210"/>
      <c r="Z16" s="221"/>
      <c r="AA16" s="217"/>
      <c r="AB16" s="218"/>
      <c r="AC16" s="217"/>
      <c r="AD16" s="217"/>
      <c r="AE16" s="217"/>
      <c r="AF16" s="217"/>
      <c r="AG16" s="217"/>
      <c r="AH16" s="217"/>
      <c r="AI16" s="218"/>
      <c r="AJ16" s="217"/>
      <c r="AK16" s="217"/>
      <c r="AL16" s="215"/>
      <c r="AM16" s="215"/>
      <c r="AN16" s="225"/>
      <c r="AO16" s="224"/>
      <c r="AP16" s="202"/>
      <c r="AQ16" s="205"/>
      <c r="AR16" s="202"/>
      <c r="AS16" s="204"/>
      <c r="AT16" s="205"/>
      <c r="AU16" s="202"/>
      <c r="AV16" s="205"/>
      <c r="AW16" s="202"/>
      <c r="AX16" s="205"/>
      <c r="AY16" s="202"/>
      <c r="AZ16" s="205"/>
      <c r="BA16" s="202"/>
      <c r="BB16" s="205"/>
      <c r="BC16" s="202"/>
      <c r="BD16" s="205"/>
      <c r="BE16" s="202"/>
      <c r="BF16" s="205"/>
      <c r="BG16" s="202"/>
      <c r="BH16" s="205"/>
      <c r="BI16" s="202"/>
    </row>
    <row r="17" spans="2:61" ht="15" customHeight="1" x14ac:dyDescent="0.25">
      <c r="B17" s="202"/>
      <c r="C17" s="205"/>
      <c r="D17" s="202"/>
      <c r="E17" s="205"/>
      <c r="F17" s="202"/>
      <c r="G17" s="205"/>
      <c r="H17" s="202"/>
      <c r="I17" s="205"/>
      <c r="J17" s="202"/>
      <c r="K17" s="205"/>
      <c r="L17" s="202"/>
      <c r="M17" s="205"/>
      <c r="N17" s="202"/>
      <c r="O17" s="205"/>
      <c r="P17" s="202"/>
      <c r="Q17" s="205"/>
      <c r="R17" s="202"/>
      <c r="S17" s="204"/>
      <c r="T17" s="205"/>
      <c r="U17" s="204"/>
      <c r="V17" s="204"/>
      <c r="W17" s="210"/>
      <c r="X17" s="215"/>
      <c r="Y17" s="210"/>
      <c r="Z17" s="273" t="str">
        <f>COUNTIF(GameLog!AF2:AF2999,End!BU1)&amp;" Games Won"</f>
        <v>0 Games Won</v>
      </c>
      <c r="AA17" s="273"/>
      <c r="AB17" s="273"/>
      <c r="AC17" s="273"/>
      <c r="AD17" s="273"/>
      <c r="AE17" s="273"/>
      <c r="AF17" s="273"/>
      <c r="AG17" s="273"/>
      <c r="AH17" s="273"/>
      <c r="AI17" s="273"/>
      <c r="AJ17" s="273"/>
      <c r="AK17" s="273"/>
      <c r="AL17" s="215"/>
      <c r="AM17" s="215"/>
      <c r="AN17" s="225"/>
      <c r="AO17" s="224"/>
      <c r="AP17" s="202"/>
      <c r="AQ17" s="205"/>
      <c r="AR17" s="202"/>
      <c r="AS17" s="204"/>
      <c r="AT17" s="205"/>
      <c r="AU17" s="202"/>
      <c r="AV17" s="205"/>
      <c r="AW17" s="202"/>
      <c r="AX17" s="205"/>
      <c r="AY17" s="202"/>
      <c r="AZ17" s="205"/>
      <c r="BA17" s="202"/>
      <c r="BB17" s="205"/>
      <c r="BC17" s="202"/>
      <c r="BD17" s="205"/>
      <c r="BE17" s="202"/>
      <c r="BF17" s="205"/>
      <c r="BG17" s="202"/>
      <c r="BH17" s="205"/>
      <c r="BI17" s="202"/>
    </row>
    <row r="18" spans="2:61" ht="15" customHeight="1" x14ac:dyDescent="0.25">
      <c r="B18" s="202"/>
      <c r="C18" s="205"/>
      <c r="D18" s="202"/>
      <c r="E18" s="205"/>
      <c r="F18" s="202"/>
      <c r="G18" s="205"/>
      <c r="H18" s="202"/>
      <c r="I18" s="205"/>
      <c r="J18" s="202"/>
      <c r="K18" s="205"/>
      <c r="L18" s="202"/>
      <c r="M18" s="205"/>
      <c r="N18" s="202"/>
      <c r="O18" s="205"/>
      <c r="P18" s="202"/>
      <c r="Q18" s="205"/>
      <c r="R18" s="202"/>
      <c r="S18" s="204"/>
      <c r="T18" s="205"/>
      <c r="U18" s="204"/>
      <c r="V18" s="204"/>
      <c r="W18" s="210"/>
      <c r="X18" s="215"/>
      <c r="Y18" s="210"/>
      <c r="Z18" s="273"/>
      <c r="AA18" s="273"/>
      <c r="AB18" s="273"/>
      <c r="AC18" s="273"/>
      <c r="AD18" s="273"/>
      <c r="AE18" s="273"/>
      <c r="AF18" s="273"/>
      <c r="AG18" s="273"/>
      <c r="AH18" s="273"/>
      <c r="AI18" s="273"/>
      <c r="AJ18" s="273"/>
      <c r="AK18" s="273"/>
      <c r="AL18" s="215"/>
      <c r="AM18" s="215"/>
      <c r="AN18" s="225"/>
      <c r="AO18" s="224"/>
      <c r="AP18" s="202"/>
      <c r="AQ18" s="205"/>
      <c r="AR18" s="202"/>
      <c r="AS18" s="204"/>
      <c r="AT18" s="205"/>
      <c r="AU18" s="202"/>
      <c r="AV18" s="205"/>
      <c r="AW18" s="202"/>
      <c r="AX18" s="205"/>
      <c r="AY18" s="202"/>
      <c r="AZ18" s="205"/>
      <c r="BA18" s="202"/>
      <c r="BB18" s="205"/>
      <c r="BC18" s="202"/>
      <c r="BD18" s="205"/>
      <c r="BE18" s="202"/>
      <c r="BF18" s="205"/>
      <c r="BG18" s="202"/>
      <c r="BH18" s="205"/>
      <c r="BI18" s="202"/>
    </row>
    <row r="19" spans="2:61" ht="15" customHeight="1" x14ac:dyDescent="0.25">
      <c r="B19" s="202"/>
      <c r="C19" s="205"/>
      <c r="D19" s="202"/>
      <c r="E19" s="205"/>
      <c r="F19" s="202"/>
      <c r="G19" s="207"/>
      <c r="H19" s="207"/>
      <c r="I19" s="207"/>
      <c r="J19" s="207"/>
      <c r="K19" s="207"/>
      <c r="L19" s="207"/>
      <c r="M19" s="207"/>
      <c r="N19" s="207"/>
      <c r="O19" s="207"/>
      <c r="P19" s="207"/>
      <c r="Q19" s="207"/>
      <c r="R19" s="202"/>
      <c r="S19" s="204"/>
      <c r="T19" s="205"/>
      <c r="U19" s="204"/>
      <c r="V19" s="204"/>
      <c r="W19" s="210"/>
      <c r="X19" s="215"/>
      <c r="Y19" s="210"/>
      <c r="Z19" s="221"/>
      <c r="AA19" s="217"/>
      <c r="AB19" s="218"/>
      <c r="AC19" s="217"/>
      <c r="AD19" s="217"/>
      <c r="AE19" s="217"/>
      <c r="AF19" s="217"/>
      <c r="AG19" s="217"/>
      <c r="AH19" s="217"/>
      <c r="AI19" s="218"/>
      <c r="AJ19" s="217"/>
      <c r="AK19" s="217"/>
      <c r="AL19" s="215"/>
      <c r="AM19" s="215"/>
      <c r="AN19" s="225"/>
      <c r="AO19" s="224"/>
      <c r="AP19" s="202"/>
      <c r="AQ19" s="205"/>
      <c r="AR19" s="202"/>
      <c r="AS19" s="204"/>
      <c r="AT19" s="207"/>
      <c r="AU19" s="207"/>
      <c r="AV19" s="207"/>
      <c r="AW19" s="207"/>
      <c r="AX19" s="207"/>
      <c r="AY19" s="207"/>
      <c r="AZ19" s="207"/>
      <c r="BA19" s="207"/>
      <c r="BB19" s="202"/>
      <c r="BC19" s="202"/>
      <c r="BD19" s="202"/>
      <c r="BE19" s="202"/>
      <c r="BF19" s="205"/>
      <c r="BG19" s="202"/>
      <c r="BH19" s="205"/>
      <c r="BI19" s="202"/>
    </row>
    <row r="20" spans="2:61" ht="15" customHeight="1" x14ac:dyDescent="0.25">
      <c r="B20" s="202"/>
      <c r="C20" s="205"/>
      <c r="D20" s="202"/>
      <c r="E20" s="205"/>
      <c r="F20" s="202"/>
      <c r="H20" s="202"/>
      <c r="J20" s="207"/>
      <c r="K20" s="203"/>
      <c r="L20" s="207"/>
      <c r="M20" s="203"/>
      <c r="N20" s="207"/>
      <c r="O20" s="203"/>
      <c r="P20" s="207"/>
      <c r="Q20" s="211"/>
      <c r="R20" s="202"/>
      <c r="S20" s="204"/>
      <c r="T20" s="205"/>
      <c r="U20" s="204"/>
      <c r="V20" s="204"/>
      <c r="W20" s="210"/>
      <c r="X20" s="215"/>
      <c r="Y20" s="210"/>
      <c r="Z20" s="273" t="str">
        <f>COUNTIF(GameLog!AG2:AG2999,End!BU1)&amp;" Games Lost"</f>
        <v>0 Games Lost</v>
      </c>
      <c r="AA20" s="273"/>
      <c r="AB20" s="273"/>
      <c r="AC20" s="273"/>
      <c r="AD20" s="273"/>
      <c r="AE20" s="273"/>
      <c r="AF20" s="273"/>
      <c r="AG20" s="273"/>
      <c r="AH20" s="273"/>
      <c r="AI20" s="273"/>
      <c r="AJ20" s="273"/>
      <c r="AK20" s="273"/>
      <c r="AL20" s="215"/>
      <c r="AM20" s="215"/>
      <c r="AN20" s="225"/>
      <c r="AO20" s="224"/>
      <c r="AP20" s="202"/>
      <c r="AQ20" s="205"/>
      <c r="AR20" s="202"/>
      <c r="AS20" s="204"/>
      <c r="AT20" s="203"/>
      <c r="AU20" s="207"/>
      <c r="AV20" s="203"/>
      <c r="AW20" s="207"/>
      <c r="AX20" s="203"/>
      <c r="AY20" s="207"/>
      <c r="AZ20" s="203"/>
      <c r="BA20" s="207"/>
      <c r="BC20" s="202"/>
      <c r="BE20" s="202"/>
      <c r="BF20" s="205"/>
      <c r="BG20" s="202"/>
      <c r="BH20" s="205"/>
      <c r="BI20" s="202"/>
    </row>
    <row r="21" spans="2:61" ht="15" customHeight="1" x14ac:dyDescent="0.25">
      <c r="B21" s="202"/>
      <c r="C21" s="205"/>
      <c r="D21" s="202"/>
      <c r="E21" s="205"/>
      <c r="F21" s="202"/>
      <c r="J21" s="203"/>
      <c r="K21" s="203"/>
      <c r="L21" s="203"/>
      <c r="M21" s="203"/>
      <c r="N21" s="203"/>
      <c r="O21" s="203"/>
      <c r="P21" s="203"/>
      <c r="Q21" s="211"/>
      <c r="R21" s="202"/>
      <c r="S21" s="204"/>
      <c r="T21" s="205"/>
      <c r="U21" s="204"/>
      <c r="V21" s="204"/>
      <c r="W21" s="210"/>
      <c r="X21" s="215"/>
      <c r="Y21" s="210"/>
      <c r="Z21" s="273"/>
      <c r="AA21" s="273"/>
      <c r="AB21" s="273"/>
      <c r="AC21" s="273"/>
      <c r="AD21" s="273"/>
      <c r="AE21" s="273"/>
      <c r="AF21" s="273"/>
      <c r="AG21" s="273"/>
      <c r="AH21" s="273"/>
      <c r="AI21" s="273"/>
      <c r="AJ21" s="273"/>
      <c r="AK21" s="273"/>
      <c r="AL21" s="215"/>
      <c r="AM21" s="215"/>
      <c r="AN21" s="225"/>
      <c r="AO21" s="224"/>
      <c r="AP21" s="202"/>
      <c r="AQ21" s="205"/>
      <c r="AR21" s="202"/>
      <c r="AS21" s="204"/>
      <c r="AT21" s="203"/>
      <c r="AU21" s="203"/>
      <c r="AV21" s="203"/>
      <c r="AW21" s="203"/>
      <c r="AX21" s="203"/>
      <c r="AY21" s="203"/>
      <c r="AZ21" s="203"/>
      <c r="BA21" s="203"/>
      <c r="BE21" s="202"/>
      <c r="BF21" s="205"/>
      <c r="BG21" s="202"/>
      <c r="BH21" s="205"/>
      <c r="BI21" s="202"/>
    </row>
    <row r="22" spans="2:61" ht="15" customHeight="1" x14ac:dyDescent="0.25">
      <c r="B22" s="202"/>
      <c r="C22" s="205"/>
      <c r="D22" s="202"/>
      <c r="E22" s="205"/>
      <c r="F22" s="202"/>
      <c r="J22" s="203"/>
      <c r="K22" s="203"/>
      <c r="L22" s="203"/>
      <c r="M22" s="203"/>
      <c r="N22" s="203"/>
      <c r="O22" s="203"/>
      <c r="P22" s="203"/>
      <c r="Q22" s="211"/>
      <c r="R22" s="202"/>
      <c r="S22" s="204"/>
      <c r="T22" s="205"/>
      <c r="U22" s="204"/>
      <c r="V22" s="204"/>
      <c r="W22" s="210"/>
      <c r="X22" s="215"/>
      <c r="Y22" s="210"/>
      <c r="Z22" s="221"/>
      <c r="AA22" s="217"/>
      <c r="AB22" s="218"/>
      <c r="AC22" s="217"/>
      <c r="AD22" s="217"/>
      <c r="AE22" s="217"/>
      <c r="AF22" s="217"/>
      <c r="AG22" s="217"/>
      <c r="AH22" s="217"/>
      <c r="AI22" s="218"/>
      <c r="AJ22" s="217"/>
      <c r="AK22" s="217"/>
      <c r="AL22" s="215"/>
      <c r="AM22" s="215"/>
      <c r="AN22" s="225"/>
      <c r="AO22" s="224"/>
      <c r="AP22" s="202"/>
      <c r="AQ22" s="205"/>
      <c r="AR22" s="202"/>
      <c r="AS22" s="204"/>
      <c r="AT22" s="203"/>
      <c r="AU22" s="203"/>
      <c r="AV22" s="203"/>
      <c r="AW22" s="203"/>
      <c r="AX22" s="203"/>
      <c r="AY22" s="203"/>
      <c r="AZ22" s="203"/>
      <c r="BA22" s="203"/>
      <c r="BE22" s="202"/>
      <c r="BF22" s="205"/>
      <c r="BG22" s="202"/>
      <c r="BH22" s="205"/>
      <c r="BI22" s="202"/>
    </row>
    <row r="23" spans="2:61" ht="15" customHeight="1" x14ac:dyDescent="0.25">
      <c r="B23" s="202"/>
      <c r="C23" s="205"/>
      <c r="D23" s="202"/>
      <c r="E23" s="205"/>
      <c r="F23" s="202"/>
      <c r="J23" s="203"/>
      <c r="K23" s="203"/>
      <c r="L23" s="203"/>
      <c r="M23" s="203"/>
      <c r="N23" s="203"/>
      <c r="O23" s="203"/>
      <c r="P23" s="203"/>
      <c r="Q23" s="211"/>
      <c r="R23" s="202"/>
      <c r="S23" s="204"/>
      <c r="T23" s="205"/>
      <c r="U23" s="204"/>
      <c r="V23" s="204"/>
      <c r="W23" s="210"/>
      <c r="X23" s="215"/>
      <c r="Y23" s="210"/>
      <c r="Z23" s="273" t="e">
        <f>VLOOKUP(BU1,DefenseRef!B20:C21,2,0)&amp;" Defense Planes Chosen"</f>
        <v>#N/A</v>
      </c>
      <c r="AA23" s="273"/>
      <c r="AB23" s="273"/>
      <c r="AC23" s="273"/>
      <c r="AD23" s="273"/>
      <c r="AE23" s="273"/>
      <c r="AF23" s="273"/>
      <c r="AG23" s="273"/>
      <c r="AH23" s="273"/>
      <c r="AI23" s="273"/>
      <c r="AJ23" s="273"/>
      <c r="AK23" s="273"/>
      <c r="AL23" s="215"/>
      <c r="AM23" s="215"/>
      <c r="AN23" s="225"/>
      <c r="AO23" s="224"/>
      <c r="AP23" s="202"/>
      <c r="AQ23" s="205"/>
      <c r="AR23" s="202"/>
      <c r="AS23" s="204"/>
      <c r="AT23" s="203"/>
      <c r="AU23" s="203"/>
      <c r="AV23" s="203"/>
      <c r="AW23" s="203"/>
      <c r="AX23" s="203"/>
      <c r="AY23" s="203"/>
      <c r="AZ23" s="203"/>
      <c r="BA23" s="203"/>
      <c r="BE23" s="202"/>
      <c r="BF23" s="205"/>
      <c r="BG23" s="202"/>
      <c r="BH23" s="205"/>
      <c r="BI23" s="202"/>
    </row>
    <row r="24" spans="2:61" ht="15" customHeight="1" x14ac:dyDescent="0.25">
      <c r="B24" s="202"/>
      <c r="C24" s="205"/>
      <c r="D24" s="202"/>
      <c r="E24" s="205"/>
      <c r="F24" s="202"/>
      <c r="J24" s="203"/>
      <c r="K24" s="203"/>
      <c r="L24" s="203"/>
      <c r="M24" s="203"/>
      <c r="N24" s="203"/>
      <c r="O24" s="203"/>
      <c r="P24" s="203"/>
      <c r="Q24" s="211"/>
      <c r="R24" s="202"/>
      <c r="S24" s="204"/>
      <c r="T24" s="205"/>
      <c r="U24" s="204"/>
      <c r="V24" s="204"/>
      <c r="W24" s="210"/>
      <c r="X24" s="215"/>
      <c r="Y24" s="210"/>
      <c r="Z24" s="273"/>
      <c r="AA24" s="273"/>
      <c r="AB24" s="273"/>
      <c r="AC24" s="273"/>
      <c r="AD24" s="273"/>
      <c r="AE24" s="273"/>
      <c r="AF24" s="273"/>
      <c r="AG24" s="273"/>
      <c r="AH24" s="273"/>
      <c r="AI24" s="273"/>
      <c r="AJ24" s="273"/>
      <c r="AK24" s="273"/>
      <c r="AL24" s="215"/>
      <c r="AM24" s="215"/>
      <c r="AN24" s="225"/>
      <c r="AO24" s="224"/>
      <c r="AP24" s="202"/>
      <c r="AQ24" s="205"/>
      <c r="AR24" s="202"/>
      <c r="AS24" s="204"/>
      <c r="AT24" s="203"/>
      <c r="AU24" s="203"/>
      <c r="AV24" s="203"/>
      <c r="AW24" s="203"/>
      <c r="AX24" s="203"/>
      <c r="AY24" s="203"/>
      <c r="AZ24" s="203"/>
      <c r="BA24" s="203"/>
      <c r="BE24" s="202"/>
      <c r="BF24" s="205"/>
      <c r="BG24" s="202"/>
      <c r="BH24" s="205"/>
      <c r="BI24" s="202"/>
    </row>
    <row r="25" spans="2:61" ht="15" customHeight="1" x14ac:dyDescent="0.25">
      <c r="B25" s="202"/>
      <c r="C25" s="205"/>
      <c r="D25" s="202"/>
      <c r="E25" s="205"/>
      <c r="F25" s="202"/>
      <c r="J25" s="203"/>
      <c r="K25" s="203"/>
      <c r="L25" s="203"/>
      <c r="M25" s="203"/>
      <c r="N25" s="203"/>
      <c r="O25" s="203"/>
      <c r="P25" s="203"/>
      <c r="Q25" s="211"/>
      <c r="R25" s="207"/>
      <c r="S25" s="207"/>
      <c r="T25" s="207"/>
      <c r="U25" s="207"/>
      <c r="V25" s="207"/>
      <c r="W25" s="210"/>
      <c r="X25" s="215"/>
      <c r="Y25" s="210"/>
      <c r="Z25" s="221"/>
      <c r="AA25" s="217"/>
      <c r="AB25" s="218"/>
      <c r="AC25" s="217"/>
      <c r="AD25" s="217"/>
      <c r="AE25" s="217"/>
      <c r="AF25" s="217"/>
      <c r="AG25" s="217"/>
      <c r="AH25" s="217"/>
      <c r="AI25" s="218"/>
      <c r="AJ25" s="217"/>
      <c r="AK25" s="217"/>
      <c r="AL25" s="215"/>
      <c r="AM25" s="215"/>
      <c r="AN25" s="225"/>
      <c r="AO25" s="207"/>
      <c r="AP25" s="207"/>
      <c r="AQ25" s="207"/>
      <c r="AR25" s="207"/>
      <c r="AS25" s="207"/>
      <c r="AT25" s="203"/>
      <c r="AU25" s="203"/>
      <c r="AV25" s="203"/>
      <c r="AW25" s="203"/>
      <c r="AX25" s="203"/>
      <c r="AY25" s="203"/>
      <c r="AZ25" s="203"/>
      <c r="BA25" s="203"/>
      <c r="BE25" s="202"/>
      <c r="BF25" s="205"/>
      <c r="BG25" s="202"/>
      <c r="BH25" s="205"/>
      <c r="BI25" s="202"/>
    </row>
    <row r="26" spans="2:61" ht="15" customHeight="1" x14ac:dyDescent="0.25">
      <c r="B26" s="202"/>
      <c r="C26" s="205"/>
      <c r="D26" s="202"/>
      <c r="E26" s="205"/>
      <c r="F26" s="202"/>
      <c r="Q26" s="210"/>
      <c r="R26" s="202"/>
      <c r="T26" s="202"/>
      <c r="V26" s="202"/>
      <c r="W26" s="210"/>
      <c r="X26" s="215"/>
      <c r="Y26" s="210"/>
      <c r="Z26" s="273" t="str">
        <f>COUNTIF(GameLog!AH2:AH2999,End!BU1)&amp;" Attack Penalties Dished Out"</f>
        <v>0 Attack Penalties Dished Out</v>
      </c>
      <c r="AA26" s="273"/>
      <c r="AB26" s="273"/>
      <c r="AC26" s="273"/>
      <c r="AD26" s="273"/>
      <c r="AE26" s="273"/>
      <c r="AF26" s="273"/>
      <c r="AG26" s="273"/>
      <c r="AH26" s="273"/>
      <c r="AI26" s="273"/>
      <c r="AJ26" s="273"/>
      <c r="AK26" s="273"/>
      <c r="AL26" s="215"/>
      <c r="AM26" s="215"/>
      <c r="AN26" s="225"/>
      <c r="AO26" s="202"/>
      <c r="AQ26" s="202"/>
      <c r="AS26" s="202"/>
      <c r="BE26" s="202"/>
      <c r="BF26" s="205"/>
      <c r="BG26" s="202"/>
      <c r="BH26" s="205"/>
      <c r="BI26" s="202"/>
    </row>
    <row r="27" spans="2:61" ht="15" customHeight="1" x14ac:dyDescent="0.25">
      <c r="B27" s="202"/>
      <c r="C27" s="205"/>
      <c r="D27" s="202"/>
      <c r="E27" s="205"/>
      <c r="F27" s="202"/>
      <c r="W27" s="210"/>
      <c r="X27" s="215"/>
      <c r="Y27" s="210"/>
      <c r="Z27" s="273"/>
      <c r="AA27" s="273"/>
      <c r="AB27" s="273"/>
      <c r="AC27" s="273"/>
      <c r="AD27" s="273"/>
      <c r="AE27" s="273"/>
      <c r="AF27" s="273"/>
      <c r="AG27" s="273"/>
      <c r="AH27" s="273"/>
      <c r="AI27" s="273"/>
      <c r="AJ27" s="273"/>
      <c r="AK27" s="273"/>
      <c r="AL27" s="215"/>
      <c r="AM27" s="215"/>
      <c r="AN27" s="225"/>
      <c r="BE27" s="202"/>
      <c r="BF27" s="205"/>
      <c r="BG27" s="202"/>
      <c r="BH27" s="205"/>
      <c r="BI27" s="202"/>
    </row>
    <row r="28" spans="2:61" ht="15" customHeight="1" x14ac:dyDescent="0.25">
      <c r="B28" s="202"/>
      <c r="C28" s="205"/>
      <c r="D28" s="202"/>
      <c r="E28" s="205"/>
      <c r="F28" s="202"/>
      <c r="W28" s="210"/>
      <c r="X28" s="215"/>
      <c r="Y28" s="210"/>
      <c r="Z28" s="221"/>
      <c r="AA28" s="217"/>
      <c r="AB28" s="218"/>
      <c r="AC28" s="217"/>
      <c r="AD28" s="217"/>
      <c r="AE28" s="217"/>
      <c r="AF28" s="217"/>
      <c r="AG28" s="217"/>
      <c r="AH28" s="217"/>
      <c r="AI28" s="218"/>
      <c r="AJ28" s="217"/>
      <c r="AK28" s="217"/>
      <c r="AL28" s="215"/>
      <c r="AM28" s="215"/>
      <c r="AN28" s="225"/>
      <c r="BE28" s="202"/>
      <c r="BF28" s="205"/>
      <c r="BG28" s="202"/>
      <c r="BH28" s="205"/>
      <c r="BI28" s="202"/>
    </row>
    <row r="29" spans="2:61" ht="15" customHeight="1" x14ac:dyDescent="0.25">
      <c r="B29" s="202"/>
      <c r="C29" s="205"/>
      <c r="D29" s="202"/>
      <c r="E29" s="205"/>
      <c r="F29" s="202"/>
      <c r="W29" s="210"/>
      <c r="X29" s="215"/>
      <c r="Y29" s="210"/>
      <c r="Z29" s="273" t="str">
        <f>COUNTIF(GameLog!AH2:AH2999,End!BU2)&amp;" Attack Penalties Overcame"</f>
        <v>0 Attack Penalties Overcame</v>
      </c>
      <c r="AA29" s="273"/>
      <c r="AB29" s="273"/>
      <c r="AC29" s="273"/>
      <c r="AD29" s="273"/>
      <c r="AE29" s="273"/>
      <c r="AF29" s="273"/>
      <c r="AG29" s="273"/>
      <c r="AH29" s="273"/>
      <c r="AI29" s="273"/>
      <c r="AJ29" s="273"/>
      <c r="AK29" s="273"/>
      <c r="AL29" s="215"/>
      <c r="AM29" s="215"/>
      <c r="AN29" s="225"/>
      <c r="BE29" s="202"/>
      <c r="BF29" s="205"/>
      <c r="BG29" s="202"/>
      <c r="BH29" s="205"/>
      <c r="BI29" s="202"/>
    </row>
    <row r="30" spans="2:61" ht="15" customHeight="1" x14ac:dyDescent="0.25">
      <c r="B30" s="202"/>
      <c r="C30" s="205"/>
      <c r="D30" s="202"/>
      <c r="E30" s="205"/>
      <c r="F30" s="202"/>
      <c r="W30" s="210"/>
      <c r="X30" s="215"/>
      <c r="Y30" s="210"/>
      <c r="Z30" s="273"/>
      <c r="AA30" s="273"/>
      <c r="AB30" s="273"/>
      <c r="AC30" s="273"/>
      <c r="AD30" s="273"/>
      <c r="AE30" s="273"/>
      <c r="AF30" s="273"/>
      <c r="AG30" s="273"/>
      <c r="AH30" s="273"/>
      <c r="AI30" s="273"/>
      <c r="AJ30" s="273"/>
      <c r="AK30" s="273"/>
      <c r="AL30" s="215"/>
      <c r="AM30" s="215"/>
      <c r="AN30" s="225"/>
      <c r="BE30" s="202"/>
      <c r="BF30" s="205"/>
      <c r="BG30" s="202"/>
      <c r="BH30" s="205"/>
      <c r="BI30" s="202"/>
    </row>
    <row r="31" spans="2:61" ht="15" customHeight="1" x14ac:dyDescent="0.25">
      <c r="B31" s="202"/>
      <c r="C31" s="205"/>
      <c r="D31" s="202"/>
      <c r="E31" s="205"/>
      <c r="F31" s="202"/>
      <c r="W31" s="210"/>
      <c r="X31" s="215"/>
      <c r="Y31" s="210"/>
      <c r="Z31" s="221"/>
      <c r="AA31" s="217"/>
      <c r="AB31" s="218"/>
      <c r="AC31" s="217"/>
      <c r="AD31" s="217"/>
      <c r="AE31" s="217"/>
      <c r="AF31" s="217"/>
      <c r="AG31" s="217"/>
      <c r="AH31" s="217"/>
      <c r="AI31" s="218"/>
      <c r="AJ31" s="217"/>
      <c r="AK31" s="217"/>
      <c r="AL31" s="215"/>
      <c r="AM31" s="215"/>
      <c r="AN31" s="225"/>
      <c r="BE31" s="202"/>
      <c r="BF31" s="205"/>
      <c r="BG31" s="202"/>
      <c r="BH31" s="205"/>
      <c r="BI31" s="202"/>
    </row>
    <row r="32" spans="2:61" ht="15" customHeight="1" x14ac:dyDescent="0.25">
      <c r="B32" s="202"/>
      <c r="C32" s="205"/>
      <c r="D32" s="202"/>
      <c r="E32" s="205"/>
      <c r="F32" s="202"/>
      <c r="W32" s="210"/>
      <c r="X32" s="215"/>
      <c r="Y32" s="210"/>
      <c r="Z32" s="273" t="str">
        <f>"Longest Game: "&amp;HOUR(MAX(GameLog!AI2:AI2999))&amp;":"&amp;MINUTE(MAX(GameLog!AI2:AI2999))&amp;":"&amp;SECOND(MAX(GameLog!AI2:AI2999))</f>
        <v>Longest Game: 0:0:0</v>
      </c>
      <c r="AA32" s="273"/>
      <c r="AB32" s="273"/>
      <c r="AC32" s="273"/>
      <c r="AD32" s="273"/>
      <c r="AE32" s="273"/>
      <c r="AF32" s="273"/>
      <c r="AG32" s="273"/>
      <c r="AH32" s="273"/>
      <c r="AI32" s="273"/>
      <c r="AJ32" s="273"/>
      <c r="AK32" s="273"/>
      <c r="AL32" s="215"/>
      <c r="AM32" s="215"/>
      <c r="AN32" s="225"/>
      <c r="BE32" s="202"/>
      <c r="BF32" s="205"/>
      <c r="BG32" s="202"/>
      <c r="BH32" s="205"/>
      <c r="BI32" s="202"/>
    </row>
    <row r="33" spans="2:61" ht="15" customHeight="1" x14ac:dyDescent="0.25">
      <c r="B33" s="202"/>
      <c r="C33" s="205"/>
      <c r="D33" s="202"/>
      <c r="E33" s="205"/>
      <c r="F33" s="202"/>
      <c r="W33" s="210"/>
      <c r="X33" s="215"/>
      <c r="Y33" s="210"/>
      <c r="Z33" s="273"/>
      <c r="AA33" s="273"/>
      <c r="AB33" s="273"/>
      <c r="AC33" s="273"/>
      <c r="AD33" s="273"/>
      <c r="AE33" s="273"/>
      <c r="AF33" s="273"/>
      <c r="AG33" s="273"/>
      <c r="AH33" s="273"/>
      <c r="AI33" s="273"/>
      <c r="AJ33" s="273"/>
      <c r="AK33" s="273"/>
      <c r="AL33" s="215"/>
      <c r="AM33" s="215"/>
      <c r="AN33" s="225"/>
      <c r="BE33" s="202"/>
      <c r="BF33" s="205"/>
      <c r="BG33" s="202"/>
      <c r="BH33" s="205"/>
      <c r="BI33" s="202"/>
    </row>
    <row r="34" spans="2:61" ht="15" customHeight="1" x14ac:dyDescent="0.25">
      <c r="B34" s="202"/>
      <c r="C34" s="205"/>
      <c r="D34" s="202"/>
      <c r="E34" s="205"/>
      <c r="F34" s="202"/>
      <c r="W34" s="210"/>
      <c r="X34" s="215"/>
      <c r="Y34" s="210"/>
      <c r="Z34" s="221"/>
      <c r="AA34" s="217"/>
      <c r="AB34" s="218"/>
      <c r="AC34" s="217"/>
      <c r="AD34" s="217"/>
      <c r="AE34" s="217"/>
      <c r="AF34" s="217"/>
      <c r="AG34" s="217"/>
      <c r="AH34" s="217"/>
      <c r="AI34" s="218"/>
      <c r="AJ34" s="217"/>
      <c r="AK34" s="217"/>
      <c r="AL34" s="215"/>
      <c r="AM34" s="215"/>
      <c r="AN34" s="225"/>
      <c r="BE34" s="202"/>
      <c r="BF34" s="205"/>
      <c r="BG34" s="202"/>
      <c r="BH34" s="205"/>
      <c r="BI34" s="202"/>
    </row>
    <row r="35" spans="2:61" ht="15" customHeight="1" x14ac:dyDescent="0.25">
      <c r="B35" s="202"/>
      <c r="C35" s="205"/>
      <c r="D35" s="202"/>
      <c r="E35" s="205"/>
      <c r="F35" s="202"/>
      <c r="W35" s="210"/>
      <c r="X35" s="215"/>
      <c r="Y35" s="210"/>
      <c r="Z35" s="273" t="str">
        <f>"Shortest Game: "&amp;HOUR(MIN(GameLog!AI2:AI2999))&amp;":"&amp;MINUTE(MIN(GameLog!AI2:AI2999))&amp;":"&amp;SECOND(MIN(GameLog!AI2:AI2999))</f>
        <v>Shortest Game: 0:0:0</v>
      </c>
      <c r="AA35" s="273"/>
      <c r="AB35" s="273"/>
      <c r="AC35" s="273"/>
      <c r="AD35" s="273"/>
      <c r="AE35" s="273"/>
      <c r="AF35" s="273"/>
      <c r="AG35" s="273"/>
      <c r="AH35" s="273"/>
      <c r="AI35" s="273"/>
      <c r="AJ35" s="273"/>
      <c r="AK35" s="273"/>
      <c r="AL35" s="215"/>
      <c r="AM35" s="215"/>
      <c r="AN35" s="225"/>
      <c r="BE35" s="202"/>
      <c r="BF35" s="205"/>
      <c r="BG35" s="202"/>
      <c r="BH35" s="205"/>
      <c r="BI35" s="202"/>
    </row>
    <row r="36" spans="2:61" ht="15" customHeight="1" x14ac:dyDescent="0.25">
      <c r="B36" s="202"/>
      <c r="C36" s="205"/>
      <c r="D36" s="202"/>
      <c r="E36" s="205"/>
      <c r="F36" s="202"/>
      <c r="W36" s="210"/>
      <c r="X36" s="215"/>
      <c r="Y36" s="210"/>
      <c r="Z36" s="273"/>
      <c r="AA36" s="273"/>
      <c r="AB36" s="273"/>
      <c r="AC36" s="273"/>
      <c r="AD36" s="273"/>
      <c r="AE36" s="273"/>
      <c r="AF36" s="273"/>
      <c r="AG36" s="273"/>
      <c r="AH36" s="273"/>
      <c r="AI36" s="273"/>
      <c r="AJ36" s="273"/>
      <c r="AK36" s="273"/>
      <c r="AL36" s="215"/>
      <c r="AM36" s="215"/>
      <c r="AN36" s="225"/>
      <c r="BE36" s="202"/>
      <c r="BF36" s="205"/>
      <c r="BG36" s="202"/>
      <c r="BH36" s="205"/>
      <c r="BI36" s="202"/>
    </row>
    <row r="37" spans="2:61" ht="15" customHeight="1" x14ac:dyDescent="0.25">
      <c r="B37" s="202"/>
      <c r="C37" s="205"/>
      <c r="D37" s="202"/>
      <c r="E37" s="205"/>
      <c r="F37" s="202"/>
      <c r="W37" s="210"/>
      <c r="X37" s="215"/>
      <c r="Y37" s="210"/>
      <c r="Z37" s="221"/>
      <c r="AA37" s="217"/>
      <c r="AB37" s="218"/>
      <c r="AC37" s="217"/>
      <c r="AD37" s="217"/>
      <c r="AE37" s="217"/>
      <c r="AF37" s="217"/>
      <c r="AG37" s="217"/>
      <c r="AH37" s="217"/>
      <c r="AI37" s="218"/>
      <c r="AJ37" s="217"/>
      <c r="AK37" s="217"/>
      <c r="AL37" s="215"/>
      <c r="AM37" s="215"/>
      <c r="AN37" s="225"/>
      <c r="BE37" s="202"/>
      <c r="BF37" s="205"/>
      <c r="BG37" s="202"/>
      <c r="BH37" s="205"/>
      <c r="BI37" s="202"/>
    </row>
    <row r="38" spans="2:61" ht="15" customHeight="1" x14ac:dyDescent="0.25">
      <c r="B38" s="202"/>
      <c r="C38" s="205"/>
      <c r="D38" s="202"/>
      <c r="E38" s="205"/>
      <c r="F38" s="202"/>
      <c r="W38" s="210"/>
      <c r="X38" s="215"/>
      <c r="Y38" s="210"/>
      <c r="Z38" s="273" t="str">
        <f>"Risk Game Originally Setup on "&amp;MONTH(Setup!AD4)&amp;"/"&amp;DAY(Setup!AD4)&amp;"/"&amp;YEAR(Setup!AD4)</f>
        <v>Risk Game Originally Setup on 1/0/1900</v>
      </c>
      <c r="AA38" s="273"/>
      <c r="AB38" s="273"/>
      <c r="AC38" s="273"/>
      <c r="AD38" s="273"/>
      <c r="AE38" s="273"/>
      <c r="AF38" s="273"/>
      <c r="AG38" s="273"/>
      <c r="AH38" s="273"/>
      <c r="AI38" s="273"/>
      <c r="AJ38" s="273"/>
      <c r="AK38" s="273"/>
      <c r="AL38" s="215"/>
      <c r="AM38" s="215"/>
      <c r="AN38" s="225"/>
      <c r="BE38" s="202"/>
      <c r="BF38" s="205"/>
      <c r="BG38" s="202"/>
      <c r="BH38" s="205"/>
      <c r="BI38" s="202"/>
    </row>
    <row r="39" spans="2:61" ht="15" customHeight="1" x14ac:dyDescent="0.25">
      <c r="B39" s="202"/>
      <c r="C39" s="205"/>
      <c r="D39" s="202"/>
      <c r="E39" s="205"/>
      <c r="F39" s="202"/>
      <c r="W39" s="210"/>
      <c r="X39" s="215"/>
      <c r="Y39" s="210"/>
      <c r="Z39" s="273"/>
      <c r="AA39" s="273"/>
      <c r="AB39" s="273"/>
      <c r="AC39" s="273"/>
      <c r="AD39" s="273"/>
      <c r="AE39" s="273"/>
      <c r="AF39" s="273"/>
      <c r="AG39" s="273"/>
      <c r="AH39" s="273"/>
      <c r="AI39" s="273"/>
      <c r="AJ39" s="273"/>
      <c r="AK39" s="273"/>
      <c r="AL39" s="215"/>
      <c r="AM39" s="215"/>
      <c r="AN39" s="225"/>
      <c r="BE39" s="202"/>
      <c r="BF39" s="205"/>
      <c r="BG39" s="202"/>
      <c r="BH39" s="205"/>
      <c r="BI39" s="202"/>
    </row>
    <row r="40" spans="2:61" ht="15" customHeight="1" x14ac:dyDescent="0.25">
      <c r="B40" s="202"/>
      <c r="C40" s="205"/>
      <c r="D40" s="202"/>
      <c r="E40" s="205"/>
      <c r="F40" s="202"/>
      <c r="W40" s="210"/>
      <c r="X40" s="215"/>
      <c r="Y40" s="210"/>
      <c r="Z40" s="221"/>
      <c r="AA40" s="217"/>
      <c r="AB40" s="218"/>
      <c r="AC40" s="217"/>
      <c r="AD40" s="217"/>
      <c r="AE40" s="217"/>
      <c r="AF40" s="217"/>
      <c r="AG40" s="217"/>
      <c r="AH40" s="217"/>
      <c r="AI40" s="218"/>
      <c r="AJ40" s="217"/>
      <c r="AK40" s="217"/>
      <c r="AL40" s="215"/>
      <c r="AM40" s="215"/>
      <c r="AN40" s="225"/>
      <c r="BE40" s="202"/>
      <c r="BF40" s="205"/>
      <c r="BG40" s="202"/>
      <c r="BH40" s="205"/>
      <c r="BI40" s="202"/>
    </row>
    <row r="41" spans="2:61" ht="15" customHeight="1" x14ac:dyDescent="0.25">
      <c r="B41" s="202"/>
      <c r="C41" s="205"/>
      <c r="D41" s="202"/>
      <c r="E41" s="205"/>
      <c r="F41" s="202"/>
      <c r="W41" s="210"/>
      <c r="X41" s="215"/>
      <c r="Y41" s="210"/>
      <c r="Z41" s="273" t="str">
        <f>"Risk Game Ended on "&amp;MONTH(Setup!AC31)&amp;"/"&amp;DAY(Setup!AC31)&amp;"/"&amp;YEAR(Setup!AC31)</f>
        <v>Risk Game Ended on 1/0/1900</v>
      </c>
      <c r="AA41" s="273"/>
      <c r="AB41" s="273"/>
      <c r="AC41" s="273"/>
      <c r="AD41" s="273"/>
      <c r="AE41" s="273"/>
      <c r="AF41" s="273"/>
      <c r="AG41" s="273"/>
      <c r="AH41" s="273"/>
      <c r="AI41" s="273"/>
      <c r="AJ41" s="273"/>
      <c r="AK41" s="273"/>
      <c r="AL41" s="215"/>
      <c r="AM41" s="215"/>
      <c r="AN41" s="225"/>
      <c r="BE41" s="202"/>
      <c r="BF41" s="205"/>
      <c r="BG41" s="202"/>
      <c r="BH41" s="205"/>
      <c r="BI41" s="202"/>
    </row>
    <row r="42" spans="2:61" ht="15" customHeight="1" x14ac:dyDescent="0.25">
      <c r="B42" s="202"/>
      <c r="C42" s="205"/>
      <c r="D42" s="202"/>
      <c r="E42" s="205"/>
      <c r="F42" s="202"/>
      <c r="X42" s="215"/>
      <c r="Y42" s="210"/>
      <c r="Z42" s="273"/>
      <c r="AA42" s="273"/>
      <c r="AB42" s="273"/>
      <c r="AC42" s="273"/>
      <c r="AD42" s="273"/>
      <c r="AE42" s="273"/>
      <c r="AF42" s="273"/>
      <c r="AG42" s="273"/>
      <c r="AH42" s="273"/>
      <c r="AI42" s="273"/>
      <c r="AJ42" s="273"/>
      <c r="AK42" s="273"/>
      <c r="AL42" s="215"/>
      <c r="AM42" s="215"/>
      <c r="AN42" s="225"/>
      <c r="BE42" s="202"/>
      <c r="BF42" s="205"/>
      <c r="BG42" s="202"/>
      <c r="BH42" s="205"/>
      <c r="BI42" s="202"/>
    </row>
    <row r="43" spans="2:61" ht="15" customHeight="1" x14ac:dyDescent="0.25">
      <c r="B43" s="202"/>
      <c r="C43" s="202"/>
      <c r="D43" s="202"/>
      <c r="E43" s="202"/>
      <c r="F43" s="202"/>
      <c r="X43" s="215"/>
      <c r="Y43" s="210"/>
      <c r="Z43" s="222"/>
      <c r="AA43" s="215"/>
      <c r="AB43" s="216"/>
      <c r="AC43" s="215"/>
      <c r="AD43" s="216"/>
      <c r="AE43" s="215"/>
      <c r="AF43" s="215"/>
      <c r="AG43" s="216"/>
      <c r="AH43" s="215"/>
      <c r="AI43" s="216"/>
      <c r="AJ43" s="215"/>
      <c r="AK43" s="216"/>
      <c r="AL43" s="215"/>
      <c r="AM43" s="215"/>
      <c r="AN43" s="225"/>
      <c r="BE43" s="202"/>
      <c r="BF43" s="202"/>
      <c r="BG43" s="202"/>
      <c r="BH43" s="202"/>
      <c r="BI43" s="202"/>
    </row>
    <row r="44" spans="2:61" ht="15" customHeight="1" x14ac:dyDescent="0.25">
      <c r="B44" s="202"/>
      <c r="D44" s="202"/>
      <c r="F44" s="202"/>
      <c r="X44" s="214"/>
      <c r="Y44" s="210"/>
      <c r="Z44" s="223"/>
      <c r="AA44" s="214"/>
      <c r="AB44" s="214"/>
      <c r="AC44" s="214"/>
      <c r="AD44" s="214"/>
      <c r="AE44" s="214"/>
      <c r="AF44" s="214"/>
      <c r="AG44" s="214"/>
      <c r="AH44" s="214"/>
      <c r="AI44" s="214"/>
      <c r="AJ44" s="214"/>
      <c r="AK44" s="214"/>
      <c r="AL44" s="214"/>
      <c r="AM44" s="214"/>
      <c r="AN44" s="223"/>
      <c r="BE44" s="202"/>
      <c r="BG44" s="202"/>
      <c r="BI44" s="202"/>
    </row>
    <row r="45" spans="2:61" ht="15" customHeight="1" x14ac:dyDescent="0.25">
      <c r="X45" s="214"/>
      <c r="Y45" s="210"/>
      <c r="Z45" s="223"/>
      <c r="AA45" s="214"/>
      <c r="AB45" s="214"/>
      <c r="AC45" s="214"/>
      <c r="AD45" s="214"/>
      <c r="AE45" s="214"/>
      <c r="AF45" s="214"/>
      <c r="AG45" s="214"/>
      <c r="AH45" s="214"/>
      <c r="AI45" s="214"/>
      <c r="AJ45" s="214"/>
      <c r="AK45" s="214"/>
      <c r="AL45" s="214"/>
      <c r="AM45" s="214"/>
      <c r="AN45" s="223"/>
    </row>
    <row r="46" spans="2:61" ht="15" customHeight="1" x14ac:dyDescent="0.25">
      <c r="X46" s="214"/>
      <c r="Y46" s="210"/>
      <c r="Z46" s="223"/>
      <c r="AA46" s="214"/>
      <c r="AB46" s="214"/>
      <c r="AC46" s="214"/>
      <c r="AD46" s="214"/>
      <c r="AE46" s="213"/>
      <c r="AF46" s="213"/>
      <c r="AG46" s="214"/>
      <c r="AH46" s="214"/>
      <c r="AI46" s="214"/>
      <c r="AJ46" s="214"/>
      <c r="AK46" s="214"/>
      <c r="AL46" s="214"/>
      <c r="AM46" s="214"/>
      <c r="AN46" s="223"/>
    </row>
    <row r="47" spans="2:61" ht="15" customHeight="1" x14ac:dyDescent="0.25">
      <c r="AB47" s="271" t="s">
        <v>1509</v>
      </c>
      <c r="AC47" s="271"/>
      <c r="AD47" s="271"/>
      <c r="AE47" s="271"/>
      <c r="AF47" s="271"/>
      <c r="AG47" s="271"/>
      <c r="AH47" s="271"/>
      <c r="AI47" s="271"/>
    </row>
    <row r="48" spans="2:61" ht="15" customHeight="1" x14ac:dyDescent="0.25">
      <c r="Y48" s="202"/>
      <c r="Z48" s="202"/>
      <c r="AA48" s="202"/>
      <c r="AB48" s="271"/>
      <c r="AC48" s="271"/>
      <c r="AD48" s="271"/>
      <c r="AE48" s="271"/>
      <c r="AF48" s="271"/>
      <c r="AG48" s="271"/>
      <c r="AH48" s="271"/>
      <c r="AI48" s="271"/>
      <c r="AJ48" s="202"/>
      <c r="AK48" s="202"/>
      <c r="AL48" s="202"/>
    </row>
    <row r="49" spans="28:35" ht="15" customHeight="1" x14ac:dyDescent="0.25">
      <c r="AB49" s="271"/>
      <c r="AC49" s="271"/>
      <c r="AD49" s="271"/>
      <c r="AE49" s="271"/>
      <c r="AF49" s="271"/>
      <c r="AG49" s="271"/>
      <c r="AH49" s="271"/>
      <c r="AI49" s="271"/>
    </row>
    <row r="50" spans="28:35" x14ac:dyDescent="0.25">
      <c r="AE50" s="202"/>
      <c r="AF50" s="202"/>
    </row>
  </sheetData>
  <sheetProtection selectLockedCells="1" selectUnlockedCells="1"/>
  <mergeCells count="12">
    <mergeCell ref="AB47:AI49"/>
    <mergeCell ref="X7:AM10"/>
    <mergeCell ref="Z29:AK30"/>
    <mergeCell ref="Z32:AK33"/>
    <mergeCell ref="Z35:AK36"/>
    <mergeCell ref="Z38:AK39"/>
    <mergeCell ref="Z41:AK42"/>
    <mergeCell ref="Z14:AK15"/>
    <mergeCell ref="Z17:AK18"/>
    <mergeCell ref="Z20:AK21"/>
    <mergeCell ref="Z23:AK24"/>
    <mergeCell ref="Z26:AK27"/>
  </mergeCells>
  <conditionalFormatting sqref="A1:XFD1 A51:XFD1048576 A2:A48 A49:AA49 AJ49:XFD49 BJ2:XFD48 A50:AD50 AG50:XFD50">
    <cfRule type="expression" dxfId="3" priority="3">
      <formula>$BU$1="PL2"</formula>
    </cfRule>
    <cfRule type="expression" dxfId="2" priority="4">
      <formula>$BU$1="PL1"</formula>
    </cfRule>
  </conditionalFormatting>
  <conditionalFormatting sqref="Z43 AB43 AD43 AG43 AI43 AK43 Z41:AK42 Z38:AK39 Z35:AK36 Z32:AK33 Z29:AK30 Z26:AK27 Z23:AK24 Z20:AK21 Z17:AK18 Z14:AK15 AB16 AI16 AI19 AI22 AI25 AI28 AI31 AI34 AI37 AI40 AB40 AB37 AB34 AB31 AB28 AB25 AB22 AB19 AI11:AI13 AB11:AB13">
    <cfRule type="expression" dxfId="1" priority="2">
      <formula>$BU$1="PL1"</formula>
    </cfRule>
  </conditionalFormatting>
  <conditionalFormatting sqref="Z43 AB43 AD43 AG43 AI43 AK43 Z41:AK42 Z38:AK39 Z35:AK36 Z32:AK33 Z29:AK30 Z26:AK27 Z23:AK24 Z20:AK21 Z17:AK18 Z14:AK15 AB16 AI16 AI19 AI22 AI25 AI28 AI31 AI34 AI37 AI40 AB40 AB37 AB34 AB31 AB28 AB25 AB22 AB19 AI11:AI13 AB11:AB13">
    <cfRule type="expression" dxfId="0" priority="1">
      <formula>$BU$1="PL2"</formula>
    </cfRule>
  </conditionalFormatting>
  <pageMargins left="0.7" right="0.7" top="0.75" bottom="0.75" header="0.3" footer="0.3"/>
  <pageSetup orientation="portrait" horizontalDpi="300" verticalDpi="300" r:id="rId1"/>
  <drawing r:id="rId2"/>
  <picture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53"/>
  <sheetViews>
    <sheetView workbookViewId="0">
      <selection activeCell="E47" sqref="E47"/>
    </sheetView>
  </sheetViews>
  <sheetFormatPr defaultRowHeight="15" x14ac:dyDescent="0.25"/>
  <cols>
    <col min="5" max="5" width="18.85546875" bestFit="1" customWidth="1"/>
    <col min="12" max="12" width="42.85546875" bestFit="1" customWidth="1"/>
    <col min="17" max="17" width="9" customWidth="1"/>
  </cols>
  <sheetData>
    <row r="1" spans="1:12" x14ac:dyDescent="0.25">
      <c r="A1" t="s">
        <v>1182</v>
      </c>
    </row>
    <row r="2" spans="1:12" x14ac:dyDescent="0.25">
      <c r="A2" t="s">
        <v>1513</v>
      </c>
      <c r="L2" t="s">
        <v>783</v>
      </c>
    </row>
    <row r="3" spans="1:12" x14ac:dyDescent="0.25">
      <c r="L3" t="s">
        <v>784</v>
      </c>
    </row>
    <row r="4" spans="1:12" x14ac:dyDescent="0.25">
      <c r="L4" t="s">
        <v>785</v>
      </c>
    </row>
    <row r="5" spans="1:12" x14ac:dyDescent="0.25">
      <c r="L5" t="s">
        <v>786</v>
      </c>
    </row>
    <row r="6" spans="1:12" x14ac:dyDescent="0.25">
      <c r="L6" t="s">
        <v>787</v>
      </c>
    </row>
    <row r="7" spans="1:12" x14ac:dyDescent="0.25">
      <c r="L7" t="s">
        <v>788</v>
      </c>
    </row>
    <row r="8" spans="1:12" x14ac:dyDescent="0.25">
      <c r="K8" t="s">
        <v>789</v>
      </c>
      <c r="L8" t="s">
        <v>790</v>
      </c>
    </row>
    <row r="9" spans="1:12" x14ac:dyDescent="0.25">
      <c r="L9" t="s">
        <v>791</v>
      </c>
    </row>
    <row r="10" spans="1:12" x14ac:dyDescent="0.25">
      <c r="L10" t="s">
        <v>792</v>
      </c>
    </row>
    <row r="11" spans="1:12" x14ac:dyDescent="0.25">
      <c r="L11" t="s">
        <v>863</v>
      </c>
    </row>
    <row r="12" spans="1:12" x14ac:dyDescent="0.25">
      <c r="L12" t="s">
        <v>875</v>
      </c>
    </row>
    <row r="27" spans="3:9" x14ac:dyDescent="0.25">
      <c r="E27" s="2"/>
      <c r="F27" s="2"/>
    </row>
    <row r="28" spans="3:9" x14ac:dyDescent="0.25">
      <c r="C28" s="174"/>
      <c r="D28" s="174"/>
      <c r="E28" s="108"/>
      <c r="F28" s="108"/>
      <c r="G28" s="174"/>
      <c r="H28" s="174"/>
      <c r="I28" s="174"/>
    </row>
    <row r="29" spans="3:9" x14ac:dyDescent="0.25">
      <c r="C29" s="174"/>
      <c r="D29" s="174"/>
      <c r="E29" s="108"/>
      <c r="F29" s="108"/>
      <c r="G29" s="174"/>
      <c r="H29" s="174"/>
      <c r="I29" s="174"/>
    </row>
    <row r="30" spans="3:9" x14ac:dyDescent="0.25">
      <c r="C30" s="174"/>
      <c r="D30" s="174"/>
      <c r="E30" s="174"/>
      <c r="F30" s="174"/>
      <c r="G30" s="174"/>
      <c r="H30" s="174"/>
      <c r="I30" s="174"/>
    </row>
    <row r="31" spans="3:9" x14ac:dyDescent="0.25">
      <c r="C31" s="174"/>
      <c r="D31" s="174"/>
      <c r="E31" s="174"/>
      <c r="F31" s="108"/>
      <c r="G31" s="174"/>
      <c r="H31" s="174"/>
      <c r="I31" s="174"/>
    </row>
    <row r="32" spans="3:9" x14ac:dyDescent="0.25">
      <c r="C32" s="174"/>
      <c r="D32" s="174"/>
      <c r="E32" s="108"/>
      <c r="F32" s="108"/>
      <c r="G32" s="174"/>
      <c r="H32" s="174"/>
      <c r="I32" s="174"/>
    </row>
    <row r="33" spans="3:9" x14ac:dyDescent="0.25">
      <c r="C33" s="174"/>
      <c r="D33" s="174"/>
      <c r="E33" s="108"/>
      <c r="F33" s="108"/>
      <c r="G33" s="174"/>
      <c r="H33" s="174"/>
      <c r="I33" s="174"/>
    </row>
    <row r="34" spans="3:9" x14ac:dyDescent="0.25">
      <c r="C34" s="174"/>
      <c r="D34" s="174"/>
      <c r="E34" s="108"/>
      <c r="F34" s="108"/>
      <c r="G34" s="174"/>
      <c r="H34" s="174"/>
      <c r="I34" s="174"/>
    </row>
    <row r="35" spans="3:9" x14ac:dyDescent="0.25">
      <c r="C35" s="174"/>
      <c r="D35" s="174"/>
      <c r="E35" s="108"/>
      <c r="F35" s="174"/>
      <c r="G35" s="174"/>
      <c r="H35" s="174"/>
      <c r="I35" s="174"/>
    </row>
    <row r="36" spans="3:9" x14ac:dyDescent="0.25">
      <c r="C36" s="174"/>
      <c r="D36" s="174"/>
      <c r="E36" s="174"/>
      <c r="F36" s="108"/>
      <c r="G36" s="174"/>
      <c r="H36" s="174"/>
      <c r="I36" s="174"/>
    </row>
    <row r="37" spans="3:9" x14ac:dyDescent="0.25">
      <c r="C37" s="174"/>
      <c r="D37" s="174"/>
      <c r="E37" s="174"/>
      <c r="F37" s="174"/>
      <c r="G37" s="174"/>
      <c r="H37" s="174"/>
      <c r="I37" s="174"/>
    </row>
    <row r="38" spans="3:9" x14ac:dyDescent="0.25">
      <c r="C38" s="174"/>
      <c r="D38" s="174"/>
      <c r="E38" s="174"/>
      <c r="F38" s="174"/>
      <c r="G38" s="174"/>
      <c r="H38" s="174"/>
      <c r="I38" s="174"/>
    </row>
    <row r="39" spans="3:9" x14ac:dyDescent="0.25">
      <c r="C39" s="174"/>
      <c r="D39" s="174"/>
      <c r="E39" s="174" t="s">
        <v>1494</v>
      </c>
      <c r="F39" s="174"/>
      <c r="G39" s="174"/>
      <c r="H39" s="174"/>
      <c r="I39" s="174"/>
    </row>
    <row r="40" spans="3:9" x14ac:dyDescent="0.25">
      <c r="C40" s="174"/>
      <c r="D40" s="174"/>
      <c r="E40" s="174"/>
      <c r="F40" s="174"/>
      <c r="G40" s="174"/>
      <c r="H40" s="174"/>
      <c r="I40" s="174"/>
    </row>
    <row r="41" spans="3:9" x14ac:dyDescent="0.25">
      <c r="C41" s="174"/>
      <c r="D41" s="174"/>
      <c r="E41" s="174"/>
      <c r="F41" s="174"/>
      <c r="G41" s="174"/>
      <c r="H41" s="174"/>
      <c r="I41" s="174"/>
    </row>
    <row r="42" spans="3:9" x14ac:dyDescent="0.25">
      <c r="C42" s="174"/>
      <c r="D42" s="174"/>
      <c r="E42" s="174"/>
      <c r="F42" s="174"/>
      <c r="G42" s="174"/>
      <c r="H42" s="174"/>
      <c r="I42" s="174"/>
    </row>
    <row r="43" spans="3:9" x14ac:dyDescent="0.25">
      <c r="C43" s="174"/>
      <c r="D43" s="174"/>
      <c r="E43" s="174"/>
      <c r="F43" s="174"/>
      <c r="G43" s="174"/>
      <c r="H43" s="174"/>
      <c r="I43" s="174"/>
    </row>
    <row r="44" spans="3:9" x14ac:dyDescent="0.25">
      <c r="C44" s="174"/>
      <c r="D44" s="174"/>
      <c r="E44" s="174"/>
      <c r="F44" s="174"/>
      <c r="G44" s="174"/>
      <c r="H44" s="174"/>
      <c r="I44" s="174"/>
    </row>
    <row r="45" spans="3:9" x14ac:dyDescent="0.25">
      <c r="C45" s="174"/>
      <c r="D45" s="174"/>
      <c r="E45" s="174"/>
      <c r="F45" s="174"/>
      <c r="G45" s="174"/>
      <c r="H45" s="174"/>
      <c r="I45" s="174"/>
    </row>
    <row r="46" spans="3:9" x14ac:dyDescent="0.25">
      <c r="C46" s="174"/>
      <c r="D46" s="174"/>
      <c r="E46" s="108"/>
      <c r="F46" s="174"/>
      <c r="G46" s="174"/>
      <c r="H46" s="174"/>
      <c r="I46" s="174"/>
    </row>
    <row r="47" spans="3:9" x14ac:dyDescent="0.25">
      <c r="C47" s="174"/>
      <c r="D47" s="174"/>
      <c r="E47" s="174" t="s">
        <v>1499</v>
      </c>
      <c r="F47" s="174"/>
      <c r="G47" s="174"/>
      <c r="H47" s="174"/>
      <c r="I47" s="174"/>
    </row>
    <row r="48" spans="3:9" x14ac:dyDescent="0.25">
      <c r="C48" s="174"/>
      <c r="D48" s="174"/>
      <c r="E48" s="174" t="s">
        <v>1504</v>
      </c>
      <c r="F48" s="174"/>
      <c r="G48" s="174"/>
      <c r="H48" s="174"/>
      <c r="I48" s="174"/>
    </row>
    <row r="49" spans="3:9" x14ac:dyDescent="0.25">
      <c r="C49" s="174"/>
      <c r="D49" s="174"/>
      <c r="E49" s="174"/>
      <c r="F49" s="174"/>
      <c r="G49" s="174"/>
      <c r="H49" s="174"/>
      <c r="I49" s="174"/>
    </row>
    <row r="50" spans="3:9" x14ac:dyDescent="0.25">
      <c r="C50" s="174"/>
      <c r="D50" s="174"/>
      <c r="E50" s="174"/>
      <c r="F50" s="174"/>
      <c r="G50" s="174"/>
      <c r="H50" s="174"/>
      <c r="I50" s="174"/>
    </row>
    <row r="51" spans="3:9" x14ac:dyDescent="0.25">
      <c r="C51" s="174"/>
      <c r="D51" s="174"/>
      <c r="E51" s="174"/>
      <c r="F51" s="174"/>
      <c r="G51" s="174"/>
      <c r="H51" s="174"/>
      <c r="I51" s="174"/>
    </row>
    <row r="52" spans="3:9" x14ac:dyDescent="0.25">
      <c r="C52" s="174"/>
      <c r="D52" s="174"/>
      <c r="E52" s="174"/>
      <c r="F52" s="174"/>
      <c r="G52" s="174"/>
      <c r="H52" s="174"/>
      <c r="I52" s="174"/>
    </row>
    <row r="53" spans="3:9" x14ac:dyDescent="0.25">
      <c r="C53" s="174"/>
      <c r="D53" s="174"/>
      <c r="E53" s="174"/>
      <c r="F53" s="174"/>
      <c r="G53" s="174"/>
      <c r="H53" s="174"/>
      <c r="I53" s="174"/>
    </row>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PL1</vt:lpstr>
      <vt:lpstr>PL2</vt:lpstr>
      <vt:lpstr>PL1DeckList</vt:lpstr>
      <vt:lpstr>PL2DeckList</vt:lpstr>
      <vt:lpstr>Welcome</vt:lpstr>
      <vt:lpstr>Battle</vt:lpstr>
      <vt:lpstr>BattleRef</vt:lpstr>
      <vt:lpstr>Setup</vt:lpstr>
      <vt:lpstr>MapReference</vt:lpstr>
      <vt:lpstr>Drop</vt:lpstr>
      <vt:lpstr>GameLog</vt:lpstr>
      <vt:lpstr>Reference</vt:lpstr>
      <vt:lpstr>Map</vt:lpstr>
      <vt:lpstr>Color</vt:lpstr>
      <vt:lpstr>Defense</vt:lpstr>
      <vt:lpstr>DefenseRef</vt:lpstr>
      <vt:lpstr>Vanguard</vt:lpstr>
      <vt:lpstr>End</vt:lpstr>
      <vt:lpstr>Rules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Dakkon</dc:creator>
  <cp:lastModifiedBy>Indra</cp:lastModifiedBy>
  <cp:lastPrinted>2015-08-07T17:59:36Z</cp:lastPrinted>
  <dcterms:created xsi:type="dcterms:W3CDTF">2014-09-24T06:02:35Z</dcterms:created>
  <dcterms:modified xsi:type="dcterms:W3CDTF">2019-10-10T22:06:51Z</dcterms:modified>
</cp:coreProperties>
</file>